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/>
  <bookViews>
    <workbookView xWindow="12000" yWindow="0" windowWidth="12000" windowHeight="9525" tabRatio="940"/>
  </bookViews>
  <sheets>
    <sheet name="INPUTS" sheetId="112" r:id="rId1"/>
    <sheet name="YEAR_BY_YEAR" sheetId="121" r:id="rId2"/>
    <sheet name="TWO LANE HIGHWAY" sheetId="115" r:id="rId3"/>
    <sheet name="TWO LANE HIGHWAY_SPECIAL GRADE" sheetId="113" r:id="rId4"/>
    <sheet name="MULTILANE HIGHWAY" sheetId="116" r:id="rId5"/>
    <sheet name="MULTILANE HIGHWAY_SPECIAL GRADE" sheetId="114" r:id="rId6"/>
    <sheet name="HCM2000" sheetId="92" r:id="rId7"/>
    <sheet name="HCM2010" sheetId="91" r:id="rId8"/>
    <sheet name="FNP" sheetId="89" r:id="rId9"/>
    <sheet name="FDNP" sheetId="90" r:id="rId10"/>
    <sheet name="20-20_fnp_PTSF" sheetId="94" r:id="rId11"/>
    <sheet name="20-19_fnp_ATS" sheetId="95" r:id="rId12"/>
    <sheet name="20-13_fg_ATS" sheetId="96" r:id="rId13"/>
    <sheet name="20-14_fg_PTSF" sheetId="97" r:id="rId14"/>
    <sheet name="20-15_Et_ATS" sheetId="98" r:id="rId15"/>
    <sheet name="20-17_ER_ATS" sheetId="99" r:id="rId16"/>
    <sheet name="20-16_ET&amp;RV_PTSF" sheetId="100" r:id="rId17"/>
    <sheet name="20-18_ETC_ATS" sheetId="101" r:id="rId18"/>
    <sheet name="20-21_a&amp;b" sheetId="102" r:id="rId19"/>
    <sheet name="20-9_ET_ATS" sheetId="104" r:id="rId20"/>
    <sheet name="20-9_ER_ATS" sheetId="105" r:id="rId21"/>
    <sheet name="20-10_ET_PTSF" sheetId="106" r:id="rId22"/>
    <sheet name="20-7_FG_ATS" sheetId="108" r:id="rId23"/>
    <sheet name="20-8_FG_PTSF" sheetId="109" r:id="rId24"/>
    <sheet name="20-7_FG_ATS_2D" sheetId="111" r:id="rId25"/>
    <sheet name="21-9_ET_UP" sheetId="117" r:id="rId26"/>
    <sheet name="21-10_ER_Up" sheetId="118" r:id="rId27"/>
    <sheet name="21-11_ET_Down" sheetId="119" r:id="rId28"/>
    <sheet name="Análise_SAVED " sheetId="40" r:id="rId29"/>
  </sheets>
  <externalReferences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</externalReferences>
  <definedNames>
    <definedName name="____________a999" localSheetId="6" hidden="1">{#N/A,#N/A,FALSE,"ANEXO3 99 ERA";#N/A,#N/A,FALSE,"ANEXO3 99 UBÁ2";#N/A,#N/A,FALSE,"ANEXO3 99 DTU";#N/A,#N/A,FALSE,"ANEXO3 99 RDR";#N/A,#N/A,FALSE,"ANEXO3 99 UBÁ4";#N/A,#N/A,FALSE,"ANEXO3 99 UBÁ6"}</definedName>
    <definedName name="____________a999" hidden="1">{#N/A,#N/A,FALSE,"ANEXO3 99 ERA";#N/A,#N/A,FALSE,"ANEXO3 99 UBÁ2";#N/A,#N/A,FALSE,"ANEXO3 99 DTU";#N/A,#N/A,FALSE,"ANEXO3 99 RDR";#N/A,#N/A,FALSE,"ANEXO3 99 UBÁ4";#N/A,#N/A,FALSE,"ANEXO3 99 UBÁ6"}</definedName>
    <definedName name="___________a999" localSheetId="6" hidden="1">{#N/A,#N/A,FALSE,"ANEXO3 99 ERA";#N/A,#N/A,FALSE,"ANEXO3 99 UBÁ2";#N/A,#N/A,FALSE,"ANEXO3 99 DTU";#N/A,#N/A,FALSE,"ANEXO3 99 RDR";#N/A,#N/A,FALSE,"ANEXO3 99 UBÁ4";#N/A,#N/A,FALSE,"ANEXO3 99 UBÁ6"}</definedName>
    <definedName name="___________a999" hidden="1">{#N/A,#N/A,FALSE,"ANEXO3 99 ERA";#N/A,#N/A,FALSE,"ANEXO3 99 UBÁ2";#N/A,#N/A,FALSE,"ANEXO3 99 DTU";#N/A,#N/A,FALSE,"ANEXO3 99 RDR";#N/A,#N/A,FALSE,"ANEXO3 99 UBÁ4";#N/A,#N/A,FALSE,"ANEXO3 99 UBÁ6"}</definedName>
    <definedName name="__________a999" localSheetId="6" hidden="1">{#N/A,#N/A,FALSE,"ANEXO3 99 ERA";#N/A,#N/A,FALSE,"ANEXO3 99 UBÁ2";#N/A,#N/A,FALSE,"ANEXO3 99 DTU";#N/A,#N/A,FALSE,"ANEXO3 99 RDR";#N/A,#N/A,FALSE,"ANEXO3 99 UBÁ4";#N/A,#N/A,FALSE,"ANEXO3 99 UBÁ6"}</definedName>
    <definedName name="__________a999" hidden="1">{#N/A,#N/A,FALSE,"ANEXO3 99 ERA";#N/A,#N/A,FALSE,"ANEXO3 99 UBÁ2";#N/A,#N/A,FALSE,"ANEXO3 99 DTU";#N/A,#N/A,FALSE,"ANEXO3 99 RDR";#N/A,#N/A,FALSE,"ANEXO3 99 UBÁ4";#N/A,#N/A,FALSE,"ANEXO3 99 UBÁ6"}</definedName>
    <definedName name="________a999" localSheetId="6" hidden="1">{#N/A,#N/A,FALSE,"ANEXO3 99 ERA";#N/A,#N/A,FALSE,"ANEXO3 99 UBÁ2";#N/A,#N/A,FALSE,"ANEXO3 99 DTU";#N/A,#N/A,FALSE,"ANEXO3 99 RDR";#N/A,#N/A,FALSE,"ANEXO3 99 UBÁ4";#N/A,#N/A,FALSE,"ANEXO3 99 UBÁ6"}</definedName>
    <definedName name="________a999" hidden="1">{#N/A,#N/A,FALSE,"ANEXO3 99 ERA";#N/A,#N/A,FALSE,"ANEXO3 99 UBÁ2";#N/A,#N/A,FALSE,"ANEXO3 99 DTU";#N/A,#N/A,FALSE,"ANEXO3 99 RDR";#N/A,#N/A,FALSE,"ANEXO3 99 UBÁ4";#N/A,#N/A,FALSE,"ANEXO3 99 UBÁ6"}</definedName>
    <definedName name="_______a999" localSheetId="6" hidden="1">{#N/A,#N/A,FALSE,"ANEXO3 99 ERA";#N/A,#N/A,FALSE,"ANEXO3 99 UBÁ2";#N/A,#N/A,FALSE,"ANEXO3 99 DTU";#N/A,#N/A,FALSE,"ANEXO3 99 RDR";#N/A,#N/A,FALSE,"ANEXO3 99 UBÁ4";#N/A,#N/A,FALSE,"ANEXO3 99 UBÁ6"}</definedName>
    <definedName name="_______a999" hidden="1">{#N/A,#N/A,FALSE,"ANEXO3 99 ERA";#N/A,#N/A,FALSE,"ANEXO3 99 UBÁ2";#N/A,#N/A,FALSE,"ANEXO3 99 DTU";#N/A,#N/A,FALSE,"ANEXO3 99 RDR";#N/A,#N/A,FALSE,"ANEXO3 99 UBÁ4";#N/A,#N/A,FALSE,"ANEXO3 99 UBÁ6"}</definedName>
    <definedName name="______a999" localSheetId="6" hidden="1">{#N/A,#N/A,FALSE,"ANEXO3 99 ERA";#N/A,#N/A,FALSE,"ANEXO3 99 UBÁ2";#N/A,#N/A,FALSE,"ANEXO3 99 DTU";#N/A,#N/A,FALSE,"ANEXO3 99 RDR";#N/A,#N/A,FALSE,"ANEXO3 99 UBÁ4";#N/A,#N/A,FALSE,"ANEXO3 99 UBÁ6"}</definedName>
    <definedName name="______a999" hidden="1">{#N/A,#N/A,FALSE,"ANEXO3 99 ERA";#N/A,#N/A,FALSE,"ANEXO3 99 UBÁ2";#N/A,#N/A,FALSE,"ANEXO3 99 DTU";#N/A,#N/A,FALSE,"ANEXO3 99 RDR";#N/A,#N/A,FALSE,"ANEXO3 99 UBÁ4";#N/A,#N/A,FALSE,"ANEXO3 99 UBÁ6"}</definedName>
    <definedName name="_____a999" localSheetId="6" hidden="1">{#N/A,#N/A,FALSE,"ANEXO3 99 ERA";#N/A,#N/A,FALSE,"ANEXO3 99 UBÁ2";#N/A,#N/A,FALSE,"ANEXO3 99 DTU";#N/A,#N/A,FALSE,"ANEXO3 99 RDR";#N/A,#N/A,FALSE,"ANEXO3 99 UBÁ4";#N/A,#N/A,FALSE,"ANEXO3 99 UBÁ6"}</definedName>
    <definedName name="_____a999" hidden="1">{#N/A,#N/A,FALSE,"ANEXO3 99 ERA";#N/A,#N/A,FALSE,"ANEXO3 99 UBÁ2";#N/A,#N/A,FALSE,"ANEXO3 99 DTU";#N/A,#N/A,FALSE,"ANEXO3 99 RDR";#N/A,#N/A,FALSE,"ANEXO3 99 UBÁ4";#N/A,#N/A,FALSE,"ANEXO3 99 UBÁ6"}</definedName>
    <definedName name="____a999" localSheetId="6" hidden="1">{#N/A,#N/A,FALSE,"ANEXO3 99 ERA";#N/A,#N/A,FALSE,"ANEXO3 99 UBÁ2";#N/A,#N/A,FALSE,"ANEXO3 99 DTU";#N/A,#N/A,FALSE,"ANEXO3 99 RDR";#N/A,#N/A,FALSE,"ANEXO3 99 UBÁ4";#N/A,#N/A,FALSE,"ANEXO3 99 UBÁ6"}</definedName>
    <definedName name="____a999" hidden="1">{#N/A,#N/A,FALSE,"ANEXO3 99 ERA";#N/A,#N/A,FALSE,"ANEXO3 99 UBÁ2";#N/A,#N/A,FALSE,"ANEXO3 99 DTU";#N/A,#N/A,FALSE,"ANEXO3 99 RDR";#N/A,#N/A,FALSE,"ANEXO3 99 UBÁ4";#N/A,#N/A,FALSE,"ANEXO3 99 UBÁ6"}</definedName>
    <definedName name="____adm1" localSheetId="6" hidden="1">{"'Índice'!$A$1:$K$49"}</definedName>
    <definedName name="____adm1" hidden="1">{"'Índice'!$A$1:$K$49"}</definedName>
    <definedName name="____adm2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a999" localSheetId="6" hidden="1">{#N/A,#N/A,FALSE,"ANEXO3 99 ERA";#N/A,#N/A,FALSE,"ANEXO3 99 UBÁ2";#N/A,#N/A,FALSE,"ANEXO3 99 DTU";#N/A,#N/A,FALSE,"ANEXO3 99 RDR";#N/A,#N/A,FALSE,"ANEXO3 99 UBÁ4";#N/A,#N/A,FALSE,"ANEXO3 99 UBÁ6"}</definedName>
    <definedName name="___a999" hidden="1">{#N/A,#N/A,FALSE,"ANEXO3 99 ERA";#N/A,#N/A,FALSE,"ANEXO3 99 UBÁ2";#N/A,#N/A,FALSE,"ANEXO3 99 DTU";#N/A,#N/A,FALSE,"ANEXO3 99 RDR";#N/A,#N/A,FALSE,"ANEXO3 99 UBÁ4";#N/A,#N/A,FALSE,"ANEXO3 99 UBÁ6"}</definedName>
    <definedName name="___adm1" localSheetId="6" hidden="1">{"'Índice'!$A$1:$K$49"}</definedName>
    <definedName name="___adm1" hidden="1">{"'Índice'!$A$1:$K$49"}</definedName>
    <definedName name="___adm2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DFG4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DFG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JU7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JU7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14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1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16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8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8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123Graph_ASIDECO" localSheetId="21" hidden="1">#REF!</definedName>
    <definedName name="__123Graph_ASIDECO" localSheetId="12" hidden="1">#REF!</definedName>
    <definedName name="__123Graph_ASIDECO" localSheetId="13" hidden="1">#REF!</definedName>
    <definedName name="__123Graph_ASIDECO" localSheetId="14" hidden="1">#REF!</definedName>
    <definedName name="__123Graph_ASIDECO" localSheetId="16" hidden="1">#REF!</definedName>
    <definedName name="__123Graph_ASIDECO" localSheetId="15" hidden="1">#REF!</definedName>
    <definedName name="__123Graph_ASIDECO" localSheetId="17" hidden="1">#REF!</definedName>
    <definedName name="__123Graph_ASIDECO" localSheetId="11" hidden="1">#REF!</definedName>
    <definedName name="__123Graph_ASIDECO" localSheetId="10" hidden="1">#REF!</definedName>
    <definedName name="__123Graph_ASIDECO" localSheetId="22" hidden="1">#REF!</definedName>
    <definedName name="__123Graph_ASIDECO" localSheetId="24" hidden="1">#REF!</definedName>
    <definedName name="__123Graph_ASIDECO" localSheetId="23" hidden="1">#REF!</definedName>
    <definedName name="__123Graph_ASIDECO" localSheetId="20" hidden="1">#REF!</definedName>
    <definedName name="__123Graph_ASIDECO" localSheetId="19" hidden="1">#REF!</definedName>
    <definedName name="__123Graph_ASIDECO" localSheetId="26" hidden="1">#REF!</definedName>
    <definedName name="__123Graph_ASIDECO" localSheetId="27" hidden="1">#REF!</definedName>
    <definedName name="__123Graph_ASIDECO" localSheetId="25" hidden="1">#REF!</definedName>
    <definedName name="__123Graph_ASIDECO" localSheetId="7" hidden="1">#REF!</definedName>
    <definedName name="__123Graph_ASIDECO" localSheetId="4" hidden="1">#REF!</definedName>
    <definedName name="__123Graph_ASIDECO" localSheetId="5" hidden="1">#REF!</definedName>
    <definedName name="__123Graph_ASIDECO" localSheetId="2" hidden="1">#REF!</definedName>
    <definedName name="__123Graph_ASIDECO" localSheetId="3" hidden="1">#REF!</definedName>
    <definedName name="__123Graph_ASIDECO" hidden="1">#REF!</definedName>
    <definedName name="__123Graph_BSIDECO" localSheetId="21" hidden="1">#REF!</definedName>
    <definedName name="__123Graph_BSIDECO" localSheetId="12" hidden="1">#REF!</definedName>
    <definedName name="__123Graph_BSIDECO" localSheetId="13" hidden="1">#REF!</definedName>
    <definedName name="__123Graph_BSIDECO" localSheetId="14" hidden="1">#REF!</definedName>
    <definedName name="__123Graph_BSIDECO" localSheetId="16" hidden="1">#REF!</definedName>
    <definedName name="__123Graph_BSIDECO" localSheetId="15" hidden="1">#REF!</definedName>
    <definedName name="__123Graph_BSIDECO" localSheetId="17" hidden="1">#REF!</definedName>
    <definedName name="__123Graph_BSIDECO" localSheetId="11" hidden="1">#REF!</definedName>
    <definedName name="__123Graph_BSIDECO" localSheetId="10" hidden="1">#REF!</definedName>
    <definedName name="__123Graph_BSIDECO" localSheetId="22" hidden="1">#REF!</definedName>
    <definedName name="__123Graph_BSIDECO" localSheetId="24" hidden="1">#REF!</definedName>
    <definedName name="__123Graph_BSIDECO" localSheetId="23" hidden="1">#REF!</definedName>
    <definedName name="__123Graph_BSIDECO" localSheetId="20" hidden="1">#REF!</definedName>
    <definedName name="__123Graph_BSIDECO" localSheetId="19" hidden="1">#REF!</definedName>
    <definedName name="__123Graph_BSIDECO" localSheetId="26" hidden="1">#REF!</definedName>
    <definedName name="__123Graph_BSIDECO" localSheetId="27" hidden="1">#REF!</definedName>
    <definedName name="__123Graph_BSIDECO" localSheetId="25" hidden="1">#REF!</definedName>
    <definedName name="__123Graph_BSIDECO" localSheetId="7" hidden="1">#REF!</definedName>
    <definedName name="__123Graph_BSIDECO" localSheetId="4" hidden="1">#REF!</definedName>
    <definedName name="__123Graph_BSIDECO" localSheetId="5" hidden="1">#REF!</definedName>
    <definedName name="__123Graph_BSIDECO" localSheetId="2" hidden="1">#REF!</definedName>
    <definedName name="__123Graph_BSIDECO" localSheetId="3" hidden="1">#REF!</definedName>
    <definedName name="__123Graph_BSIDECO" hidden="1">#REF!</definedName>
    <definedName name="__123Graph_CSIDECO" localSheetId="21" hidden="1">#REF!</definedName>
    <definedName name="__123Graph_CSIDECO" localSheetId="12" hidden="1">#REF!</definedName>
    <definedName name="__123Graph_CSIDECO" localSheetId="13" hidden="1">#REF!</definedName>
    <definedName name="__123Graph_CSIDECO" localSheetId="14" hidden="1">#REF!</definedName>
    <definedName name="__123Graph_CSIDECO" localSheetId="16" hidden="1">#REF!</definedName>
    <definedName name="__123Graph_CSIDECO" localSheetId="15" hidden="1">#REF!</definedName>
    <definedName name="__123Graph_CSIDECO" localSheetId="17" hidden="1">#REF!</definedName>
    <definedName name="__123Graph_CSIDECO" localSheetId="11" hidden="1">#REF!</definedName>
    <definedName name="__123Graph_CSIDECO" localSheetId="10" hidden="1">#REF!</definedName>
    <definedName name="__123Graph_CSIDECO" localSheetId="22" hidden="1">#REF!</definedName>
    <definedName name="__123Graph_CSIDECO" localSheetId="24" hidden="1">#REF!</definedName>
    <definedName name="__123Graph_CSIDECO" localSheetId="23" hidden="1">#REF!</definedName>
    <definedName name="__123Graph_CSIDECO" localSheetId="20" hidden="1">#REF!</definedName>
    <definedName name="__123Graph_CSIDECO" localSheetId="19" hidden="1">#REF!</definedName>
    <definedName name="__123Graph_CSIDECO" localSheetId="26" hidden="1">#REF!</definedName>
    <definedName name="__123Graph_CSIDECO" localSheetId="27" hidden="1">#REF!</definedName>
    <definedName name="__123Graph_CSIDECO" localSheetId="25" hidden="1">#REF!</definedName>
    <definedName name="__123Graph_CSIDECO" localSheetId="7" hidden="1">#REF!</definedName>
    <definedName name="__123Graph_CSIDECO" localSheetId="4" hidden="1">#REF!</definedName>
    <definedName name="__123Graph_CSIDECO" localSheetId="5" hidden="1">#REF!</definedName>
    <definedName name="__123Graph_CSIDECO" localSheetId="2" hidden="1">#REF!</definedName>
    <definedName name="__123Graph_CSIDECO" localSheetId="3" hidden="1">#REF!</definedName>
    <definedName name="__123Graph_CSIDECO" hidden="1">#REF!</definedName>
    <definedName name="__123Graph_XSIDECO" localSheetId="21" hidden="1">#REF!</definedName>
    <definedName name="__123Graph_XSIDECO" localSheetId="12" hidden="1">#REF!</definedName>
    <definedName name="__123Graph_XSIDECO" localSheetId="13" hidden="1">#REF!</definedName>
    <definedName name="__123Graph_XSIDECO" localSheetId="14" hidden="1">#REF!</definedName>
    <definedName name="__123Graph_XSIDECO" localSheetId="16" hidden="1">#REF!</definedName>
    <definedName name="__123Graph_XSIDECO" localSheetId="15" hidden="1">#REF!</definedName>
    <definedName name="__123Graph_XSIDECO" localSheetId="17" hidden="1">#REF!</definedName>
    <definedName name="__123Graph_XSIDECO" localSheetId="11" hidden="1">#REF!</definedName>
    <definedName name="__123Graph_XSIDECO" localSheetId="10" hidden="1">#REF!</definedName>
    <definedName name="__123Graph_XSIDECO" localSheetId="22" hidden="1">#REF!</definedName>
    <definedName name="__123Graph_XSIDECO" localSheetId="24" hidden="1">#REF!</definedName>
    <definedName name="__123Graph_XSIDECO" localSheetId="23" hidden="1">#REF!</definedName>
    <definedName name="__123Graph_XSIDECO" localSheetId="20" hidden="1">#REF!</definedName>
    <definedName name="__123Graph_XSIDECO" localSheetId="19" hidden="1">#REF!</definedName>
    <definedName name="__123Graph_XSIDECO" localSheetId="26" hidden="1">#REF!</definedName>
    <definedName name="__123Graph_XSIDECO" localSheetId="27" hidden="1">#REF!</definedName>
    <definedName name="__123Graph_XSIDECO" localSheetId="25" hidden="1">#REF!</definedName>
    <definedName name="__123Graph_XSIDECO" localSheetId="7" hidden="1">#REF!</definedName>
    <definedName name="__123Graph_XSIDECO" localSheetId="4" hidden="1">#REF!</definedName>
    <definedName name="__123Graph_XSIDECO" localSheetId="5" hidden="1">#REF!</definedName>
    <definedName name="__123Graph_XSIDECO" localSheetId="2" hidden="1">#REF!</definedName>
    <definedName name="__123Graph_XSIDECO" localSheetId="3" hidden="1">#REF!</definedName>
    <definedName name="__123Graph_XSIDECO" hidden="1">#REF!</definedName>
    <definedName name="__adm1" localSheetId="6" hidden="1">{"'Índice'!$A$1:$K$49"}</definedName>
    <definedName name="__adm1" hidden="1">{"'Índice'!$A$1:$K$49"}</definedName>
    <definedName name="__adm2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DFG4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DFG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IntlFixup" hidden="1">TRUE</definedName>
    <definedName name="__IntlFixupTable" localSheetId="21" hidden="1">#REF!</definedName>
    <definedName name="__IntlFixupTable" localSheetId="12" hidden="1">#REF!</definedName>
    <definedName name="__IntlFixupTable" localSheetId="13" hidden="1">#REF!</definedName>
    <definedName name="__IntlFixupTable" localSheetId="14" hidden="1">#REF!</definedName>
    <definedName name="__IntlFixupTable" localSheetId="16" hidden="1">#REF!</definedName>
    <definedName name="__IntlFixupTable" localSheetId="15" hidden="1">#REF!</definedName>
    <definedName name="__IntlFixupTable" localSheetId="17" hidden="1">#REF!</definedName>
    <definedName name="__IntlFixupTable" localSheetId="11" hidden="1">#REF!</definedName>
    <definedName name="__IntlFixupTable" localSheetId="10" hidden="1">#REF!</definedName>
    <definedName name="__IntlFixupTable" localSheetId="22" hidden="1">#REF!</definedName>
    <definedName name="__IntlFixupTable" localSheetId="24" hidden="1">#REF!</definedName>
    <definedName name="__IntlFixupTable" localSheetId="23" hidden="1">#REF!</definedName>
    <definedName name="__IntlFixupTable" localSheetId="20" hidden="1">#REF!</definedName>
    <definedName name="__IntlFixupTable" localSheetId="19" hidden="1">#REF!</definedName>
    <definedName name="__IntlFixupTable" localSheetId="26" hidden="1">#REF!</definedName>
    <definedName name="__IntlFixupTable" localSheetId="27" hidden="1">#REF!</definedName>
    <definedName name="__IntlFixupTable" localSheetId="25" hidden="1">#REF!</definedName>
    <definedName name="__IntlFixupTable" localSheetId="7" hidden="1">#REF!</definedName>
    <definedName name="__IntlFixupTable" localSheetId="4" hidden="1">#REF!</definedName>
    <definedName name="__IntlFixupTable" localSheetId="5" hidden="1">#REF!</definedName>
    <definedName name="__IntlFixupTable" localSheetId="2" hidden="1">#REF!</definedName>
    <definedName name="__IntlFixupTable" localSheetId="3" hidden="1">#REF!</definedName>
    <definedName name="__IntlFixupTable" hidden="1">#REF!</definedName>
    <definedName name="__JAN02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JAN0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JU7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JU7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14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1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16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4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8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8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x1" localSheetId="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__x1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_10__123Graph_BCHART_2" localSheetId="21" hidden="1">[1]Premissas!#REF!</definedName>
    <definedName name="_10__123Graph_BCHART_2" localSheetId="12" hidden="1">[1]Premissas!#REF!</definedName>
    <definedName name="_10__123Graph_BCHART_2" localSheetId="13" hidden="1">[1]Premissas!#REF!</definedName>
    <definedName name="_10__123Graph_BCHART_2" localSheetId="14" hidden="1">[1]Premissas!#REF!</definedName>
    <definedName name="_10__123Graph_BCHART_2" localSheetId="16" hidden="1">[1]Premissas!#REF!</definedName>
    <definedName name="_10__123Graph_BCHART_2" localSheetId="15" hidden="1">[1]Premissas!#REF!</definedName>
    <definedName name="_10__123Graph_BCHART_2" localSheetId="17" hidden="1">[1]Premissas!#REF!</definedName>
    <definedName name="_10__123Graph_BCHART_2" localSheetId="11" hidden="1">[1]Premissas!#REF!</definedName>
    <definedName name="_10__123Graph_BCHART_2" localSheetId="10" hidden="1">[1]Premissas!#REF!</definedName>
    <definedName name="_10__123Graph_BCHART_2" localSheetId="22" hidden="1">[1]Premissas!#REF!</definedName>
    <definedName name="_10__123Graph_BCHART_2" localSheetId="24" hidden="1">[1]Premissas!#REF!</definedName>
    <definedName name="_10__123Graph_BCHART_2" localSheetId="23" hidden="1">[1]Premissas!#REF!</definedName>
    <definedName name="_10__123Graph_BCHART_2" localSheetId="20" hidden="1">[1]Premissas!#REF!</definedName>
    <definedName name="_10__123Graph_BCHART_2" localSheetId="19" hidden="1">[1]Premissas!#REF!</definedName>
    <definedName name="_10__123Graph_BCHART_2" localSheetId="26" hidden="1">[1]Premissas!#REF!</definedName>
    <definedName name="_10__123Graph_BCHART_2" localSheetId="27" hidden="1">[1]Premissas!#REF!</definedName>
    <definedName name="_10__123Graph_BCHART_2" localSheetId="25" hidden="1">[1]Premissas!#REF!</definedName>
    <definedName name="_10__123Graph_BCHART_2" localSheetId="7" hidden="1">[1]Premissas!#REF!</definedName>
    <definedName name="_10__123Graph_BCHART_2" localSheetId="4" hidden="1">[1]Premissas!#REF!</definedName>
    <definedName name="_10__123Graph_BCHART_2" localSheetId="5" hidden="1">[1]Premissas!#REF!</definedName>
    <definedName name="_10__123Graph_BCHART_2" localSheetId="2" hidden="1">[1]Premissas!#REF!</definedName>
    <definedName name="_10__123Graph_BCHART_2" localSheetId="3" hidden="1">[1]Premissas!#REF!</definedName>
    <definedName name="_10__123Graph_BCHART_2" hidden="1">[1]Premissas!#REF!</definedName>
    <definedName name="_15__123Graph_CCHART_2" localSheetId="21" hidden="1">[1]Premissas!#REF!</definedName>
    <definedName name="_15__123Graph_CCHART_2" localSheetId="12" hidden="1">[1]Premissas!#REF!</definedName>
    <definedName name="_15__123Graph_CCHART_2" localSheetId="13" hidden="1">[1]Premissas!#REF!</definedName>
    <definedName name="_15__123Graph_CCHART_2" localSheetId="14" hidden="1">[1]Premissas!#REF!</definedName>
    <definedName name="_15__123Graph_CCHART_2" localSheetId="16" hidden="1">[1]Premissas!#REF!</definedName>
    <definedName name="_15__123Graph_CCHART_2" localSheetId="15" hidden="1">[1]Premissas!#REF!</definedName>
    <definedName name="_15__123Graph_CCHART_2" localSheetId="17" hidden="1">[1]Premissas!#REF!</definedName>
    <definedName name="_15__123Graph_CCHART_2" localSheetId="11" hidden="1">[1]Premissas!#REF!</definedName>
    <definedName name="_15__123Graph_CCHART_2" localSheetId="10" hidden="1">[1]Premissas!#REF!</definedName>
    <definedName name="_15__123Graph_CCHART_2" localSheetId="22" hidden="1">[1]Premissas!#REF!</definedName>
    <definedName name="_15__123Graph_CCHART_2" localSheetId="24" hidden="1">[1]Premissas!#REF!</definedName>
    <definedName name="_15__123Graph_CCHART_2" localSheetId="23" hidden="1">[1]Premissas!#REF!</definedName>
    <definedName name="_15__123Graph_CCHART_2" localSheetId="20" hidden="1">[1]Premissas!#REF!</definedName>
    <definedName name="_15__123Graph_CCHART_2" localSheetId="19" hidden="1">[1]Premissas!#REF!</definedName>
    <definedName name="_15__123Graph_CCHART_2" localSheetId="26" hidden="1">[1]Premissas!#REF!</definedName>
    <definedName name="_15__123Graph_CCHART_2" localSheetId="27" hidden="1">[1]Premissas!#REF!</definedName>
    <definedName name="_15__123Graph_CCHART_2" localSheetId="25" hidden="1">[1]Premissas!#REF!</definedName>
    <definedName name="_15__123Graph_CCHART_2" localSheetId="7" hidden="1">[1]Premissas!#REF!</definedName>
    <definedName name="_15__123Graph_CCHART_2" localSheetId="4" hidden="1">[1]Premissas!#REF!</definedName>
    <definedName name="_15__123Graph_CCHART_2" localSheetId="5" hidden="1">[1]Premissas!#REF!</definedName>
    <definedName name="_15__123Graph_CCHART_2" localSheetId="2" hidden="1">[1]Premissas!#REF!</definedName>
    <definedName name="_15__123Graph_CCHART_2" localSheetId="3" hidden="1">[1]Premissas!#REF!</definedName>
    <definedName name="_15__123Graph_CCHART_2" hidden="1">[1]Premissas!#REF!</definedName>
    <definedName name="_20__123Graph_DCHART_2" localSheetId="21" hidden="1">[1]Premissas!#REF!</definedName>
    <definedName name="_20__123Graph_DCHART_2" localSheetId="12" hidden="1">[1]Premissas!#REF!</definedName>
    <definedName name="_20__123Graph_DCHART_2" localSheetId="13" hidden="1">[1]Premissas!#REF!</definedName>
    <definedName name="_20__123Graph_DCHART_2" localSheetId="14" hidden="1">[1]Premissas!#REF!</definedName>
    <definedName name="_20__123Graph_DCHART_2" localSheetId="16" hidden="1">[1]Premissas!#REF!</definedName>
    <definedName name="_20__123Graph_DCHART_2" localSheetId="15" hidden="1">[1]Premissas!#REF!</definedName>
    <definedName name="_20__123Graph_DCHART_2" localSheetId="17" hidden="1">[1]Premissas!#REF!</definedName>
    <definedName name="_20__123Graph_DCHART_2" localSheetId="11" hidden="1">[1]Premissas!#REF!</definedName>
    <definedName name="_20__123Graph_DCHART_2" localSheetId="10" hidden="1">[1]Premissas!#REF!</definedName>
    <definedName name="_20__123Graph_DCHART_2" localSheetId="22" hidden="1">[1]Premissas!#REF!</definedName>
    <definedName name="_20__123Graph_DCHART_2" localSheetId="24" hidden="1">[1]Premissas!#REF!</definedName>
    <definedName name="_20__123Graph_DCHART_2" localSheetId="23" hidden="1">[1]Premissas!#REF!</definedName>
    <definedName name="_20__123Graph_DCHART_2" localSheetId="20" hidden="1">[1]Premissas!#REF!</definedName>
    <definedName name="_20__123Graph_DCHART_2" localSheetId="19" hidden="1">[1]Premissas!#REF!</definedName>
    <definedName name="_20__123Graph_DCHART_2" localSheetId="26" hidden="1">[1]Premissas!#REF!</definedName>
    <definedName name="_20__123Graph_DCHART_2" localSheetId="27" hidden="1">[1]Premissas!#REF!</definedName>
    <definedName name="_20__123Graph_DCHART_2" localSheetId="25" hidden="1">[1]Premissas!#REF!</definedName>
    <definedName name="_20__123Graph_DCHART_2" localSheetId="7" hidden="1">[1]Premissas!#REF!</definedName>
    <definedName name="_20__123Graph_DCHART_2" localSheetId="4" hidden="1">[1]Premissas!#REF!</definedName>
    <definedName name="_20__123Graph_DCHART_2" localSheetId="5" hidden="1">[1]Premissas!#REF!</definedName>
    <definedName name="_20__123Graph_DCHART_2" localSheetId="2" hidden="1">[1]Premissas!#REF!</definedName>
    <definedName name="_20__123Graph_DCHART_2" localSheetId="3" hidden="1">[1]Premissas!#REF!</definedName>
    <definedName name="_20__123Graph_DCHART_2" hidden="1">[1]Premissas!#REF!</definedName>
    <definedName name="_5__123Graph_ACHART_2" localSheetId="21" hidden="1">[1]Premissas!#REF!</definedName>
    <definedName name="_5__123Graph_ACHART_2" localSheetId="12" hidden="1">[1]Premissas!#REF!</definedName>
    <definedName name="_5__123Graph_ACHART_2" localSheetId="13" hidden="1">[1]Premissas!#REF!</definedName>
    <definedName name="_5__123Graph_ACHART_2" localSheetId="14" hidden="1">[1]Premissas!#REF!</definedName>
    <definedName name="_5__123Graph_ACHART_2" localSheetId="16" hidden="1">[1]Premissas!#REF!</definedName>
    <definedName name="_5__123Graph_ACHART_2" localSheetId="15" hidden="1">[1]Premissas!#REF!</definedName>
    <definedName name="_5__123Graph_ACHART_2" localSheetId="17" hidden="1">[1]Premissas!#REF!</definedName>
    <definedName name="_5__123Graph_ACHART_2" localSheetId="11" hidden="1">[1]Premissas!#REF!</definedName>
    <definedName name="_5__123Graph_ACHART_2" localSheetId="10" hidden="1">[1]Premissas!#REF!</definedName>
    <definedName name="_5__123Graph_ACHART_2" localSheetId="22" hidden="1">[1]Premissas!#REF!</definedName>
    <definedName name="_5__123Graph_ACHART_2" localSheetId="24" hidden="1">[1]Premissas!#REF!</definedName>
    <definedName name="_5__123Graph_ACHART_2" localSheetId="23" hidden="1">[1]Premissas!#REF!</definedName>
    <definedName name="_5__123Graph_ACHART_2" localSheetId="20" hidden="1">[1]Premissas!#REF!</definedName>
    <definedName name="_5__123Graph_ACHART_2" localSheetId="19" hidden="1">[1]Premissas!#REF!</definedName>
    <definedName name="_5__123Graph_ACHART_2" localSheetId="26" hidden="1">[1]Premissas!#REF!</definedName>
    <definedName name="_5__123Graph_ACHART_2" localSheetId="27" hidden="1">[1]Premissas!#REF!</definedName>
    <definedName name="_5__123Graph_ACHART_2" localSheetId="25" hidden="1">[1]Premissas!#REF!</definedName>
    <definedName name="_5__123Graph_ACHART_2" localSheetId="7" hidden="1">[1]Premissas!#REF!</definedName>
    <definedName name="_5__123Graph_ACHART_2" localSheetId="4" hidden="1">[1]Premissas!#REF!</definedName>
    <definedName name="_5__123Graph_ACHART_2" localSheetId="5" hidden="1">[1]Premissas!#REF!</definedName>
    <definedName name="_5__123Graph_ACHART_2" localSheetId="2" hidden="1">[1]Premissas!#REF!</definedName>
    <definedName name="_5__123Graph_ACHART_2" localSheetId="3" hidden="1">[1]Premissas!#REF!</definedName>
    <definedName name="_5__123Graph_ACHART_2" hidden="1">[1]Premissas!#REF!</definedName>
    <definedName name="_a999" localSheetId="6" hidden="1">{#N/A,#N/A,FALSE,"ANEXO3 99 ERA";#N/A,#N/A,FALSE,"ANEXO3 99 UBÁ2";#N/A,#N/A,FALSE,"ANEXO3 99 DTU";#N/A,#N/A,FALSE,"ANEXO3 99 RDR";#N/A,#N/A,FALSE,"ANEXO3 99 UBÁ4";#N/A,#N/A,FALSE,"ANEXO3 99 UBÁ6"}</definedName>
    <definedName name="_a999" hidden="1">{#N/A,#N/A,FALSE,"ANEXO3 99 ERA";#N/A,#N/A,FALSE,"ANEXO3 99 UBÁ2";#N/A,#N/A,FALSE,"ANEXO3 99 DTU";#N/A,#N/A,FALSE,"ANEXO3 99 RDR";#N/A,#N/A,FALSE,"ANEXO3 99 UBÁ4";#N/A,#N/A,FALSE,"ANEXO3 99 UBÁ6"}</definedName>
    <definedName name="_adm1" localSheetId="6" hidden="1">{"'Índice'!$A$1:$K$49"}</definedName>
    <definedName name="_adm1" hidden="1">{"'Índice'!$A$1:$K$49"}</definedName>
    <definedName name="_adm2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cc1" localSheetId="6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_cc1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_DFG4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DFG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Fill" localSheetId="21" hidden="1">#REF!</definedName>
    <definedName name="_Fill" localSheetId="12" hidden="1">#REF!</definedName>
    <definedName name="_Fill" localSheetId="13" hidden="1">#REF!</definedName>
    <definedName name="_Fill" localSheetId="14" hidden="1">#REF!</definedName>
    <definedName name="_Fill" localSheetId="16" hidden="1">#REF!</definedName>
    <definedName name="_Fill" localSheetId="15" hidden="1">#REF!</definedName>
    <definedName name="_Fill" localSheetId="17" hidden="1">#REF!</definedName>
    <definedName name="_Fill" localSheetId="11" hidden="1">#REF!</definedName>
    <definedName name="_Fill" localSheetId="10" hidden="1">#REF!</definedName>
    <definedName name="_Fill" localSheetId="22" hidden="1">#REF!</definedName>
    <definedName name="_Fill" localSheetId="24" hidden="1">#REF!</definedName>
    <definedName name="_Fill" localSheetId="23" hidden="1">#REF!</definedName>
    <definedName name="_Fill" localSheetId="20" hidden="1">#REF!</definedName>
    <definedName name="_Fill" localSheetId="19" hidden="1">#REF!</definedName>
    <definedName name="_Fill" localSheetId="26" hidden="1">#REF!</definedName>
    <definedName name="_Fill" localSheetId="27" hidden="1">#REF!</definedName>
    <definedName name="_Fill" localSheetId="25" hidden="1">#REF!</definedName>
    <definedName name="_Fill" localSheetId="7" hidden="1">#REF!</definedName>
    <definedName name="_Fill" localSheetId="4" hidden="1">#REF!</definedName>
    <definedName name="_Fill" localSheetId="5" hidden="1">#REF!</definedName>
    <definedName name="_Fill" localSheetId="2" hidden="1">#REF!</definedName>
    <definedName name="_Fill" localSheetId="3" hidden="1">#REF!</definedName>
    <definedName name="_Fill" hidden="1">#REF!</definedName>
    <definedName name="_fill1" localSheetId="21" hidden="1">#REF!</definedName>
    <definedName name="_fill1" localSheetId="12" hidden="1">#REF!</definedName>
    <definedName name="_fill1" localSheetId="13" hidden="1">#REF!</definedName>
    <definedName name="_fill1" localSheetId="14" hidden="1">#REF!</definedName>
    <definedName name="_fill1" localSheetId="16" hidden="1">#REF!</definedName>
    <definedName name="_fill1" localSheetId="15" hidden="1">#REF!</definedName>
    <definedName name="_fill1" localSheetId="17" hidden="1">#REF!</definedName>
    <definedName name="_fill1" localSheetId="11" hidden="1">#REF!</definedName>
    <definedName name="_fill1" localSheetId="10" hidden="1">#REF!</definedName>
    <definedName name="_fill1" localSheetId="22" hidden="1">#REF!</definedName>
    <definedName name="_fill1" localSheetId="24" hidden="1">#REF!</definedName>
    <definedName name="_fill1" localSheetId="23" hidden="1">#REF!</definedName>
    <definedName name="_fill1" localSheetId="20" hidden="1">#REF!</definedName>
    <definedName name="_fill1" localSheetId="19" hidden="1">#REF!</definedName>
    <definedName name="_fill1" localSheetId="26" hidden="1">#REF!</definedName>
    <definedName name="_fill1" localSheetId="27" hidden="1">#REF!</definedName>
    <definedName name="_fill1" localSheetId="25" hidden="1">#REF!</definedName>
    <definedName name="_fill1" localSheetId="7" hidden="1">#REF!</definedName>
    <definedName name="_fill1" localSheetId="4" hidden="1">#REF!</definedName>
    <definedName name="_fill1" localSheetId="5" hidden="1">#REF!</definedName>
    <definedName name="_fill1" localSheetId="2" hidden="1">#REF!</definedName>
    <definedName name="_fill1" localSheetId="3" hidden="1">#REF!</definedName>
    <definedName name="_fill1" hidden="1">#REF!</definedName>
    <definedName name="_xlnm._FilterDatabase" localSheetId="21" hidden="1">#REF!</definedName>
    <definedName name="_xlnm._FilterDatabase" localSheetId="12" hidden="1">#REF!</definedName>
    <definedName name="_xlnm._FilterDatabase" localSheetId="13" hidden="1">#REF!</definedName>
    <definedName name="_xlnm._FilterDatabase" localSheetId="14" hidden="1">#REF!</definedName>
    <definedName name="_xlnm._FilterDatabase" localSheetId="16" hidden="1">#REF!</definedName>
    <definedName name="_xlnm._FilterDatabase" localSheetId="15" hidden="1">#REF!</definedName>
    <definedName name="_xlnm._FilterDatabase" localSheetId="17" hidden="1">#REF!</definedName>
    <definedName name="_xlnm._FilterDatabase" localSheetId="11" hidden="1">#REF!</definedName>
    <definedName name="_xlnm._FilterDatabase" localSheetId="10" hidden="1">#REF!</definedName>
    <definedName name="_xlnm._FilterDatabase" localSheetId="22" hidden="1">#REF!</definedName>
    <definedName name="_xlnm._FilterDatabase" localSheetId="24" hidden="1">#REF!</definedName>
    <definedName name="_xlnm._FilterDatabase" localSheetId="23" hidden="1">#REF!</definedName>
    <definedName name="_xlnm._FilterDatabase" localSheetId="20" hidden="1">#REF!</definedName>
    <definedName name="_xlnm._FilterDatabase" localSheetId="19" hidden="1">#REF!</definedName>
    <definedName name="_xlnm._FilterDatabase" localSheetId="26" hidden="1">#REF!</definedName>
    <definedName name="_xlnm._FilterDatabase" localSheetId="27" hidden="1">#REF!</definedName>
    <definedName name="_xlnm._FilterDatabase" localSheetId="25" hidden="1">#REF!</definedName>
    <definedName name="_xlnm._FilterDatabase" localSheetId="7" hidden="1">#REF!</definedName>
    <definedName name="_xlnm._FilterDatabase" localSheetId="4" hidden="1">#REF!</definedName>
    <definedName name="_xlnm._FilterDatabase" localSheetId="5" hidden="1">#REF!</definedName>
    <definedName name="_xlnm._FilterDatabase" localSheetId="2" hidden="1">#REF!</definedName>
    <definedName name="_xlnm._FilterDatabase" localSheetId="3" hidden="1">#REF!</definedName>
    <definedName name="_xlnm._FilterDatabase" hidden="1">#REF!</definedName>
    <definedName name="_JAN02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JAN0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JU7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JU7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ey1" hidden="1">'[2]#REF'!$C$12</definedName>
    <definedName name="_Key2" hidden="1">'[2]#REF'!$C$26</definedName>
    <definedName name="_kj14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1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16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4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8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8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MatMult_A" localSheetId="21" hidden="1">'[3]Painel de Controle'!#REF!</definedName>
    <definedName name="_MatMult_A" localSheetId="12" hidden="1">'[3]Painel de Controle'!#REF!</definedName>
    <definedName name="_MatMult_A" localSheetId="13" hidden="1">'[3]Painel de Controle'!#REF!</definedName>
    <definedName name="_MatMult_A" localSheetId="14" hidden="1">'[3]Painel de Controle'!#REF!</definedName>
    <definedName name="_MatMult_A" localSheetId="16" hidden="1">'[3]Painel de Controle'!#REF!</definedName>
    <definedName name="_MatMult_A" localSheetId="15" hidden="1">'[3]Painel de Controle'!#REF!</definedName>
    <definedName name="_MatMult_A" localSheetId="17" hidden="1">'[3]Painel de Controle'!#REF!</definedName>
    <definedName name="_MatMult_A" localSheetId="11" hidden="1">'[3]Painel de Controle'!#REF!</definedName>
    <definedName name="_MatMult_A" localSheetId="10" hidden="1">'[3]Painel de Controle'!#REF!</definedName>
    <definedName name="_MatMult_A" localSheetId="22" hidden="1">'[3]Painel de Controle'!#REF!</definedName>
    <definedName name="_MatMult_A" localSheetId="24" hidden="1">'[3]Painel de Controle'!#REF!</definedName>
    <definedName name="_MatMult_A" localSheetId="23" hidden="1">'[3]Painel de Controle'!#REF!</definedName>
    <definedName name="_MatMult_A" localSheetId="20" hidden="1">'[3]Painel de Controle'!#REF!</definedName>
    <definedName name="_MatMult_A" localSheetId="19" hidden="1">'[3]Painel de Controle'!#REF!</definedName>
    <definedName name="_MatMult_A" localSheetId="26" hidden="1">'[3]Painel de Controle'!#REF!</definedName>
    <definedName name="_MatMult_A" localSheetId="27" hidden="1">'[3]Painel de Controle'!#REF!</definedName>
    <definedName name="_MatMult_A" localSheetId="25" hidden="1">'[3]Painel de Controle'!#REF!</definedName>
    <definedName name="_MatMult_A" localSheetId="7" hidden="1">'[3]Painel de Controle'!#REF!</definedName>
    <definedName name="_MatMult_A" localSheetId="4" hidden="1">'[3]Painel de Controle'!#REF!</definedName>
    <definedName name="_MatMult_A" localSheetId="5" hidden="1">'[3]Painel de Controle'!#REF!</definedName>
    <definedName name="_MatMult_A" localSheetId="2" hidden="1">'[3]Painel de Controle'!#REF!</definedName>
    <definedName name="_MatMult_A" localSheetId="3" hidden="1">'[3]Painel de Controle'!#REF!</definedName>
    <definedName name="_MatMult_A" hidden="1">'[3]Painel de Controle'!#REF!</definedName>
    <definedName name="_Order1" hidden="1">255</definedName>
    <definedName name="_Order2" hidden="1">255</definedName>
    <definedName name="_Regression_Int" hidden="1">1</definedName>
    <definedName name="_Sort" hidden="1">'[2]#REF'!$C$176:$C$194</definedName>
    <definedName name="_Table1_In1" localSheetId="21" hidden="1">#REF!</definedName>
    <definedName name="_Table1_In1" localSheetId="12" hidden="1">#REF!</definedName>
    <definedName name="_Table1_In1" localSheetId="13" hidden="1">#REF!</definedName>
    <definedName name="_Table1_In1" localSheetId="14" hidden="1">#REF!</definedName>
    <definedName name="_Table1_In1" localSheetId="16" hidden="1">#REF!</definedName>
    <definedName name="_Table1_In1" localSheetId="15" hidden="1">#REF!</definedName>
    <definedName name="_Table1_In1" localSheetId="17" hidden="1">#REF!</definedName>
    <definedName name="_Table1_In1" localSheetId="11" hidden="1">#REF!</definedName>
    <definedName name="_Table1_In1" localSheetId="10" hidden="1">#REF!</definedName>
    <definedName name="_Table1_In1" localSheetId="22" hidden="1">#REF!</definedName>
    <definedName name="_Table1_In1" localSheetId="24" hidden="1">#REF!</definedName>
    <definedName name="_Table1_In1" localSheetId="23" hidden="1">#REF!</definedName>
    <definedName name="_Table1_In1" localSheetId="20" hidden="1">#REF!</definedName>
    <definedName name="_Table1_In1" localSheetId="19" hidden="1">#REF!</definedName>
    <definedName name="_Table1_In1" localSheetId="26" hidden="1">#REF!</definedName>
    <definedName name="_Table1_In1" localSheetId="27" hidden="1">#REF!</definedName>
    <definedName name="_Table1_In1" localSheetId="25" hidden="1">#REF!</definedName>
    <definedName name="_Table1_In1" localSheetId="7" hidden="1">#REF!</definedName>
    <definedName name="_Table1_In1" localSheetId="4" hidden="1">#REF!</definedName>
    <definedName name="_Table1_In1" localSheetId="5" hidden="1">#REF!</definedName>
    <definedName name="_Table1_In1" localSheetId="2" hidden="1">#REF!</definedName>
    <definedName name="_Table1_In1" localSheetId="3" hidden="1">#REF!</definedName>
    <definedName name="_Table1_In1" hidden="1">#REF!</definedName>
    <definedName name="_Table1_Out" localSheetId="21" hidden="1">#REF!</definedName>
    <definedName name="_Table1_Out" localSheetId="12" hidden="1">#REF!</definedName>
    <definedName name="_Table1_Out" localSheetId="13" hidden="1">#REF!</definedName>
    <definedName name="_Table1_Out" localSheetId="14" hidden="1">#REF!</definedName>
    <definedName name="_Table1_Out" localSheetId="16" hidden="1">#REF!</definedName>
    <definedName name="_Table1_Out" localSheetId="15" hidden="1">#REF!</definedName>
    <definedName name="_Table1_Out" localSheetId="17" hidden="1">#REF!</definedName>
    <definedName name="_Table1_Out" localSheetId="11" hidden="1">#REF!</definedName>
    <definedName name="_Table1_Out" localSheetId="10" hidden="1">#REF!</definedName>
    <definedName name="_Table1_Out" localSheetId="22" hidden="1">#REF!</definedName>
    <definedName name="_Table1_Out" localSheetId="24" hidden="1">#REF!</definedName>
    <definedName name="_Table1_Out" localSheetId="23" hidden="1">#REF!</definedName>
    <definedName name="_Table1_Out" localSheetId="20" hidden="1">#REF!</definedName>
    <definedName name="_Table1_Out" localSheetId="19" hidden="1">#REF!</definedName>
    <definedName name="_Table1_Out" localSheetId="26" hidden="1">#REF!</definedName>
    <definedName name="_Table1_Out" localSheetId="27" hidden="1">#REF!</definedName>
    <definedName name="_Table1_Out" localSheetId="25" hidden="1">#REF!</definedName>
    <definedName name="_Table1_Out" localSheetId="7" hidden="1">#REF!</definedName>
    <definedName name="_Table1_Out" localSheetId="4" hidden="1">#REF!</definedName>
    <definedName name="_Table1_Out" localSheetId="5" hidden="1">#REF!</definedName>
    <definedName name="_Table1_Out" localSheetId="2" hidden="1">#REF!</definedName>
    <definedName name="_Table1_Out" localSheetId="3" hidden="1">#REF!</definedName>
    <definedName name="_Table1_Out" hidden="1">#REF!</definedName>
    <definedName name="_Table2_Out" localSheetId="21" hidden="1">#REF!</definedName>
    <definedName name="_Table2_Out" localSheetId="12" hidden="1">#REF!</definedName>
    <definedName name="_Table2_Out" localSheetId="13" hidden="1">#REF!</definedName>
    <definedName name="_Table2_Out" localSheetId="14" hidden="1">#REF!</definedName>
    <definedName name="_Table2_Out" localSheetId="16" hidden="1">#REF!</definedName>
    <definedName name="_Table2_Out" localSheetId="15" hidden="1">#REF!</definedName>
    <definedName name="_Table2_Out" localSheetId="17" hidden="1">#REF!</definedName>
    <definedName name="_Table2_Out" localSheetId="11" hidden="1">#REF!</definedName>
    <definedName name="_Table2_Out" localSheetId="10" hidden="1">#REF!</definedName>
    <definedName name="_Table2_Out" localSheetId="22" hidden="1">#REF!</definedName>
    <definedName name="_Table2_Out" localSheetId="24" hidden="1">#REF!</definedName>
    <definedName name="_Table2_Out" localSheetId="23" hidden="1">#REF!</definedName>
    <definedName name="_Table2_Out" localSheetId="20" hidden="1">#REF!</definedName>
    <definedName name="_Table2_Out" localSheetId="19" hidden="1">#REF!</definedName>
    <definedName name="_Table2_Out" localSheetId="26" hidden="1">#REF!</definedName>
    <definedName name="_Table2_Out" localSheetId="27" hidden="1">#REF!</definedName>
    <definedName name="_Table2_Out" localSheetId="25" hidden="1">#REF!</definedName>
    <definedName name="_Table2_Out" localSheetId="7" hidden="1">#REF!</definedName>
    <definedName name="_Table2_Out" localSheetId="4" hidden="1">#REF!</definedName>
    <definedName name="_Table2_Out" localSheetId="5" hidden="1">#REF!</definedName>
    <definedName name="_Table2_Out" localSheetId="2" hidden="1">#REF!</definedName>
    <definedName name="_Table2_Out" localSheetId="3" hidden="1">#REF!</definedName>
    <definedName name="_Table2_Out" hidden="1">#REF!</definedName>
    <definedName name="_x1" localSheetId="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_x1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a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">'20-21_a&amp;b'!$C$7</definedName>
    <definedName name="a_b_x">'20-21_a&amp;b'!$C$4</definedName>
    <definedName name="a000" localSheetId="6" hidden="1">{#N/A,#N/A,FALSE,"ANEXO3 99 ERA";#N/A,#N/A,FALSE,"ANEXO3 99 UBÁ2";#N/A,#N/A,FALSE,"ANEXO3 99 DTU";#N/A,#N/A,FALSE,"ANEXO3 99 RDR";#N/A,#N/A,FALSE,"ANEXO3 99 UBÁ4";#N/A,#N/A,FALSE,"ANEXO3 99 UBÁ6"}</definedName>
    <definedName name="a000" hidden="1">{#N/A,#N/A,FALSE,"ANEXO3 99 ERA";#N/A,#N/A,FALSE,"ANEXO3 99 UBÁ2";#N/A,#N/A,FALSE,"ANEXO3 99 DTU";#N/A,#N/A,FALSE,"ANEXO3 99 RDR";#N/A,#N/A,FALSE,"ANEXO3 99 UBÁ4";#N/A,#N/A,FALSE,"ANEXO3 99 UBÁ6"}</definedName>
    <definedName name="AA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A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AA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AA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BC" localSheetId="21" hidden="1">#REF!</definedName>
    <definedName name="ABC" localSheetId="12" hidden="1">#REF!</definedName>
    <definedName name="ABC" localSheetId="13" hidden="1">#REF!</definedName>
    <definedName name="ABC" localSheetId="14" hidden="1">#REF!</definedName>
    <definedName name="ABC" localSheetId="16" hidden="1">#REF!</definedName>
    <definedName name="ABC" localSheetId="15" hidden="1">#REF!</definedName>
    <definedName name="ABC" localSheetId="17" hidden="1">#REF!</definedName>
    <definedName name="ABC" localSheetId="11" hidden="1">#REF!</definedName>
    <definedName name="ABC" localSheetId="10" hidden="1">#REF!</definedName>
    <definedName name="ABC" localSheetId="22" hidden="1">#REF!</definedName>
    <definedName name="ABC" localSheetId="24" hidden="1">#REF!</definedName>
    <definedName name="ABC" localSheetId="23" hidden="1">#REF!</definedName>
    <definedName name="ABC" localSheetId="20" hidden="1">#REF!</definedName>
    <definedName name="ABC" localSheetId="19" hidden="1">#REF!</definedName>
    <definedName name="ABC" localSheetId="26" hidden="1">#REF!</definedName>
    <definedName name="ABC" localSheetId="27" hidden="1">#REF!</definedName>
    <definedName name="ABC" localSheetId="25" hidden="1">#REF!</definedName>
    <definedName name="ABC" localSheetId="7" hidden="1">#REF!</definedName>
    <definedName name="ABC" localSheetId="4" hidden="1">#REF!</definedName>
    <definedName name="ABC" localSheetId="5" hidden="1">#REF!</definedName>
    <definedName name="ABC" localSheetId="2" hidden="1">#REF!</definedName>
    <definedName name="ABC" localSheetId="3" hidden="1">#REF!</definedName>
    <definedName name="ABC" hidden="1">#REF!</definedName>
    <definedName name="AccessDatabase" hidden="1">"C:\Documents and Settings\JPMELLO\Meus documentos\ARQUIVOS 2004\MONITORAMENTO OAC\Monitoramento de OAC.mdb"</definedName>
    <definedName name="aeaw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eaw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go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go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LB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LB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mortizaciones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amortizacion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anscount" hidden="1">1</definedName>
    <definedName name="aq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rlindo" localSheetId="6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Arlindo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AS" localSheetId="21" hidden="1">#REF!</definedName>
    <definedName name="AS" localSheetId="12" hidden="1">#REF!</definedName>
    <definedName name="AS" localSheetId="13" hidden="1">#REF!</definedName>
    <definedName name="AS" localSheetId="14" hidden="1">#REF!</definedName>
    <definedName name="AS" localSheetId="16" hidden="1">#REF!</definedName>
    <definedName name="AS" localSheetId="15" hidden="1">#REF!</definedName>
    <definedName name="AS" localSheetId="17" hidden="1">#REF!</definedName>
    <definedName name="AS" localSheetId="11" hidden="1">#REF!</definedName>
    <definedName name="AS" localSheetId="10" hidden="1">#REF!</definedName>
    <definedName name="AS" localSheetId="22" hidden="1">#REF!</definedName>
    <definedName name="AS" localSheetId="24" hidden="1">#REF!</definedName>
    <definedName name="AS" localSheetId="23" hidden="1">#REF!</definedName>
    <definedName name="AS" localSheetId="20" hidden="1">#REF!</definedName>
    <definedName name="AS" localSheetId="19" hidden="1">#REF!</definedName>
    <definedName name="AS" localSheetId="26" hidden="1">#REF!</definedName>
    <definedName name="AS" localSheetId="27" hidden="1">#REF!</definedName>
    <definedName name="AS" localSheetId="25" hidden="1">#REF!</definedName>
    <definedName name="AS" localSheetId="28" hidden="1">#REF!</definedName>
    <definedName name="AS" localSheetId="7" hidden="1">#REF!</definedName>
    <definedName name="AS" localSheetId="4" hidden="1">#REF!</definedName>
    <definedName name="AS" localSheetId="5" hidden="1">#REF!</definedName>
    <definedName name="AS" localSheetId="2" hidden="1">#REF!</definedName>
    <definedName name="AS" localSheetId="3" hidden="1">#REF!</definedName>
    <definedName name="AS" hidden="1">#REF!</definedName>
    <definedName name="AS2DocOpenMode" hidden="1">"AS2DocumentEdit"</definedName>
    <definedName name="AS2ReportLS" hidden="1">1</definedName>
    <definedName name="AS2SyncStepLS" hidden="1">0</definedName>
    <definedName name="AS2TickmarkLS" localSheetId="21" hidden="1">#REF!</definedName>
    <definedName name="AS2TickmarkLS" localSheetId="12" hidden="1">#REF!</definedName>
    <definedName name="AS2TickmarkLS" localSheetId="13" hidden="1">#REF!</definedName>
    <definedName name="AS2TickmarkLS" localSheetId="14" hidden="1">#REF!</definedName>
    <definedName name="AS2TickmarkLS" localSheetId="16" hidden="1">#REF!</definedName>
    <definedName name="AS2TickmarkLS" localSheetId="15" hidden="1">#REF!</definedName>
    <definedName name="AS2TickmarkLS" localSheetId="17" hidden="1">#REF!</definedName>
    <definedName name="AS2TickmarkLS" localSheetId="11" hidden="1">#REF!</definedName>
    <definedName name="AS2TickmarkLS" localSheetId="10" hidden="1">#REF!</definedName>
    <definedName name="AS2TickmarkLS" localSheetId="22" hidden="1">#REF!</definedName>
    <definedName name="AS2TickmarkLS" localSheetId="24" hidden="1">#REF!</definedName>
    <definedName name="AS2TickmarkLS" localSheetId="23" hidden="1">#REF!</definedName>
    <definedName name="AS2TickmarkLS" localSheetId="20" hidden="1">#REF!</definedName>
    <definedName name="AS2TickmarkLS" localSheetId="19" hidden="1">#REF!</definedName>
    <definedName name="AS2TickmarkLS" localSheetId="26" hidden="1">#REF!</definedName>
    <definedName name="AS2TickmarkLS" localSheetId="27" hidden="1">#REF!</definedName>
    <definedName name="AS2TickmarkLS" localSheetId="25" hidden="1">#REF!</definedName>
    <definedName name="AS2TickmarkLS" localSheetId="7" hidden="1">#REF!</definedName>
    <definedName name="AS2TickmarkLS" localSheetId="4" hidden="1">#REF!</definedName>
    <definedName name="AS2TickmarkLS" localSheetId="5" hidden="1">#REF!</definedName>
    <definedName name="AS2TickmarkLS" localSheetId="2" hidden="1">#REF!</definedName>
    <definedName name="AS2TickmarkLS" localSheetId="3" hidden="1">#REF!</definedName>
    <definedName name="AS2TickmarkLS" hidden="1">#REF!</definedName>
    <definedName name="AS2VersionLS" hidden="1">300</definedName>
    <definedName name="asdfa" localSheetId="21" hidden="1">#REF!</definedName>
    <definedName name="asdfa" localSheetId="12" hidden="1">#REF!</definedName>
    <definedName name="asdfa" localSheetId="13" hidden="1">#REF!</definedName>
    <definedName name="asdfa" localSheetId="14" hidden="1">#REF!</definedName>
    <definedName name="asdfa" localSheetId="16" hidden="1">#REF!</definedName>
    <definedName name="asdfa" localSheetId="15" hidden="1">#REF!</definedName>
    <definedName name="asdfa" localSheetId="17" hidden="1">#REF!</definedName>
    <definedName name="asdfa" localSheetId="11" hidden="1">#REF!</definedName>
    <definedName name="asdfa" localSheetId="10" hidden="1">#REF!</definedName>
    <definedName name="asdfa" localSheetId="22" hidden="1">#REF!</definedName>
    <definedName name="asdfa" localSheetId="24" hidden="1">#REF!</definedName>
    <definedName name="asdfa" localSheetId="23" hidden="1">#REF!</definedName>
    <definedName name="asdfa" localSheetId="20" hidden="1">#REF!</definedName>
    <definedName name="asdfa" localSheetId="19" hidden="1">#REF!</definedName>
    <definedName name="asdfa" localSheetId="26" hidden="1">#REF!</definedName>
    <definedName name="asdfa" localSheetId="27" hidden="1">#REF!</definedName>
    <definedName name="asdfa" localSheetId="25" hidden="1">#REF!</definedName>
    <definedName name="asdfa" localSheetId="7" hidden="1">#REF!</definedName>
    <definedName name="asdfa" localSheetId="4" hidden="1">#REF!</definedName>
    <definedName name="asdfa" localSheetId="5" hidden="1">#REF!</definedName>
    <definedName name="asdfa" localSheetId="2" hidden="1">#REF!</definedName>
    <definedName name="asdfa" localSheetId="3" hidden="1">#REF!</definedName>
    <definedName name="asdfa" hidden="1">#REF!</definedName>
    <definedName name="ASFD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1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2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2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sumptios2" localSheetId="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sumptios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zerty4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azerty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b" localSheetId="6" hidden="1">{"'Índice'!$A$1:$K$49"}</definedName>
    <definedName name="b">'20-21_a&amp;b'!$C$8</definedName>
    <definedName name="balance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balance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balancete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balancete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bb" localSheetId="6" hidden="1">{#N/A,#N/A,FALSE,"ANEXO3 99 ERA";#N/A,#N/A,FALSE,"ANEXO3 99 UBÁ2";#N/A,#N/A,FALSE,"ANEXO3 99 DTU";#N/A,#N/A,FALSE,"ANEXO3 99 RDR";#N/A,#N/A,FALSE,"ANEXO3 99 UBÁ4";#N/A,#N/A,FALSE,"ANEXO3 99 UBÁ6"}</definedName>
    <definedName name="bb" hidden="1">{#N/A,#N/A,FALSE,"ANEXO3 99 ERA";#N/A,#N/A,FALSE,"ANEXO3 99 UBÁ2";#N/A,#N/A,FALSE,"ANEXO3 99 DTU";#N/A,#N/A,FALSE,"ANEXO3 99 RDR";#N/A,#N/A,FALSE,"ANEXO3 99 UBÁ4";#N/A,#N/A,FALSE,"ANEXO3 99 UBÁ6"}</definedName>
    <definedName name="BG_Del" hidden="1">15</definedName>
    <definedName name="BG_Ins" hidden="1">4</definedName>
    <definedName name="BG_Mod" hidden="1">6</definedName>
    <definedName name="BLANK" localSheetId="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2" localSheetId="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PH1" hidden="1">[4]market!$E$7</definedName>
    <definedName name="BLPH10" hidden="1">[4]market!$O$12</definedName>
    <definedName name="BLPH11" hidden="1">[4]market!$Y$12</definedName>
    <definedName name="BLPH12" hidden="1">[4]market!$T$12</definedName>
    <definedName name="BLPH13" hidden="1">[4]market!$AD$12</definedName>
    <definedName name="BLPH14" hidden="1">[4]market!$AI$12</definedName>
    <definedName name="BLPH15" localSheetId="21" hidden="1">#REF!</definedName>
    <definedName name="BLPH15" localSheetId="12" hidden="1">#REF!</definedName>
    <definedName name="BLPH15" localSheetId="13" hidden="1">#REF!</definedName>
    <definedName name="BLPH15" localSheetId="14" hidden="1">#REF!</definedName>
    <definedName name="BLPH15" localSheetId="16" hidden="1">#REF!</definedName>
    <definedName name="BLPH15" localSheetId="15" hidden="1">#REF!</definedName>
    <definedName name="BLPH15" localSheetId="17" hidden="1">#REF!</definedName>
    <definedName name="BLPH15" localSheetId="11" hidden="1">#REF!</definedName>
    <definedName name="BLPH15" localSheetId="10" hidden="1">#REF!</definedName>
    <definedName name="BLPH15" localSheetId="22" hidden="1">#REF!</definedName>
    <definedName name="BLPH15" localSheetId="24" hidden="1">#REF!</definedName>
    <definedName name="BLPH15" localSheetId="23" hidden="1">#REF!</definedName>
    <definedName name="BLPH15" localSheetId="20" hidden="1">#REF!</definedName>
    <definedName name="BLPH15" localSheetId="19" hidden="1">#REF!</definedName>
    <definedName name="BLPH15" localSheetId="26" hidden="1">#REF!</definedName>
    <definedName name="BLPH15" localSheetId="27" hidden="1">#REF!</definedName>
    <definedName name="BLPH15" localSheetId="25" hidden="1">#REF!</definedName>
    <definedName name="BLPH15" localSheetId="28" hidden="1">#REF!</definedName>
    <definedName name="BLPH15" localSheetId="7" hidden="1">#REF!</definedName>
    <definedName name="BLPH15" localSheetId="4" hidden="1">#REF!</definedName>
    <definedName name="BLPH15" localSheetId="5" hidden="1">#REF!</definedName>
    <definedName name="BLPH15" localSheetId="2" hidden="1">#REF!</definedName>
    <definedName name="BLPH15" localSheetId="3" hidden="1">#REF!</definedName>
    <definedName name="BLPH15" hidden="1">#REF!</definedName>
    <definedName name="BLPH2" hidden="1">[4]market!$I$7</definedName>
    <definedName name="BLPH3" hidden="1">[4]market!$M$7</definedName>
    <definedName name="BLPH4" hidden="1">[4]market!$Q$7</definedName>
    <definedName name="BLPH5" hidden="1">[4]market!$Z$7</definedName>
    <definedName name="BLPH6" hidden="1">[4]market!$T$7</definedName>
    <definedName name="BLPH7" hidden="1">[4]market!$AC$7</definedName>
    <definedName name="BLPH8" hidden="1">[4]market!$E$12</definedName>
    <definedName name="BLPH9" hidden="1">[4]market!$J$12</definedName>
    <definedName name="BROWN" localSheetId="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Cash" localSheetId="6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Cash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CBWorkbookPriority" hidden="1">-216830483</definedName>
    <definedName name="cc" localSheetId="6" hidden="1">{#N/A,#N/A,FALSE,"ANEXO3 00 GDV";#N/A,#N/A,FALSE,"ANEXO3 00 GCM";#N/A,#N/A,FALSE,"ANEXO3 00  UBÁ6";#N/A,#N/A,FALSE,"ANEXO3 00 CJI";#N/A,#N/A,FALSE,"ANEXO3 00 UBÁ4";#N/A,#N/A,FALSE,"ANEXO3 00 UBÁ5";#N/A,#N/A,FALSE,"ANEXO3 00 UBÁ7";#N/A,#N/A,FALSE,"ANEXO3 00 VRB1"}</definedName>
    <definedName name="cc" hidden="1">{#N/A,#N/A,FALSE,"ANEXO3 00 GDV";#N/A,#N/A,FALSE,"ANEXO3 00 GCM";#N/A,#N/A,FALSE,"ANEXO3 00  UBÁ6";#N/A,#N/A,FALSE,"ANEXO3 00 CJI";#N/A,#N/A,FALSE,"ANEXO3 00 UBÁ4";#N/A,#N/A,FALSE,"ANEXO3 00 UBÁ5";#N/A,#N/A,FALSE,"ANEXO3 00 UBÁ7";#N/A,#N/A,FALSE,"ANEXO3 00 VRB1"}</definedName>
    <definedName name="CCCCC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CCCCC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Change" hidden="1">#N/A</definedName>
    <definedName name="Change2" hidden="1">#N/A</definedName>
    <definedName name="Change3" hidden="1">#N/A</definedName>
    <definedName name="Change4" hidden="1">#N/A</definedName>
    <definedName name="ChangeRange" hidden="1">#N/A</definedName>
    <definedName name="ChangeRange2" hidden="1">#N/A</definedName>
    <definedName name="COONSUMO" localSheetId="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COONSUMO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CRM" localSheetId="6" hidden="1">{#N/A,#N/A,FALSE,"ANEXO3 99 ERA";#N/A,#N/A,FALSE,"ANEXO3 99 UBÁ2";#N/A,#N/A,FALSE,"ANEXO3 99 DTU";#N/A,#N/A,FALSE,"ANEXO3 99 RDR";#N/A,#N/A,FALSE,"ANEXO3 99 UBÁ4";#N/A,#N/A,FALSE,"ANEXO3 99 UBÁ6"}</definedName>
    <definedName name="CRM" hidden="1">{#N/A,#N/A,FALSE,"ANEXO3 99 ERA";#N/A,#N/A,FALSE,"ANEXO3 99 UBÁ2";#N/A,#N/A,FALSE,"ANEXO3 99 DTU";#N/A,#N/A,FALSE,"ANEXO3 99 RDR";#N/A,#N/A,FALSE,"ANEXO3 99 UBÁ4";#N/A,#N/A,FALSE,"ANEXO3 99 UBÁ6"}</definedName>
    <definedName name="CronogramadeExecuçãp2003" localSheetId="6" hidden="1">{#N/A,#N/A,FALSE,"ANEXO3 99 ERA";#N/A,#N/A,FALSE,"ANEXO3 99 UBÁ2";#N/A,#N/A,FALSE,"ANEXO3 99 DTU";#N/A,#N/A,FALSE,"ANEXO3 99 RDR";#N/A,#N/A,FALSE,"ANEXO3 99 UBÁ4";#N/A,#N/A,FALSE,"ANEXO3 99 UBÁ6"}</definedName>
    <definedName name="CronogramadeExecuçãp2003" hidden="1">{#N/A,#N/A,FALSE,"ANEXO3 99 ERA";#N/A,#N/A,FALSE,"ANEXO3 99 UBÁ2";#N/A,#N/A,FALSE,"ANEXO3 99 DTU";#N/A,#N/A,FALSE,"ANEXO3 99 RDR";#N/A,#N/A,FALSE,"ANEXO3 99 UBÁ4";#N/A,#N/A,FALSE,"ANEXO3 99 UBÁ6"}</definedName>
    <definedName name="CSLL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CSLL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d" localSheetId="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d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dd" localSheetId="6" hidden="1">{#N/A,#N/A,FALSE,"ANEXO3 99 ERA";#N/A,#N/A,FALSE,"ANEXO3 99 UBÁ2";#N/A,#N/A,FALSE,"ANEXO3 99 DTU";#N/A,#N/A,FALSE,"ANEXO3 99 RDR";#N/A,#N/A,FALSE,"ANEXO3 99 UBÁ4";#N/A,#N/A,FALSE,"ANEXO3 99 UBÁ6"}</definedName>
    <definedName name="dd" hidden="1">{#N/A,#N/A,FALSE,"ANEXO3 99 ERA";#N/A,#N/A,FALSE,"ANEXO3 99 UBÁ2";#N/A,#N/A,FALSE,"ANEXO3 99 DTU";#N/A,#N/A,FALSE,"ANEXO3 99 RDR";#N/A,#N/A,FALSE,"ANEXO3 99 UBÁ4";#N/A,#N/A,FALSE,"ANEXO3 99 UBÁ6"}</definedName>
    <definedName name="ddd" localSheetId="6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ddd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depreciaciones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preciacion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uda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uda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udasmes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udasm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fdfdfd" hidden="1">#N/A</definedName>
    <definedName name="ds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SCR_DEBT_EQUITY" localSheetId="21" hidden="1">'20-10_ET_PTSF'!Header1-1 &amp; "." &amp; MAX(1,COUNTA(INDEX(#REF!,MATCH('20-10_ET_PTSF'!Header1-1,#REF!,FALSE)):#REF!))</definedName>
    <definedName name="DSCR_DEBT_EQUITY" localSheetId="12" hidden="1">'20-13_fg_ATS'!Header1-1 &amp; "." &amp; MAX(1,COUNTA(INDEX(#REF!,MATCH('20-13_fg_ATS'!Header1-1,#REF!,FALSE)):#REF!))</definedName>
    <definedName name="DSCR_DEBT_EQUITY" localSheetId="13" hidden="1">'20-14_fg_PTSF'!Header1-1 &amp; "." &amp; MAX(1,COUNTA(INDEX(#REF!,MATCH('20-14_fg_PTSF'!Header1-1,#REF!,FALSE)):#REF!))</definedName>
    <definedName name="DSCR_DEBT_EQUITY" localSheetId="14" hidden="1">'20-15_Et_ATS'!Header1-1 &amp; "." &amp; MAX(1,COUNTA(INDEX(#REF!,MATCH('20-15_Et_ATS'!Header1-1,#REF!,FALSE)):#REF!))</definedName>
    <definedName name="DSCR_DEBT_EQUITY" localSheetId="16" hidden="1">'20-16_ET&amp;RV_PTSF'!Header1-1 &amp; "." &amp; MAX(1,COUNTA(INDEX(#REF!,MATCH('20-16_ET&amp;RV_PTSF'!Header1-1,#REF!,FALSE)):#REF!))</definedName>
    <definedName name="DSCR_DEBT_EQUITY" localSheetId="15" hidden="1">'20-17_ER_ATS'!Header1-1 &amp; "." &amp; MAX(1,COUNTA(INDEX(#REF!,MATCH('20-17_ER_ATS'!Header1-1,#REF!,FALSE)):#REF!))</definedName>
    <definedName name="DSCR_DEBT_EQUITY" localSheetId="17" hidden="1">'20-18_ETC_ATS'!Header1-1 &amp; "." &amp; MAX(1,COUNTA(INDEX(#REF!,MATCH('20-18_ETC_ATS'!Header1-1,#REF!,FALSE)):#REF!))</definedName>
    <definedName name="DSCR_DEBT_EQUITY" localSheetId="11" hidden="1">'20-19_fnp_ATS'!Header1-1 &amp; "." &amp; MAX(1,COUNTA(INDEX(#REF!,MATCH('20-19_fnp_ATS'!Header1-1,#REF!,FALSE)):#REF!))</definedName>
    <definedName name="DSCR_DEBT_EQUITY" localSheetId="10" hidden="1">'20-20_fnp_PTSF'!Header1-1 &amp; "." &amp; MAX(1,COUNTA(INDEX(#REF!,MATCH('20-20_fnp_PTSF'!Header1-1,#REF!,FALSE)):#REF!))</definedName>
    <definedName name="DSCR_DEBT_EQUITY" localSheetId="22" hidden="1">'20-7_FG_ATS'!Header1-1 &amp; "." &amp; MAX(1,COUNTA(INDEX(#REF!,MATCH('20-7_FG_ATS'!Header1-1,#REF!,FALSE)):#REF!))</definedName>
    <definedName name="DSCR_DEBT_EQUITY" localSheetId="24" hidden="1">'20-7_FG_ATS_2D'!Header1-1 &amp; "." &amp; MAX(1,COUNTA(INDEX(#REF!,MATCH('20-7_FG_ATS_2D'!Header1-1,#REF!,FALSE)):#REF!))</definedName>
    <definedName name="DSCR_DEBT_EQUITY" localSheetId="23" hidden="1">'20-8_FG_PTSF'!Header1-1 &amp; "." &amp; MAX(1,COUNTA(INDEX(#REF!,MATCH('20-8_FG_PTSF'!Header1-1,#REF!,FALSE)):#REF!))</definedName>
    <definedName name="DSCR_DEBT_EQUITY" localSheetId="20" hidden="1">'20-9_ER_ATS'!Header1-1 &amp; "." &amp; MAX(1,COUNTA(INDEX(#REF!,MATCH('20-9_ER_ATS'!Header1-1,#REF!,FALSE)):#REF!))</definedName>
    <definedName name="DSCR_DEBT_EQUITY" localSheetId="19" hidden="1">'20-9_ET_ATS'!Header1-1 &amp; "." &amp; MAX(1,COUNTA(INDEX(#REF!,MATCH('20-9_ET_ATS'!Header1-1,#REF!,FALSE)):#REF!))</definedName>
    <definedName name="DSCR_DEBT_EQUITY" localSheetId="26" hidden="1">'21-10_ER_Up'!Header1-1 &amp; "." &amp; MAX(1,COUNTA(INDEX(#REF!,MATCH('21-10_ER_Up'!Header1-1,#REF!,FALSE)):#REF!))</definedName>
    <definedName name="DSCR_DEBT_EQUITY" localSheetId="27" hidden="1">'21-11_ET_Down'!Header1-1 &amp; "." &amp; MAX(1,COUNTA(INDEX(#REF!,MATCH('21-11_ET_Down'!Header1-1,#REF!,FALSE)):#REF!))</definedName>
    <definedName name="DSCR_DEBT_EQUITY" localSheetId="25" hidden="1">'21-9_ET_UP'!Header1-1 &amp; "." &amp; MAX(1,COUNTA(INDEX(#REF!,MATCH('21-9_ET_UP'!Header1-1,#REF!,FALSE)):#REF!))</definedName>
    <definedName name="DSCR_DEBT_EQUITY" localSheetId="28" hidden="1">'Análise_SAVED '!Header1-1 &amp; "." &amp; MAX(1,COUNTA(INDEX(#REF!,MATCH('Análise_SAVED '!Header1-1,#REF!,FALSE)):#REF!))</definedName>
    <definedName name="DSCR_DEBT_EQUITY" localSheetId="6" hidden="1">[0]!Header1-1 &amp; "." &amp; MAX(1,COUNTA(INDEX(#REF!,MATCH([0]!Header1-1,#REF!,FALSE)):#REF!))</definedName>
    <definedName name="DSCR_DEBT_EQUITY" localSheetId="7" hidden="1">'HCM2010'!Header1-1 &amp; "." &amp; MAX(1,COUNTA(INDEX(#REF!,MATCH('HCM2010'!Header1-1,#REF!,FALSE)):#REF!))</definedName>
    <definedName name="DSCR_DEBT_EQUITY" localSheetId="4" hidden="1">'MULTILANE HIGHWAY'!Header1-1 &amp; "." &amp; MAX(1,COUNTA(INDEX(#REF!,MATCH('MULTILANE HIGHWAY'!Header1-1,#REF!,FALSE)):#REF!))</definedName>
    <definedName name="DSCR_DEBT_EQUITY" localSheetId="5" hidden="1">'MULTILANE HIGHWAY_SPECIAL GRADE'!Header1-1 &amp; "." &amp; MAX(1,COUNTA(INDEX(#REF!,MATCH('MULTILANE HIGHWAY_SPECIAL GRADE'!Header1-1,#REF!,FALSE)):#REF!))</definedName>
    <definedName name="DSCR_DEBT_EQUITY" localSheetId="2" hidden="1">'TWO LANE HIGHWAY'!Header1-1 &amp; "." &amp; MAX(1,COUNTA(INDEX(#REF!,MATCH('TWO LANE HIGHWAY'!Header1-1,#REF!,FALSE)):#REF!))</definedName>
    <definedName name="DSCR_DEBT_EQUITY" localSheetId="3" hidden="1">'TWO LANE HIGHWAY_SPECIAL GRADE'!Header1-1 &amp; "." &amp; MAX(1,COUNTA(INDEX(#REF!,MATCH('TWO LANE HIGHWAY_SPECIAL GRADE'!Header1-1,#REF!,FALSE)):#REF!))</definedName>
    <definedName name="DSCR_DEBT_EQUITY" hidden="1">[0]!Header1-1 &amp; "." &amp; MAX(1,COUNTA(INDEX(#REF!,MATCH([0]!Header1-1,#REF!,FALSE)):#REF!))</definedName>
    <definedName name="eli" localSheetId="6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eli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ENERGIA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ENERGIA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ertert" localSheetId="21" hidden="1">#REF!</definedName>
    <definedName name="ertert" localSheetId="12" hidden="1">#REF!</definedName>
    <definedName name="ertert" localSheetId="13" hidden="1">#REF!</definedName>
    <definedName name="ertert" localSheetId="14" hidden="1">#REF!</definedName>
    <definedName name="ertert" localSheetId="16" hidden="1">#REF!</definedName>
    <definedName name="ertert" localSheetId="15" hidden="1">#REF!</definedName>
    <definedName name="ertert" localSheetId="17" hidden="1">#REF!</definedName>
    <definedName name="ertert" localSheetId="11" hidden="1">#REF!</definedName>
    <definedName name="ertert" localSheetId="10" hidden="1">#REF!</definedName>
    <definedName name="ertert" localSheetId="22" hidden="1">#REF!</definedName>
    <definedName name="ertert" localSheetId="24" hidden="1">#REF!</definedName>
    <definedName name="ertert" localSheetId="23" hidden="1">#REF!</definedName>
    <definedName name="ertert" localSheetId="20" hidden="1">#REF!</definedName>
    <definedName name="ertert" localSheetId="19" hidden="1">#REF!</definedName>
    <definedName name="ertert" localSheetId="26" hidden="1">#REF!</definedName>
    <definedName name="ertert" localSheetId="27" hidden="1">#REF!</definedName>
    <definedName name="ertert" localSheetId="25" hidden="1">#REF!</definedName>
    <definedName name="ertert" localSheetId="7" hidden="1">#REF!</definedName>
    <definedName name="ertert" localSheetId="4" hidden="1">#REF!</definedName>
    <definedName name="ertert" localSheetId="5" hidden="1">#REF!</definedName>
    <definedName name="ertert" localSheetId="2" hidden="1">#REF!</definedName>
    <definedName name="ertert" localSheetId="3" hidden="1">#REF!</definedName>
    <definedName name="ertert" hidden="1">#REF!</definedName>
    <definedName name="erwer" localSheetId="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erwer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ev.Calculation" hidden="1">-4135</definedName>
    <definedName name="ev.Initialized" hidden="1">FALSE</definedName>
    <definedName name="f" localSheetId="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_11" localSheetId="21">'20-10_ET_PTSF'!$C$11</definedName>
    <definedName name="f_11" localSheetId="17">'20-18_ETC_ATS'!$C$11</definedName>
    <definedName name="f_11" localSheetId="22">'20-7_FG_ATS'!$C$11</definedName>
    <definedName name="f_11" localSheetId="24">'20-7_FG_ATS_2D'!$C$11</definedName>
    <definedName name="f_11" localSheetId="23">'20-8_FG_PTSF'!$C$11</definedName>
    <definedName name="f_11" localSheetId="20">'20-9_ER_ATS'!$C$11</definedName>
    <definedName name="f_11" localSheetId="19">'20-9_ET_ATS'!$C$11</definedName>
    <definedName name="f_11">FNP!$C$11</definedName>
    <definedName name="f_111" localSheetId="12">'20-13_fg_ATS'!$C$17</definedName>
    <definedName name="f_111" localSheetId="13">'20-14_fg_PTSF'!$C$17</definedName>
    <definedName name="f_111" localSheetId="14">'20-15_Et_ATS'!$C$17</definedName>
    <definedName name="f_111" localSheetId="16">'20-16_ET&amp;RV_PTSF'!$C$17</definedName>
    <definedName name="f_111" localSheetId="15">'20-17_ER_ATS'!$C$17</definedName>
    <definedName name="f_111" localSheetId="11">'20-19_fnp_ATS'!$C$17</definedName>
    <definedName name="f_111" localSheetId="10">'20-20_fnp_PTSF'!$C$17</definedName>
    <definedName name="f_111" localSheetId="26">'21-10_ER_Up'!$C$17</definedName>
    <definedName name="f_111" localSheetId="27">'21-11_ET_Down'!$C$17</definedName>
    <definedName name="f_111" localSheetId="25">'21-9_ET_UP'!$C$17</definedName>
    <definedName name="f_111">FDNP!$C$17</definedName>
    <definedName name="f_112" localSheetId="12">'20-13_fg_ATS'!$C$21</definedName>
    <definedName name="f_112" localSheetId="13">'20-14_fg_PTSF'!$C$21</definedName>
    <definedName name="f_112" localSheetId="14">'20-15_Et_ATS'!$C$21</definedName>
    <definedName name="f_112" localSheetId="16">'20-16_ET&amp;RV_PTSF'!$C$21</definedName>
    <definedName name="f_112" localSheetId="15">'20-17_ER_ATS'!$C$21</definedName>
    <definedName name="f_112" localSheetId="11">'20-19_fnp_ATS'!$C$21</definedName>
    <definedName name="f_112" localSheetId="10">'20-20_fnp_PTSF'!$C$21</definedName>
    <definedName name="f_112" localSheetId="26">'21-10_ER_Up'!$C$21</definedName>
    <definedName name="f_112" localSheetId="27">'21-11_ET_Down'!$C$21</definedName>
    <definedName name="f_112" localSheetId="25">'21-9_ET_UP'!$C$21</definedName>
    <definedName name="f_112">FDNP!$C$21</definedName>
    <definedName name="f_12" localSheetId="21">'20-10_ET_PTSF'!$C$12</definedName>
    <definedName name="f_12" localSheetId="17">'20-18_ETC_ATS'!$C$12</definedName>
    <definedName name="f_12" localSheetId="22">'20-7_FG_ATS'!$C$12</definedName>
    <definedName name="f_12" localSheetId="24">'20-7_FG_ATS_2D'!$C$12</definedName>
    <definedName name="f_12" localSheetId="23">'20-8_FG_PTSF'!$C$12</definedName>
    <definedName name="f_12" localSheetId="20">'20-9_ER_ATS'!$C$12</definedName>
    <definedName name="f_12" localSheetId="19">'20-9_ET_ATS'!$C$12</definedName>
    <definedName name="f_12">FNP!$C$12</definedName>
    <definedName name="f_121" localSheetId="12">'20-13_fg_ATS'!$C$19</definedName>
    <definedName name="f_121" localSheetId="13">'20-14_fg_PTSF'!$C$19</definedName>
    <definedName name="f_121" localSheetId="14">'20-15_Et_ATS'!$C$19</definedName>
    <definedName name="f_121" localSheetId="16">'20-16_ET&amp;RV_PTSF'!$C$19</definedName>
    <definedName name="f_121" localSheetId="15">'20-17_ER_ATS'!$C$19</definedName>
    <definedName name="f_121" localSheetId="11">'20-19_fnp_ATS'!$C$19</definedName>
    <definedName name="f_121" localSheetId="10">'20-20_fnp_PTSF'!$C$19</definedName>
    <definedName name="f_121" localSheetId="26">'21-10_ER_Up'!$C$19</definedName>
    <definedName name="f_121" localSheetId="27">'21-11_ET_Down'!$C$19</definedName>
    <definedName name="f_121" localSheetId="25">'21-9_ET_UP'!$C$19</definedName>
    <definedName name="f_121">FDNP!$C$19</definedName>
    <definedName name="f_122" localSheetId="12">'20-13_fg_ATS'!$C$23</definedName>
    <definedName name="f_122" localSheetId="13">'20-14_fg_PTSF'!$C$23</definedName>
    <definedName name="f_122" localSheetId="14">'20-15_Et_ATS'!$C$23</definedName>
    <definedName name="f_122" localSheetId="16">'20-16_ET&amp;RV_PTSF'!$C$23</definedName>
    <definedName name="f_122" localSheetId="15">'20-17_ER_ATS'!$C$23</definedName>
    <definedName name="f_122" localSheetId="11">'20-19_fnp_ATS'!$C$23</definedName>
    <definedName name="f_122" localSheetId="10">'20-20_fnp_PTSF'!$C$23</definedName>
    <definedName name="f_122" localSheetId="26">'21-10_ER_Up'!$C$23</definedName>
    <definedName name="f_122" localSheetId="27">'21-11_ET_Down'!$C$23</definedName>
    <definedName name="f_122" localSheetId="25">'21-9_ET_UP'!$C$23</definedName>
    <definedName name="f_122">FDNP!$C$23</definedName>
    <definedName name="f_21" localSheetId="21">'20-10_ET_PTSF'!$C$13</definedName>
    <definedName name="f_21" localSheetId="17">'20-18_ETC_ATS'!$C$13</definedName>
    <definedName name="f_21" localSheetId="22">'20-7_FG_ATS'!$C$13</definedName>
    <definedName name="f_21" localSheetId="24">'20-7_FG_ATS_2D'!$C$13</definedName>
    <definedName name="f_21" localSheetId="23">'20-8_FG_PTSF'!$C$13</definedName>
    <definedName name="f_21" localSheetId="20">'20-9_ER_ATS'!$C$13</definedName>
    <definedName name="f_21" localSheetId="19">'20-9_ET_ATS'!$C$13</definedName>
    <definedName name="f_21">FNP!$C$13</definedName>
    <definedName name="f_211" localSheetId="12">'20-13_fg_ATS'!$C$18</definedName>
    <definedName name="f_211" localSheetId="13">'20-14_fg_PTSF'!$C$18</definedName>
    <definedName name="f_211" localSheetId="14">'20-15_Et_ATS'!$C$18</definedName>
    <definedName name="f_211" localSheetId="16">'20-16_ET&amp;RV_PTSF'!$C$18</definedName>
    <definedName name="f_211" localSheetId="15">'20-17_ER_ATS'!$C$18</definedName>
    <definedName name="f_211" localSheetId="11">'20-19_fnp_ATS'!$C$18</definedName>
    <definedName name="f_211" localSheetId="10">'20-20_fnp_PTSF'!$C$18</definedName>
    <definedName name="f_211" localSheetId="26">'21-10_ER_Up'!$C$18</definedName>
    <definedName name="f_211" localSheetId="27">'21-11_ET_Down'!$C$18</definedName>
    <definedName name="f_211" localSheetId="25">'21-9_ET_UP'!$C$18</definedName>
    <definedName name="f_211">FDNP!$C$18</definedName>
    <definedName name="f_212" localSheetId="12">'20-13_fg_ATS'!$C$22</definedName>
    <definedName name="f_212" localSheetId="13">'20-14_fg_PTSF'!$C$22</definedName>
    <definedName name="f_212" localSheetId="14">'20-15_Et_ATS'!$C$22</definedName>
    <definedName name="f_212" localSheetId="16">'20-16_ET&amp;RV_PTSF'!$C$22</definedName>
    <definedName name="f_212" localSheetId="15">'20-17_ER_ATS'!$C$22</definedName>
    <definedName name="f_212" localSheetId="11">'20-19_fnp_ATS'!$C$22</definedName>
    <definedName name="f_212" localSheetId="10">'20-20_fnp_PTSF'!$C$22</definedName>
    <definedName name="f_212" localSheetId="26">'21-10_ER_Up'!$C$22</definedName>
    <definedName name="f_212" localSheetId="27">'21-11_ET_Down'!$C$22</definedName>
    <definedName name="f_212" localSheetId="25">'21-9_ET_UP'!$C$22</definedName>
    <definedName name="f_212">FDNP!$C$22</definedName>
    <definedName name="f_22" localSheetId="21">'20-10_ET_PTSF'!$C$14</definedName>
    <definedName name="f_22" localSheetId="17">'20-18_ETC_ATS'!$C$14</definedName>
    <definedName name="f_22" localSheetId="22">'20-7_FG_ATS'!$C$14</definedName>
    <definedName name="f_22" localSheetId="24">'20-7_FG_ATS_2D'!$C$14</definedName>
    <definedName name="f_22" localSheetId="23">'20-8_FG_PTSF'!$C$14</definedName>
    <definedName name="f_22" localSheetId="20">'20-9_ER_ATS'!$C$14</definedName>
    <definedName name="f_22" localSheetId="19">'20-9_ET_ATS'!$C$14</definedName>
    <definedName name="f_22">FNP!$C$14</definedName>
    <definedName name="f_221" localSheetId="12">'20-13_fg_ATS'!$C$20</definedName>
    <definedName name="f_221" localSheetId="13">'20-14_fg_PTSF'!$C$20</definedName>
    <definedName name="f_221" localSheetId="14">'20-15_Et_ATS'!$C$20</definedName>
    <definedName name="f_221" localSheetId="16">'20-16_ET&amp;RV_PTSF'!$C$20</definedName>
    <definedName name="f_221" localSheetId="15">'20-17_ER_ATS'!$C$20</definedName>
    <definedName name="f_221" localSheetId="11">'20-19_fnp_ATS'!$C$20</definedName>
    <definedName name="f_221" localSheetId="10">'20-20_fnp_PTSF'!$C$20</definedName>
    <definedName name="f_221" localSheetId="26">'21-10_ER_Up'!$C$20</definedName>
    <definedName name="f_221" localSheetId="27">'21-11_ET_Down'!$C$20</definedName>
    <definedName name="f_221" localSheetId="25">'21-9_ET_UP'!$C$20</definedName>
    <definedName name="f_221">FDNP!$C$20</definedName>
    <definedName name="f_222" localSheetId="12">'20-13_fg_ATS'!$C$24</definedName>
    <definedName name="f_222" localSheetId="13">'20-14_fg_PTSF'!$C$24</definedName>
    <definedName name="f_222" localSheetId="14">'20-15_Et_ATS'!$C$24</definedName>
    <definedName name="f_222" localSheetId="16">'20-16_ET&amp;RV_PTSF'!$C$24</definedName>
    <definedName name="f_222" localSheetId="15">'20-17_ER_ATS'!$C$24</definedName>
    <definedName name="f_222" localSheetId="11">'20-19_fnp_ATS'!$C$24</definedName>
    <definedName name="f_222" localSheetId="10">'20-20_fnp_PTSF'!$C$24</definedName>
    <definedName name="f_222" localSheetId="26">'21-10_ER_Up'!$C$24</definedName>
    <definedName name="f_222" localSheetId="27">'21-11_ET_Down'!$C$24</definedName>
    <definedName name="f_222" localSheetId="25">'21-9_ET_UP'!$C$24</definedName>
    <definedName name="f_222">FDNP!$C$24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P_0_1_aUrv" localSheetId="21" hidden="1">#REF!</definedName>
    <definedName name="FDP_0_1_aUrv" localSheetId="12" hidden="1">#REF!</definedName>
    <definedName name="FDP_0_1_aUrv" localSheetId="13" hidden="1">#REF!</definedName>
    <definedName name="FDP_0_1_aUrv" localSheetId="14" hidden="1">#REF!</definedName>
    <definedName name="FDP_0_1_aUrv" localSheetId="16" hidden="1">#REF!</definedName>
    <definedName name="FDP_0_1_aUrv" localSheetId="15" hidden="1">#REF!</definedName>
    <definedName name="FDP_0_1_aUrv" localSheetId="17" hidden="1">#REF!</definedName>
    <definedName name="FDP_0_1_aUrv" localSheetId="11" hidden="1">#REF!</definedName>
    <definedName name="FDP_0_1_aUrv" localSheetId="10" hidden="1">#REF!</definedName>
    <definedName name="FDP_0_1_aUrv" localSheetId="22" hidden="1">#REF!</definedName>
    <definedName name="FDP_0_1_aUrv" localSheetId="24" hidden="1">#REF!</definedName>
    <definedName name="FDP_0_1_aUrv" localSheetId="23" hidden="1">#REF!</definedName>
    <definedName name="FDP_0_1_aUrv" localSheetId="20" hidden="1">#REF!</definedName>
    <definedName name="FDP_0_1_aUrv" localSheetId="19" hidden="1">#REF!</definedName>
    <definedName name="FDP_0_1_aUrv" localSheetId="26" hidden="1">#REF!</definedName>
    <definedName name="FDP_0_1_aUrv" localSheetId="27" hidden="1">#REF!</definedName>
    <definedName name="FDP_0_1_aUrv" localSheetId="25" hidden="1">#REF!</definedName>
    <definedName name="FDP_0_1_aUrv" localSheetId="28" hidden="1">#REF!</definedName>
    <definedName name="FDP_0_1_aUrv" localSheetId="7" hidden="1">#REF!</definedName>
    <definedName name="FDP_0_1_aUrv" localSheetId="4" hidden="1">#REF!</definedName>
    <definedName name="FDP_0_1_aUrv" localSheetId="5" hidden="1">#REF!</definedName>
    <definedName name="FDP_0_1_aUrv" localSheetId="2" hidden="1">#REF!</definedName>
    <definedName name="FDP_0_1_aUrv" localSheetId="3" hidden="1">#REF!</definedName>
    <definedName name="FDP_0_1_aUrv" hidden="1">#REF!</definedName>
    <definedName name="FDP_10_1_aDrv" localSheetId="21" hidden="1">#REF!</definedName>
    <definedName name="FDP_10_1_aDrv" localSheetId="12" hidden="1">#REF!</definedName>
    <definedName name="FDP_10_1_aDrv" localSheetId="13" hidden="1">#REF!</definedName>
    <definedName name="FDP_10_1_aDrv" localSheetId="14" hidden="1">#REF!</definedName>
    <definedName name="FDP_10_1_aDrv" localSheetId="16" hidden="1">#REF!</definedName>
    <definedName name="FDP_10_1_aDrv" localSheetId="15" hidden="1">#REF!</definedName>
    <definedName name="FDP_10_1_aDrv" localSheetId="17" hidden="1">#REF!</definedName>
    <definedName name="FDP_10_1_aDrv" localSheetId="11" hidden="1">#REF!</definedName>
    <definedName name="FDP_10_1_aDrv" localSheetId="10" hidden="1">#REF!</definedName>
    <definedName name="FDP_10_1_aDrv" localSheetId="22" hidden="1">#REF!</definedName>
    <definedName name="FDP_10_1_aDrv" localSheetId="24" hidden="1">#REF!</definedName>
    <definedName name="FDP_10_1_aDrv" localSheetId="23" hidden="1">#REF!</definedName>
    <definedName name="FDP_10_1_aDrv" localSheetId="20" hidden="1">#REF!</definedName>
    <definedName name="FDP_10_1_aDrv" localSheetId="19" hidden="1">#REF!</definedName>
    <definedName name="FDP_10_1_aDrv" localSheetId="26" hidden="1">#REF!</definedName>
    <definedName name="FDP_10_1_aDrv" localSheetId="27" hidden="1">#REF!</definedName>
    <definedName name="FDP_10_1_aDrv" localSheetId="25" hidden="1">#REF!</definedName>
    <definedName name="FDP_10_1_aDrv" localSheetId="28" hidden="1">#REF!</definedName>
    <definedName name="FDP_10_1_aDrv" localSheetId="7" hidden="1">#REF!</definedName>
    <definedName name="FDP_10_1_aDrv" localSheetId="4" hidden="1">#REF!</definedName>
    <definedName name="FDP_10_1_aDrv" localSheetId="5" hidden="1">#REF!</definedName>
    <definedName name="FDP_10_1_aDrv" localSheetId="2" hidden="1">#REF!</definedName>
    <definedName name="FDP_10_1_aDrv" localSheetId="3" hidden="1">#REF!</definedName>
    <definedName name="FDP_10_1_aDrv" hidden="1">#REF!</definedName>
    <definedName name="FDP_107_1_aUrv" localSheetId="21" hidden="1">#REF!</definedName>
    <definedName name="FDP_107_1_aUrv" localSheetId="12" hidden="1">#REF!</definedName>
    <definedName name="FDP_107_1_aUrv" localSheetId="13" hidden="1">#REF!</definedName>
    <definedName name="FDP_107_1_aUrv" localSheetId="14" hidden="1">#REF!</definedName>
    <definedName name="FDP_107_1_aUrv" localSheetId="16" hidden="1">#REF!</definedName>
    <definedName name="FDP_107_1_aUrv" localSheetId="15" hidden="1">#REF!</definedName>
    <definedName name="FDP_107_1_aUrv" localSheetId="17" hidden="1">#REF!</definedName>
    <definedName name="FDP_107_1_aUrv" localSheetId="11" hidden="1">#REF!</definedName>
    <definedName name="FDP_107_1_aUrv" localSheetId="10" hidden="1">#REF!</definedName>
    <definedName name="FDP_107_1_aUrv" localSheetId="22" hidden="1">#REF!</definedName>
    <definedName name="FDP_107_1_aUrv" localSheetId="24" hidden="1">#REF!</definedName>
    <definedName name="FDP_107_1_aUrv" localSheetId="23" hidden="1">#REF!</definedName>
    <definedName name="FDP_107_1_aUrv" localSheetId="20" hidden="1">#REF!</definedName>
    <definedName name="FDP_107_1_aUrv" localSheetId="19" hidden="1">#REF!</definedName>
    <definedName name="FDP_107_1_aUrv" localSheetId="26" hidden="1">#REF!</definedName>
    <definedName name="FDP_107_1_aUrv" localSheetId="27" hidden="1">#REF!</definedName>
    <definedName name="FDP_107_1_aUrv" localSheetId="25" hidden="1">#REF!</definedName>
    <definedName name="FDP_107_1_aUrv" localSheetId="28" hidden="1">#REF!</definedName>
    <definedName name="FDP_107_1_aUrv" localSheetId="7" hidden="1">#REF!</definedName>
    <definedName name="FDP_107_1_aUrv" localSheetId="4" hidden="1">#REF!</definedName>
    <definedName name="FDP_107_1_aUrv" localSheetId="5" hidden="1">#REF!</definedName>
    <definedName name="FDP_107_1_aUrv" localSheetId="2" hidden="1">#REF!</definedName>
    <definedName name="FDP_107_1_aUrv" localSheetId="3" hidden="1">#REF!</definedName>
    <definedName name="FDP_107_1_aUrv" hidden="1">#REF!</definedName>
    <definedName name="FDP_11_1_aDrv" localSheetId="21" hidden="1">#REF!</definedName>
    <definedName name="FDP_11_1_aDrv" localSheetId="12" hidden="1">#REF!</definedName>
    <definedName name="FDP_11_1_aDrv" localSheetId="13" hidden="1">#REF!</definedName>
    <definedName name="FDP_11_1_aDrv" localSheetId="14" hidden="1">#REF!</definedName>
    <definedName name="FDP_11_1_aDrv" localSheetId="16" hidden="1">#REF!</definedName>
    <definedName name="FDP_11_1_aDrv" localSheetId="15" hidden="1">#REF!</definedName>
    <definedName name="FDP_11_1_aDrv" localSheetId="17" hidden="1">#REF!</definedName>
    <definedName name="FDP_11_1_aDrv" localSheetId="11" hidden="1">#REF!</definedName>
    <definedName name="FDP_11_1_aDrv" localSheetId="10" hidden="1">#REF!</definedName>
    <definedName name="FDP_11_1_aDrv" localSheetId="22" hidden="1">#REF!</definedName>
    <definedName name="FDP_11_1_aDrv" localSheetId="24" hidden="1">#REF!</definedName>
    <definedName name="FDP_11_1_aDrv" localSheetId="23" hidden="1">#REF!</definedName>
    <definedName name="FDP_11_1_aDrv" localSheetId="20" hidden="1">#REF!</definedName>
    <definedName name="FDP_11_1_aDrv" localSheetId="19" hidden="1">#REF!</definedName>
    <definedName name="FDP_11_1_aDrv" localSheetId="26" hidden="1">#REF!</definedName>
    <definedName name="FDP_11_1_aDrv" localSheetId="27" hidden="1">#REF!</definedName>
    <definedName name="FDP_11_1_aDrv" localSheetId="25" hidden="1">#REF!</definedName>
    <definedName name="FDP_11_1_aDrv" localSheetId="28" hidden="1">#REF!</definedName>
    <definedName name="FDP_11_1_aDrv" localSheetId="7" hidden="1">#REF!</definedName>
    <definedName name="FDP_11_1_aDrv" localSheetId="4" hidden="1">#REF!</definedName>
    <definedName name="FDP_11_1_aDrv" localSheetId="5" hidden="1">#REF!</definedName>
    <definedName name="FDP_11_1_aDrv" localSheetId="2" hidden="1">#REF!</definedName>
    <definedName name="FDP_11_1_aDrv" localSheetId="3" hidden="1">#REF!</definedName>
    <definedName name="FDP_11_1_aDrv" hidden="1">#REF!</definedName>
    <definedName name="FDP_111_1_aUrv" localSheetId="21" hidden="1">#REF!</definedName>
    <definedName name="FDP_111_1_aUrv" localSheetId="12" hidden="1">#REF!</definedName>
    <definedName name="FDP_111_1_aUrv" localSheetId="13" hidden="1">#REF!</definedName>
    <definedName name="FDP_111_1_aUrv" localSheetId="14" hidden="1">#REF!</definedName>
    <definedName name="FDP_111_1_aUrv" localSheetId="16" hidden="1">#REF!</definedName>
    <definedName name="FDP_111_1_aUrv" localSheetId="15" hidden="1">#REF!</definedName>
    <definedName name="FDP_111_1_aUrv" localSheetId="17" hidden="1">#REF!</definedName>
    <definedName name="FDP_111_1_aUrv" localSheetId="11" hidden="1">#REF!</definedName>
    <definedName name="FDP_111_1_aUrv" localSheetId="10" hidden="1">#REF!</definedName>
    <definedName name="FDP_111_1_aUrv" localSheetId="22" hidden="1">#REF!</definedName>
    <definedName name="FDP_111_1_aUrv" localSheetId="24" hidden="1">#REF!</definedName>
    <definedName name="FDP_111_1_aUrv" localSheetId="23" hidden="1">#REF!</definedName>
    <definedName name="FDP_111_1_aUrv" localSheetId="20" hidden="1">#REF!</definedName>
    <definedName name="FDP_111_1_aUrv" localSheetId="19" hidden="1">#REF!</definedName>
    <definedName name="FDP_111_1_aUrv" localSheetId="26" hidden="1">#REF!</definedName>
    <definedName name="FDP_111_1_aUrv" localSheetId="27" hidden="1">#REF!</definedName>
    <definedName name="FDP_111_1_aUrv" localSheetId="25" hidden="1">#REF!</definedName>
    <definedName name="FDP_111_1_aUrv" localSheetId="28" hidden="1">#REF!</definedName>
    <definedName name="FDP_111_1_aUrv" localSheetId="7" hidden="1">#REF!</definedName>
    <definedName name="FDP_111_1_aUrv" localSheetId="4" hidden="1">#REF!</definedName>
    <definedName name="FDP_111_1_aUrv" localSheetId="5" hidden="1">#REF!</definedName>
    <definedName name="FDP_111_1_aUrv" localSheetId="2" hidden="1">#REF!</definedName>
    <definedName name="FDP_111_1_aUrv" localSheetId="3" hidden="1">#REF!</definedName>
    <definedName name="FDP_111_1_aUrv" hidden="1">#REF!</definedName>
    <definedName name="FDP_112_1_aUrv" localSheetId="21" hidden="1">#REF!</definedName>
    <definedName name="FDP_112_1_aUrv" localSheetId="12" hidden="1">#REF!</definedName>
    <definedName name="FDP_112_1_aUrv" localSheetId="13" hidden="1">#REF!</definedName>
    <definedName name="FDP_112_1_aUrv" localSheetId="14" hidden="1">#REF!</definedName>
    <definedName name="FDP_112_1_aUrv" localSheetId="16" hidden="1">#REF!</definedName>
    <definedName name="FDP_112_1_aUrv" localSheetId="15" hidden="1">#REF!</definedName>
    <definedName name="FDP_112_1_aUrv" localSheetId="17" hidden="1">#REF!</definedName>
    <definedName name="FDP_112_1_aUrv" localSheetId="11" hidden="1">#REF!</definedName>
    <definedName name="FDP_112_1_aUrv" localSheetId="10" hidden="1">#REF!</definedName>
    <definedName name="FDP_112_1_aUrv" localSheetId="22" hidden="1">#REF!</definedName>
    <definedName name="FDP_112_1_aUrv" localSheetId="24" hidden="1">#REF!</definedName>
    <definedName name="FDP_112_1_aUrv" localSheetId="23" hidden="1">#REF!</definedName>
    <definedName name="FDP_112_1_aUrv" localSheetId="20" hidden="1">#REF!</definedName>
    <definedName name="FDP_112_1_aUrv" localSheetId="19" hidden="1">#REF!</definedName>
    <definedName name="FDP_112_1_aUrv" localSheetId="26" hidden="1">#REF!</definedName>
    <definedName name="FDP_112_1_aUrv" localSheetId="27" hidden="1">#REF!</definedName>
    <definedName name="FDP_112_1_aUrv" localSheetId="25" hidden="1">#REF!</definedName>
    <definedName name="FDP_112_1_aUrv" localSheetId="28" hidden="1">#REF!</definedName>
    <definedName name="FDP_112_1_aUrv" localSheetId="7" hidden="1">#REF!</definedName>
    <definedName name="FDP_112_1_aUrv" localSheetId="4" hidden="1">#REF!</definedName>
    <definedName name="FDP_112_1_aUrv" localSheetId="5" hidden="1">#REF!</definedName>
    <definedName name="FDP_112_1_aUrv" localSheetId="2" hidden="1">#REF!</definedName>
    <definedName name="FDP_112_1_aUrv" localSheetId="3" hidden="1">#REF!</definedName>
    <definedName name="FDP_112_1_aUrv" hidden="1">#REF!</definedName>
    <definedName name="FDP_113_1_aUrv" localSheetId="21" hidden="1">#REF!</definedName>
    <definedName name="FDP_113_1_aUrv" localSheetId="12" hidden="1">#REF!</definedName>
    <definedName name="FDP_113_1_aUrv" localSheetId="13" hidden="1">#REF!</definedName>
    <definedName name="FDP_113_1_aUrv" localSheetId="14" hidden="1">#REF!</definedName>
    <definedName name="FDP_113_1_aUrv" localSheetId="16" hidden="1">#REF!</definedName>
    <definedName name="FDP_113_1_aUrv" localSheetId="15" hidden="1">#REF!</definedName>
    <definedName name="FDP_113_1_aUrv" localSheetId="17" hidden="1">#REF!</definedName>
    <definedName name="FDP_113_1_aUrv" localSheetId="11" hidden="1">#REF!</definedName>
    <definedName name="FDP_113_1_aUrv" localSheetId="10" hidden="1">#REF!</definedName>
    <definedName name="FDP_113_1_aUrv" localSheetId="22" hidden="1">#REF!</definedName>
    <definedName name="FDP_113_1_aUrv" localSheetId="24" hidden="1">#REF!</definedName>
    <definedName name="FDP_113_1_aUrv" localSheetId="23" hidden="1">#REF!</definedName>
    <definedName name="FDP_113_1_aUrv" localSheetId="20" hidden="1">#REF!</definedName>
    <definedName name="FDP_113_1_aUrv" localSheetId="19" hidden="1">#REF!</definedName>
    <definedName name="FDP_113_1_aUrv" localSheetId="26" hidden="1">#REF!</definedName>
    <definedName name="FDP_113_1_aUrv" localSheetId="27" hidden="1">#REF!</definedName>
    <definedName name="FDP_113_1_aUrv" localSheetId="25" hidden="1">#REF!</definedName>
    <definedName name="FDP_113_1_aUrv" localSheetId="28" hidden="1">#REF!</definedName>
    <definedName name="FDP_113_1_aUrv" localSheetId="7" hidden="1">#REF!</definedName>
    <definedName name="FDP_113_1_aUrv" localSheetId="4" hidden="1">#REF!</definedName>
    <definedName name="FDP_113_1_aUrv" localSheetId="5" hidden="1">#REF!</definedName>
    <definedName name="FDP_113_1_aUrv" localSheetId="2" hidden="1">#REF!</definedName>
    <definedName name="FDP_113_1_aUrv" localSheetId="3" hidden="1">#REF!</definedName>
    <definedName name="FDP_113_1_aUrv" hidden="1">#REF!</definedName>
    <definedName name="FDP_114_1_aUrv" localSheetId="21" hidden="1">#REF!</definedName>
    <definedName name="FDP_114_1_aUrv" localSheetId="12" hidden="1">#REF!</definedName>
    <definedName name="FDP_114_1_aUrv" localSheetId="13" hidden="1">#REF!</definedName>
    <definedName name="FDP_114_1_aUrv" localSheetId="14" hidden="1">#REF!</definedName>
    <definedName name="FDP_114_1_aUrv" localSheetId="16" hidden="1">#REF!</definedName>
    <definedName name="FDP_114_1_aUrv" localSheetId="15" hidden="1">#REF!</definedName>
    <definedName name="FDP_114_1_aUrv" localSheetId="17" hidden="1">#REF!</definedName>
    <definedName name="FDP_114_1_aUrv" localSheetId="11" hidden="1">#REF!</definedName>
    <definedName name="FDP_114_1_aUrv" localSheetId="10" hidden="1">#REF!</definedName>
    <definedName name="FDP_114_1_aUrv" localSheetId="22" hidden="1">#REF!</definedName>
    <definedName name="FDP_114_1_aUrv" localSheetId="24" hidden="1">#REF!</definedName>
    <definedName name="FDP_114_1_aUrv" localSheetId="23" hidden="1">#REF!</definedName>
    <definedName name="FDP_114_1_aUrv" localSheetId="20" hidden="1">#REF!</definedName>
    <definedName name="FDP_114_1_aUrv" localSheetId="19" hidden="1">#REF!</definedName>
    <definedName name="FDP_114_1_aUrv" localSheetId="26" hidden="1">#REF!</definedName>
    <definedName name="FDP_114_1_aUrv" localSheetId="27" hidden="1">#REF!</definedName>
    <definedName name="FDP_114_1_aUrv" localSheetId="25" hidden="1">#REF!</definedName>
    <definedName name="FDP_114_1_aUrv" localSheetId="28" hidden="1">#REF!</definedName>
    <definedName name="FDP_114_1_aUrv" localSheetId="7" hidden="1">#REF!</definedName>
    <definedName name="FDP_114_1_aUrv" localSheetId="4" hidden="1">#REF!</definedName>
    <definedName name="FDP_114_1_aUrv" localSheetId="5" hidden="1">#REF!</definedName>
    <definedName name="FDP_114_1_aUrv" localSheetId="2" hidden="1">#REF!</definedName>
    <definedName name="FDP_114_1_aUrv" localSheetId="3" hidden="1">#REF!</definedName>
    <definedName name="FDP_114_1_aUrv" hidden="1">#REF!</definedName>
    <definedName name="FDP_115_1_aUrv" localSheetId="21" hidden="1">#REF!</definedName>
    <definedName name="FDP_115_1_aUrv" localSheetId="12" hidden="1">#REF!</definedName>
    <definedName name="FDP_115_1_aUrv" localSheetId="13" hidden="1">#REF!</definedName>
    <definedName name="FDP_115_1_aUrv" localSheetId="14" hidden="1">#REF!</definedName>
    <definedName name="FDP_115_1_aUrv" localSheetId="16" hidden="1">#REF!</definedName>
    <definedName name="FDP_115_1_aUrv" localSheetId="15" hidden="1">#REF!</definedName>
    <definedName name="FDP_115_1_aUrv" localSheetId="17" hidden="1">#REF!</definedName>
    <definedName name="FDP_115_1_aUrv" localSheetId="11" hidden="1">#REF!</definedName>
    <definedName name="FDP_115_1_aUrv" localSheetId="10" hidden="1">#REF!</definedName>
    <definedName name="FDP_115_1_aUrv" localSheetId="22" hidden="1">#REF!</definedName>
    <definedName name="FDP_115_1_aUrv" localSheetId="24" hidden="1">#REF!</definedName>
    <definedName name="FDP_115_1_aUrv" localSheetId="23" hidden="1">#REF!</definedName>
    <definedName name="FDP_115_1_aUrv" localSheetId="20" hidden="1">#REF!</definedName>
    <definedName name="FDP_115_1_aUrv" localSheetId="19" hidden="1">#REF!</definedName>
    <definedName name="FDP_115_1_aUrv" localSheetId="26" hidden="1">#REF!</definedName>
    <definedName name="FDP_115_1_aUrv" localSheetId="27" hidden="1">#REF!</definedName>
    <definedName name="FDP_115_1_aUrv" localSheetId="25" hidden="1">#REF!</definedName>
    <definedName name="FDP_115_1_aUrv" localSheetId="28" hidden="1">#REF!</definedName>
    <definedName name="FDP_115_1_aUrv" localSheetId="7" hidden="1">#REF!</definedName>
    <definedName name="FDP_115_1_aUrv" localSheetId="4" hidden="1">#REF!</definedName>
    <definedName name="FDP_115_1_aUrv" localSheetId="5" hidden="1">#REF!</definedName>
    <definedName name="FDP_115_1_aUrv" localSheetId="2" hidden="1">#REF!</definedName>
    <definedName name="FDP_115_1_aUrv" localSheetId="3" hidden="1">#REF!</definedName>
    <definedName name="FDP_115_1_aUrv" hidden="1">#REF!</definedName>
    <definedName name="FDP_12_1_aDrv" localSheetId="21" hidden="1">#REF!</definedName>
    <definedName name="FDP_12_1_aDrv" localSheetId="12" hidden="1">#REF!</definedName>
    <definedName name="FDP_12_1_aDrv" localSheetId="13" hidden="1">#REF!</definedName>
    <definedName name="FDP_12_1_aDrv" localSheetId="14" hidden="1">#REF!</definedName>
    <definedName name="FDP_12_1_aDrv" localSheetId="16" hidden="1">#REF!</definedName>
    <definedName name="FDP_12_1_aDrv" localSheetId="15" hidden="1">#REF!</definedName>
    <definedName name="FDP_12_1_aDrv" localSheetId="17" hidden="1">#REF!</definedName>
    <definedName name="FDP_12_1_aDrv" localSheetId="11" hidden="1">#REF!</definedName>
    <definedName name="FDP_12_1_aDrv" localSheetId="10" hidden="1">#REF!</definedName>
    <definedName name="FDP_12_1_aDrv" localSheetId="22" hidden="1">#REF!</definedName>
    <definedName name="FDP_12_1_aDrv" localSheetId="24" hidden="1">#REF!</definedName>
    <definedName name="FDP_12_1_aDrv" localSheetId="23" hidden="1">#REF!</definedName>
    <definedName name="FDP_12_1_aDrv" localSheetId="20" hidden="1">#REF!</definedName>
    <definedName name="FDP_12_1_aDrv" localSheetId="19" hidden="1">#REF!</definedName>
    <definedName name="FDP_12_1_aDrv" localSheetId="26" hidden="1">#REF!</definedName>
    <definedName name="FDP_12_1_aDrv" localSheetId="27" hidden="1">#REF!</definedName>
    <definedName name="FDP_12_1_aDrv" localSheetId="25" hidden="1">#REF!</definedName>
    <definedName name="FDP_12_1_aDrv" localSheetId="28" hidden="1">#REF!</definedName>
    <definedName name="FDP_12_1_aDrv" localSheetId="7" hidden="1">#REF!</definedName>
    <definedName name="FDP_12_1_aDrv" localSheetId="4" hidden="1">#REF!</definedName>
    <definedName name="FDP_12_1_aDrv" localSheetId="5" hidden="1">#REF!</definedName>
    <definedName name="FDP_12_1_aDrv" localSheetId="2" hidden="1">#REF!</definedName>
    <definedName name="FDP_12_1_aDrv" localSheetId="3" hidden="1">#REF!</definedName>
    <definedName name="FDP_12_1_aDrv" hidden="1">#REF!</definedName>
    <definedName name="FDP_126_1_aUrv" localSheetId="21" hidden="1">#REF!</definedName>
    <definedName name="FDP_126_1_aUrv" localSheetId="12" hidden="1">#REF!</definedName>
    <definedName name="FDP_126_1_aUrv" localSheetId="13" hidden="1">#REF!</definedName>
    <definedName name="FDP_126_1_aUrv" localSheetId="14" hidden="1">#REF!</definedName>
    <definedName name="FDP_126_1_aUrv" localSheetId="16" hidden="1">#REF!</definedName>
    <definedName name="FDP_126_1_aUrv" localSheetId="15" hidden="1">#REF!</definedName>
    <definedName name="FDP_126_1_aUrv" localSheetId="17" hidden="1">#REF!</definedName>
    <definedName name="FDP_126_1_aUrv" localSheetId="11" hidden="1">#REF!</definedName>
    <definedName name="FDP_126_1_aUrv" localSheetId="10" hidden="1">#REF!</definedName>
    <definedName name="FDP_126_1_aUrv" localSheetId="22" hidden="1">#REF!</definedName>
    <definedName name="FDP_126_1_aUrv" localSheetId="24" hidden="1">#REF!</definedName>
    <definedName name="FDP_126_1_aUrv" localSheetId="23" hidden="1">#REF!</definedName>
    <definedName name="FDP_126_1_aUrv" localSheetId="20" hidden="1">#REF!</definedName>
    <definedName name="FDP_126_1_aUrv" localSheetId="19" hidden="1">#REF!</definedName>
    <definedName name="FDP_126_1_aUrv" localSheetId="26" hidden="1">#REF!</definedName>
    <definedName name="FDP_126_1_aUrv" localSheetId="27" hidden="1">#REF!</definedName>
    <definedName name="FDP_126_1_aUrv" localSheetId="25" hidden="1">#REF!</definedName>
    <definedName name="FDP_126_1_aUrv" localSheetId="28" hidden="1">#REF!</definedName>
    <definedName name="FDP_126_1_aUrv" localSheetId="7" hidden="1">#REF!</definedName>
    <definedName name="FDP_126_1_aUrv" localSheetId="4" hidden="1">#REF!</definedName>
    <definedName name="FDP_126_1_aUrv" localSheetId="5" hidden="1">#REF!</definedName>
    <definedName name="FDP_126_1_aUrv" localSheetId="2" hidden="1">#REF!</definedName>
    <definedName name="FDP_126_1_aUrv" localSheetId="3" hidden="1">#REF!</definedName>
    <definedName name="FDP_126_1_aUrv" hidden="1">#REF!</definedName>
    <definedName name="FDP_127_1_aUrv" localSheetId="21" hidden="1">#REF!</definedName>
    <definedName name="FDP_127_1_aUrv" localSheetId="12" hidden="1">#REF!</definedName>
    <definedName name="FDP_127_1_aUrv" localSheetId="13" hidden="1">#REF!</definedName>
    <definedName name="FDP_127_1_aUrv" localSheetId="14" hidden="1">#REF!</definedName>
    <definedName name="FDP_127_1_aUrv" localSheetId="16" hidden="1">#REF!</definedName>
    <definedName name="FDP_127_1_aUrv" localSheetId="15" hidden="1">#REF!</definedName>
    <definedName name="FDP_127_1_aUrv" localSheetId="17" hidden="1">#REF!</definedName>
    <definedName name="FDP_127_1_aUrv" localSheetId="11" hidden="1">#REF!</definedName>
    <definedName name="FDP_127_1_aUrv" localSheetId="10" hidden="1">#REF!</definedName>
    <definedName name="FDP_127_1_aUrv" localSheetId="22" hidden="1">#REF!</definedName>
    <definedName name="FDP_127_1_aUrv" localSheetId="24" hidden="1">#REF!</definedName>
    <definedName name="FDP_127_1_aUrv" localSheetId="23" hidden="1">#REF!</definedName>
    <definedName name="FDP_127_1_aUrv" localSheetId="20" hidden="1">#REF!</definedName>
    <definedName name="FDP_127_1_aUrv" localSheetId="19" hidden="1">#REF!</definedName>
    <definedName name="FDP_127_1_aUrv" localSheetId="26" hidden="1">#REF!</definedName>
    <definedName name="FDP_127_1_aUrv" localSheetId="27" hidden="1">#REF!</definedName>
    <definedName name="FDP_127_1_aUrv" localSheetId="25" hidden="1">#REF!</definedName>
    <definedName name="FDP_127_1_aUrv" localSheetId="28" hidden="1">#REF!</definedName>
    <definedName name="FDP_127_1_aUrv" localSheetId="7" hidden="1">#REF!</definedName>
    <definedName name="FDP_127_1_aUrv" localSheetId="4" hidden="1">#REF!</definedName>
    <definedName name="FDP_127_1_aUrv" localSheetId="5" hidden="1">#REF!</definedName>
    <definedName name="FDP_127_1_aUrv" localSheetId="2" hidden="1">#REF!</definedName>
    <definedName name="FDP_127_1_aUrv" localSheetId="3" hidden="1">#REF!</definedName>
    <definedName name="FDP_127_1_aUrv" hidden="1">#REF!</definedName>
    <definedName name="FDP_128_1_aUrv" localSheetId="21" hidden="1">#REF!</definedName>
    <definedName name="FDP_128_1_aUrv" localSheetId="12" hidden="1">#REF!</definedName>
    <definedName name="FDP_128_1_aUrv" localSheetId="13" hidden="1">#REF!</definedName>
    <definedName name="FDP_128_1_aUrv" localSheetId="14" hidden="1">#REF!</definedName>
    <definedName name="FDP_128_1_aUrv" localSheetId="16" hidden="1">#REF!</definedName>
    <definedName name="FDP_128_1_aUrv" localSheetId="15" hidden="1">#REF!</definedName>
    <definedName name="FDP_128_1_aUrv" localSheetId="17" hidden="1">#REF!</definedName>
    <definedName name="FDP_128_1_aUrv" localSheetId="11" hidden="1">#REF!</definedName>
    <definedName name="FDP_128_1_aUrv" localSheetId="10" hidden="1">#REF!</definedName>
    <definedName name="FDP_128_1_aUrv" localSheetId="22" hidden="1">#REF!</definedName>
    <definedName name="FDP_128_1_aUrv" localSheetId="24" hidden="1">#REF!</definedName>
    <definedName name="FDP_128_1_aUrv" localSheetId="23" hidden="1">#REF!</definedName>
    <definedName name="FDP_128_1_aUrv" localSheetId="20" hidden="1">#REF!</definedName>
    <definedName name="FDP_128_1_aUrv" localSheetId="19" hidden="1">#REF!</definedName>
    <definedName name="FDP_128_1_aUrv" localSheetId="26" hidden="1">#REF!</definedName>
    <definedName name="FDP_128_1_aUrv" localSheetId="27" hidden="1">#REF!</definedName>
    <definedName name="FDP_128_1_aUrv" localSheetId="25" hidden="1">#REF!</definedName>
    <definedName name="FDP_128_1_aUrv" localSheetId="28" hidden="1">#REF!</definedName>
    <definedName name="FDP_128_1_aUrv" localSheetId="7" hidden="1">#REF!</definedName>
    <definedName name="FDP_128_1_aUrv" localSheetId="4" hidden="1">#REF!</definedName>
    <definedName name="FDP_128_1_aUrv" localSheetId="5" hidden="1">#REF!</definedName>
    <definedName name="FDP_128_1_aUrv" localSheetId="2" hidden="1">#REF!</definedName>
    <definedName name="FDP_128_1_aUrv" localSheetId="3" hidden="1">#REF!</definedName>
    <definedName name="FDP_128_1_aUrv" hidden="1">#REF!</definedName>
    <definedName name="FDP_129_1_aUrv" localSheetId="21" hidden="1">#REF!</definedName>
    <definedName name="FDP_129_1_aUrv" localSheetId="12" hidden="1">#REF!</definedName>
    <definedName name="FDP_129_1_aUrv" localSheetId="13" hidden="1">#REF!</definedName>
    <definedName name="FDP_129_1_aUrv" localSheetId="14" hidden="1">#REF!</definedName>
    <definedName name="FDP_129_1_aUrv" localSheetId="16" hidden="1">#REF!</definedName>
    <definedName name="FDP_129_1_aUrv" localSheetId="15" hidden="1">#REF!</definedName>
    <definedName name="FDP_129_1_aUrv" localSheetId="17" hidden="1">#REF!</definedName>
    <definedName name="FDP_129_1_aUrv" localSheetId="11" hidden="1">#REF!</definedName>
    <definedName name="FDP_129_1_aUrv" localSheetId="10" hidden="1">#REF!</definedName>
    <definedName name="FDP_129_1_aUrv" localSheetId="22" hidden="1">#REF!</definedName>
    <definedName name="FDP_129_1_aUrv" localSheetId="24" hidden="1">#REF!</definedName>
    <definedName name="FDP_129_1_aUrv" localSheetId="23" hidden="1">#REF!</definedName>
    <definedName name="FDP_129_1_aUrv" localSheetId="20" hidden="1">#REF!</definedName>
    <definedName name="FDP_129_1_aUrv" localSheetId="19" hidden="1">#REF!</definedName>
    <definedName name="FDP_129_1_aUrv" localSheetId="26" hidden="1">#REF!</definedName>
    <definedName name="FDP_129_1_aUrv" localSheetId="27" hidden="1">#REF!</definedName>
    <definedName name="FDP_129_1_aUrv" localSheetId="25" hidden="1">#REF!</definedName>
    <definedName name="FDP_129_1_aUrv" localSheetId="28" hidden="1">#REF!</definedName>
    <definedName name="FDP_129_1_aUrv" localSheetId="7" hidden="1">#REF!</definedName>
    <definedName name="FDP_129_1_aUrv" localSheetId="4" hidden="1">#REF!</definedName>
    <definedName name="FDP_129_1_aUrv" localSheetId="5" hidden="1">#REF!</definedName>
    <definedName name="FDP_129_1_aUrv" localSheetId="2" hidden="1">#REF!</definedName>
    <definedName name="FDP_129_1_aUrv" localSheetId="3" hidden="1">#REF!</definedName>
    <definedName name="FDP_129_1_aUrv" hidden="1">#REF!</definedName>
    <definedName name="FDP_13_1_aDrv" localSheetId="21" hidden="1">#REF!</definedName>
    <definedName name="FDP_13_1_aDrv" localSheetId="12" hidden="1">#REF!</definedName>
    <definedName name="FDP_13_1_aDrv" localSheetId="13" hidden="1">#REF!</definedName>
    <definedName name="FDP_13_1_aDrv" localSheetId="14" hidden="1">#REF!</definedName>
    <definedName name="FDP_13_1_aDrv" localSheetId="16" hidden="1">#REF!</definedName>
    <definedName name="FDP_13_1_aDrv" localSheetId="15" hidden="1">#REF!</definedName>
    <definedName name="FDP_13_1_aDrv" localSheetId="17" hidden="1">#REF!</definedName>
    <definedName name="FDP_13_1_aDrv" localSheetId="11" hidden="1">#REF!</definedName>
    <definedName name="FDP_13_1_aDrv" localSheetId="10" hidden="1">#REF!</definedName>
    <definedName name="FDP_13_1_aDrv" localSheetId="22" hidden="1">#REF!</definedName>
    <definedName name="FDP_13_1_aDrv" localSheetId="24" hidden="1">#REF!</definedName>
    <definedName name="FDP_13_1_aDrv" localSheetId="23" hidden="1">#REF!</definedName>
    <definedName name="FDP_13_1_aDrv" localSheetId="20" hidden="1">#REF!</definedName>
    <definedName name="FDP_13_1_aDrv" localSheetId="19" hidden="1">#REF!</definedName>
    <definedName name="FDP_13_1_aDrv" localSheetId="26" hidden="1">#REF!</definedName>
    <definedName name="FDP_13_1_aDrv" localSheetId="27" hidden="1">#REF!</definedName>
    <definedName name="FDP_13_1_aDrv" localSheetId="25" hidden="1">#REF!</definedName>
    <definedName name="FDP_13_1_aDrv" localSheetId="28" hidden="1">#REF!</definedName>
    <definedName name="FDP_13_1_aDrv" localSheetId="7" hidden="1">#REF!</definedName>
    <definedName name="FDP_13_1_aDrv" localSheetId="4" hidden="1">#REF!</definedName>
    <definedName name="FDP_13_1_aDrv" localSheetId="5" hidden="1">#REF!</definedName>
    <definedName name="FDP_13_1_aDrv" localSheetId="2" hidden="1">#REF!</definedName>
    <definedName name="FDP_13_1_aDrv" localSheetId="3" hidden="1">#REF!</definedName>
    <definedName name="FDP_13_1_aDrv" hidden="1">#REF!</definedName>
    <definedName name="FDP_131_1_aDrv" localSheetId="21" hidden="1">#REF!</definedName>
    <definedName name="FDP_131_1_aDrv" localSheetId="12" hidden="1">#REF!</definedName>
    <definedName name="FDP_131_1_aDrv" localSheetId="13" hidden="1">#REF!</definedName>
    <definedName name="FDP_131_1_aDrv" localSheetId="14" hidden="1">#REF!</definedName>
    <definedName name="FDP_131_1_aDrv" localSheetId="16" hidden="1">#REF!</definedName>
    <definedName name="FDP_131_1_aDrv" localSheetId="15" hidden="1">#REF!</definedName>
    <definedName name="FDP_131_1_aDrv" localSheetId="17" hidden="1">#REF!</definedName>
    <definedName name="FDP_131_1_aDrv" localSheetId="11" hidden="1">#REF!</definedName>
    <definedName name="FDP_131_1_aDrv" localSheetId="10" hidden="1">#REF!</definedName>
    <definedName name="FDP_131_1_aDrv" localSheetId="22" hidden="1">#REF!</definedName>
    <definedName name="FDP_131_1_aDrv" localSheetId="24" hidden="1">#REF!</definedName>
    <definedName name="FDP_131_1_aDrv" localSheetId="23" hidden="1">#REF!</definedName>
    <definedName name="FDP_131_1_aDrv" localSheetId="20" hidden="1">#REF!</definedName>
    <definedName name="FDP_131_1_aDrv" localSheetId="19" hidden="1">#REF!</definedName>
    <definedName name="FDP_131_1_aDrv" localSheetId="26" hidden="1">#REF!</definedName>
    <definedName name="FDP_131_1_aDrv" localSheetId="27" hidden="1">#REF!</definedName>
    <definedName name="FDP_131_1_aDrv" localSheetId="25" hidden="1">#REF!</definedName>
    <definedName name="FDP_131_1_aDrv" localSheetId="28" hidden="1">#REF!</definedName>
    <definedName name="FDP_131_1_aDrv" localSheetId="7" hidden="1">#REF!</definedName>
    <definedName name="FDP_131_1_aDrv" localSheetId="4" hidden="1">#REF!</definedName>
    <definedName name="FDP_131_1_aDrv" localSheetId="5" hidden="1">#REF!</definedName>
    <definedName name="FDP_131_1_aDrv" localSheetId="2" hidden="1">#REF!</definedName>
    <definedName name="FDP_131_1_aDrv" localSheetId="3" hidden="1">#REF!</definedName>
    <definedName name="FDP_131_1_aDrv" hidden="1">#REF!</definedName>
    <definedName name="FDP_134_1_aDrv" localSheetId="21" hidden="1">#REF!</definedName>
    <definedName name="FDP_134_1_aDrv" localSheetId="12" hidden="1">#REF!</definedName>
    <definedName name="FDP_134_1_aDrv" localSheetId="13" hidden="1">#REF!</definedName>
    <definedName name="FDP_134_1_aDrv" localSheetId="14" hidden="1">#REF!</definedName>
    <definedName name="FDP_134_1_aDrv" localSheetId="16" hidden="1">#REF!</definedName>
    <definedName name="FDP_134_1_aDrv" localSheetId="15" hidden="1">#REF!</definedName>
    <definedName name="FDP_134_1_aDrv" localSheetId="17" hidden="1">#REF!</definedName>
    <definedName name="FDP_134_1_aDrv" localSheetId="11" hidden="1">#REF!</definedName>
    <definedName name="FDP_134_1_aDrv" localSheetId="10" hidden="1">#REF!</definedName>
    <definedName name="FDP_134_1_aDrv" localSheetId="22" hidden="1">#REF!</definedName>
    <definedName name="FDP_134_1_aDrv" localSheetId="24" hidden="1">#REF!</definedName>
    <definedName name="FDP_134_1_aDrv" localSheetId="23" hidden="1">#REF!</definedName>
    <definedName name="FDP_134_1_aDrv" localSheetId="20" hidden="1">#REF!</definedName>
    <definedName name="FDP_134_1_aDrv" localSheetId="19" hidden="1">#REF!</definedName>
    <definedName name="FDP_134_1_aDrv" localSheetId="26" hidden="1">#REF!</definedName>
    <definedName name="FDP_134_1_aDrv" localSheetId="27" hidden="1">#REF!</definedName>
    <definedName name="FDP_134_1_aDrv" localSheetId="25" hidden="1">#REF!</definedName>
    <definedName name="FDP_134_1_aDrv" localSheetId="28" hidden="1">#REF!</definedName>
    <definedName name="FDP_134_1_aDrv" localSheetId="7" hidden="1">#REF!</definedName>
    <definedName name="FDP_134_1_aDrv" localSheetId="4" hidden="1">#REF!</definedName>
    <definedName name="FDP_134_1_aDrv" localSheetId="5" hidden="1">#REF!</definedName>
    <definedName name="FDP_134_1_aDrv" localSheetId="2" hidden="1">#REF!</definedName>
    <definedName name="FDP_134_1_aDrv" localSheetId="3" hidden="1">#REF!</definedName>
    <definedName name="FDP_134_1_aDrv" hidden="1">#REF!</definedName>
    <definedName name="FDP_135_1_aDrv" localSheetId="21" hidden="1">#REF!</definedName>
    <definedName name="FDP_135_1_aDrv" localSheetId="12" hidden="1">#REF!</definedName>
    <definedName name="FDP_135_1_aDrv" localSheetId="13" hidden="1">#REF!</definedName>
    <definedName name="FDP_135_1_aDrv" localSheetId="14" hidden="1">#REF!</definedName>
    <definedName name="FDP_135_1_aDrv" localSheetId="16" hidden="1">#REF!</definedName>
    <definedName name="FDP_135_1_aDrv" localSheetId="15" hidden="1">#REF!</definedName>
    <definedName name="FDP_135_1_aDrv" localSheetId="17" hidden="1">#REF!</definedName>
    <definedName name="FDP_135_1_aDrv" localSheetId="11" hidden="1">#REF!</definedName>
    <definedName name="FDP_135_1_aDrv" localSheetId="10" hidden="1">#REF!</definedName>
    <definedName name="FDP_135_1_aDrv" localSheetId="22" hidden="1">#REF!</definedName>
    <definedName name="FDP_135_1_aDrv" localSheetId="24" hidden="1">#REF!</definedName>
    <definedName name="FDP_135_1_aDrv" localSheetId="23" hidden="1">#REF!</definedName>
    <definedName name="FDP_135_1_aDrv" localSheetId="20" hidden="1">#REF!</definedName>
    <definedName name="FDP_135_1_aDrv" localSheetId="19" hidden="1">#REF!</definedName>
    <definedName name="FDP_135_1_aDrv" localSheetId="26" hidden="1">#REF!</definedName>
    <definedName name="FDP_135_1_aDrv" localSheetId="27" hidden="1">#REF!</definedName>
    <definedName name="FDP_135_1_aDrv" localSheetId="25" hidden="1">#REF!</definedName>
    <definedName name="FDP_135_1_aDrv" localSheetId="28" hidden="1">#REF!</definedName>
    <definedName name="FDP_135_1_aDrv" localSheetId="7" hidden="1">#REF!</definedName>
    <definedName name="FDP_135_1_aDrv" localSheetId="4" hidden="1">#REF!</definedName>
    <definedName name="FDP_135_1_aDrv" localSheetId="5" hidden="1">#REF!</definedName>
    <definedName name="FDP_135_1_aDrv" localSheetId="2" hidden="1">#REF!</definedName>
    <definedName name="FDP_135_1_aDrv" localSheetId="3" hidden="1">#REF!</definedName>
    <definedName name="FDP_135_1_aDrv" hidden="1">#REF!</definedName>
    <definedName name="FDP_137_1_aDdv" localSheetId="21" hidden="1">#REF!</definedName>
    <definedName name="FDP_137_1_aDdv" localSheetId="12" hidden="1">#REF!</definedName>
    <definedName name="FDP_137_1_aDdv" localSheetId="13" hidden="1">#REF!</definedName>
    <definedName name="FDP_137_1_aDdv" localSheetId="14" hidden="1">#REF!</definedName>
    <definedName name="FDP_137_1_aDdv" localSheetId="16" hidden="1">#REF!</definedName>
    <definedName name="FDP_137_1_aDdv" localSheetId="15" hidden="1">#REF!</definedName>
    <definedName name="FDP_137_1_aDdv" localSheetId="17" hidden="1">#REF!</definedName>
    <definedName name="FDP_137_1_aDdv" localSheetId="11" hidden="1">#REF!</definedName>
    <definedName name="FDP_137_1_aDdv" localSheetId="10" hidden="1">#REF!</definedName>
    <definedName name="FDP_137_1_aDdv" localSheetId="22" hidden="1">#REF!</definedName>
    <definedName name="FDP_137_1_aDdv" localSheetId="24" hidden="1">#REF!</definedName>
    <definedName name="FDP_137_1_aDdv" localSheetId="23" hidden="1">#REF!</definedName>
    <definedName name="FDP_137_1_aDdv" localSheetId="20" hidden="1">#REF!</definedName>
    <definedName name="FDP_137_1_aDdv" localSheetId="19" hidden="1">#REF!</definedName>
    <definedName name="FDP_137_1_aDdv" localSheetId="26" hidden="1">#REF!</definedName>
    <definedName name="FDP_137_1_aDdv" localSheetId="27" hidden="1">#REF!</definedName>
    <definedName name="FDP_137_1_aDdv" localSheetId="25" hidden="1">#REF!</definedName>
    <definedName name="FDP_137_1_aDdv" localSheetId="28" hidden="1">#REF!</definedName>
    <definedName name="FDP_137_1_aDdv" localSheetId="7" hidden="1">#REF!</definedName>
    <definedName name="FDP_137_1_aDdv" localSheetId="4" hidden="1">#REF!</definedName>
    <definedName name="FDP_137_1_aDdv" localSheetId="5" hidden="1">#REF!</definedName>
    <definedName name="FDP_137_1_aDdv" localSheetId="2" hidden="1">#REF!</definedName>
    <definedName name="FDP_137_1_aDdv" localSheetId="3" hidden="1">#REF!</definedName>
    <definedName name="FDP_137_1_aDdv" hidden="1">#REF!</definedName>
    <definedName name="FDP_139_1_aUrv" localSheetId="21" hidden="1">#REF!</definedName>
    <definedName name="FDP_139_1_aUrv" localSheetId="12" hidden="1">#REF!</definedName>
    <definedName name="FDP_139_1_aUrv" localSheetId="13" hidden="1">#REF!</definedName>
    <definedName name="FDP_139_1_aUrv" localSheetId="14" hidden="1">#REF!</definedName>
    <definedName name="FDP_139_1_aUrv" localSheetId="16" hidden="1">#REF!</definedName>
    <definedName name="FDP_139_1_aUrv" localSheetId="15" hidden="1">#REF!</definedName>
    <definedName name="FDP_139_1_aUrv" localSheetId="17" hidden="1">#REF!</definedName>
    <definedName name="FDP_139_1_aUrv" localSheetId="11" hidden="1">#REF!</definedName>
    <definedName name="FDP_139_1_aUrv" localSheetId="10" hidden="1">#REF!</definedName>
    <definedName name="FDP_139_1_aUrv" localSheetId="22" hidden="1">#REF!</definedName>
    <definedName name="FDP_139_1_aUrv" localSheetId="24" hidden="1">#REF!</definedName>
    <definedName name="FDP_139_1_aUrv" localSheetId="23" hidden="1">#REF!</definedName>
    <definedName name="FDP_139_1_aUrv" localSheetId="20" hidden="1">#REF!</definedName>
    <definedName name="FDP_139_1_aUrv" localSheetId="19" hidden="1">#REF!</definedName>
    <definedName name="FDP_139_1_aUrv" localSheetId="26" hidden="1">#REF!</definedName>
    <definedName name="FDP_139_1_aUrv" localSheetId="27" hidden="1">#REF!</definedName>
    <definedName name="FDP_139_1_aUrv" localSheetId="25" hidden="1">#REF!</definedName>
    <definedName name="FDP_139_1_aUrv" localSheetId="28" hidden="1">#REF!</definedName>
    <definedName name="FDP_139_1_aUrv" localSheetId="7" hidden="1">#REF!</definedName>
    <definedName name="FDP_139_1_aUrv" localSheetId="4" hidden="1">#REF!</definedName>
    <definedName name="FDP_139_1_aUrv" localSheetId="5" hidden="1">#REF!</definedName>
    <definedName name="FDP_139_1_aUrv" localSheetId="2" hidden="1">#REF!</definedName>
    <definedName name="FDP_139_1_aUrv" localSheetId="3" hidden="1">#REF!</definedName>
    <definedName name="FDP_139_1_aUrv" hidden="1">#REF!</definedName>
    <definedName name="FDP_14_1_aDrv" localSheetId="21" hidden="1">#REF!</definedName>
    <definedName name="FDP_14_1_aDrv" localSheetId="12" hidden="1">#REF!</definedName>
    <definedName name="FDP_14_1_aDrv" localSheetId="13" hidden="1">#REF!</definedName>
    <definedName name="FDP_14_1_aDrv" localSheetId="14" hidden="1">#REF!</definedName>
    <definedName name="FDP_14_1_aDrv" localSheetId="16" hidden="1">#REF!</definedName>
    <definedName name="FDP_14_1_aDrv" localSheetId="15" hidden="1">#REF!</definedName>
    <definedName name="FDP_14_1_aDrv" localSheetId="17" hidden="1">#REF!</definedName>
    <definedName name="FDP_14_1_aDrv" localSheetId="11" hidden="1">#REF!</definedName>
    <definedName name="FDP_14_1_aDrv" localSheetId="10" hidden="1">#REF!</definedName>
    <definedName name="FDP_14_1_aDrv" localSheetId="22" hidden="1">#REF!</definedName>
    <definedName name="FDP_14_1_aDrv" localSheetId="24" hidden="1">#REF!</definedName>
    <definedName name="FDP_14_1_aDrv" localSheetId="23" hidden="1">#REF!</definedName>
    <definedName name="FDP_14_1_aDrv" localSheetId="20" hidden="1">#REF!</definedName>
    <definedName name="FDP_14_1_aDrv" localSheetId="19" hidden="1">#REF!</definedName>
    <definedName name="FDP_14_1_aDrv" localSheetId="26" hidden="1">#REF!</definedName>
    <definedName name="FDP_14_1_aDrv" localSheetId="27" hidden="1">#REF!</definedName>
    <definedName name="FDP_14_1_aDrv" localSheetId="25" hidden="1">#REF!</definedName>
    <definedName name="FDP_14_1_aDrv" localSheetId="28" hidden="1">#REF!</definedName>
    <definedName name="FDP_14_1_aDrv" localSheetId="7" hidden="1">#REF!</definedName>
    <definedName name="FDP_14_1_aDrv" localSheetId="4" hidden="1">#REF!</definedName>
    <definedName name="FDP_14_1_aDrv" localSheetId="5" hidden="1">#REF!</definedName>
    <definedName name="FDP_14_1_aDrv" localSheetId="2" hidden="1">#REF!</definedName>
    <definedName name="FDP_14_1_aDrv" localSheetId="3" hidden="1">#REF!</definedName>
    <definedName name="FDP_14_1_aDrv" hidden="1">#REF!</definedName>
    <definedName name="FDP_140_1_aUrv" localSheetId="21" hidden="1">#REF!</definedName>
    <definedName name="FDP_140_1_aUrv" localSheetId="12" hidden="1">#REF!</definedName>
    <definedName name="FDP_140_1_aUrv" localSheetId="13" hidden="1">#REF!</definedName>
    <definedName name="FDP_140_1_aUrv" localSheetId="14" hidden="1">#REF!</definedName>
    <definedName name="FDP_140_1_aUrv" localSheetId="16" hidden="1">#REF!</definedName>
    <definedName name="FDP_140_1_aUrv" localSheetId="15" hidden="1">#REF!</definedName>
    <definedName name="FDP_140_1_aUrv" localSheetId="17" hidden="1">#REF!</definedName>
    <definedName name="FDP_140_1_aUrv" localSheetId="11" hidden="1">#REF!</definedName>
    <definedName name="FDP_140_1_aUrv" localSheetId="10" hidden="1">#REF!</definedName>
    <definedName name="FDP_140_1_aUrv" localSheetId="22" hidden="1">#REF!</definedName>
    <definedName name="FDP_140_1_aUrv" localSheetId="24" hidden="1">#REF!</definedName>
    <definedName name="FDP_140_1_aUrv" localSheetId="23" hidden="1">#REF!</definedName>
    <definedName name="FDP_140_1_aUrv" localSheetId="20" hidden="1">#REF!</definedName>
    <definedName name="FDP_140_1_aUrv" localSheetId="19" hidden="1">#REF!</definedName>
    <definedName name="FDP_140_1_aUrv" localSheetId="26" hidden="1">#REF!</definedName>
    <definedName name="FDP_140_1_aUrv" localSheetId="27" hidden="1">#REF!</definedName>
    <definedName name="FDP_140_1_aUrv" localSheetId="25" hidden="1">#REF!</definedName>
    <definedName name="FDP_140_1_aUrv" localSheetId="28" hidden="1">#REF!</definedName>
    <definedName name="FDP_140_1_aUrv" localSheetId="7" hidden="1">#REF!</definedName>
    <definedName name="FDP_140_1_aUrv" localSheetId="4" hidden="1">#REF!</definedName>
    <definedName name="FDP_140_1_aUrv" localSheetId="5" hidden="1">#REF!</definedName>
    <definedName name="FDP_140_1_aUrv" localSheetId="2" hidden="1">#REF!</definedName>
    <definedName name="FDP_140_1_aUrv" localSheetId="3" hidden="1">#REF!</definedName>
    <definedName name="FDP_140_1_aUrv" hidden="1">#REF!</definedName>
    <definedName name="FDP_141_1_aUrv" localSheetId="21" hidden="1">#REF!</definedName>
    <definedName name="FDP_141_1_aUrv" localSheetId="12" hidden="1">#REF!</definedName>
    <definedName name="FDP_141_1_aUrv" localSheetId="13" hidden="1">#REF!</definedName>
    <definedName name="FDP_141_1_aUrv" localSheetId="14" hidden="1">#REF!</definedName>
    <definedName name="FDP_141_1_aUrv" localSheetId="16" hidden="1">#REF!</definedName>
    <definedName name="FDP_141_1_aUrv" localSheetId="15" hidden="1">#REF!</definedName>
    <definedName name="FDP_141_1_aUrv" localSheetId="17" hidden="1">#REF!</definedName>
    <definedName name="FDP_141_1_aUrv" localSheetId="11" hidden="1">#REF!</definedName>
    <definedName name="FDP_141_1_aUrv" localSheetId="10" hidden="1">#REF!</definedName>
    <definedName name="FDP_141_1_aUrv" localSheetId="22" hidden="1">#REF!</definedName>
    <definedName name="FDP_141_1_aUrv" localSheetId="24" hidden="1">#REF!</definedName>
    <definedName name="FDP_141_1_aUrv" localSheetId="23" hidden="1">#REF!</definedName>
    <definedName name="FDP_141_1_aUrv" localSheetId="20" hidden="1">#REF!</definedName>
    <definedName name="FDP_141_1_aUrv" localSheetId="19" hidden="1">#REF!</definedName>
    <definedName name="FDP_141_1_aUrv" localSheetId="26" hidden="1">#REF!</definedName>
    <definedName name="FDP_141_1_aUrv" localSheetId="27" hidden="1">#REF!</definedName>
    <definedName name="FDP_141_1_aUrv" localSheetId="25" hidden="1">#REF!</definedName>
    <definedName name="FDP_141_1_aUrv" localSheetId="28" hidden="1">#REF!</definedName>
    <definedName name="FDP_141_1_aUrv" localSheetId="7" hidden="1">#REF!</definedName>
    <definedName name="FDP_141_1_aUrv" localSheetId="4" hidden="1">#REF!</definedName>
    <definedName name="FDP_141_1_aUrv" localSheetId="5" hidden="1">#REF!</definedName>
    <definedName name="FDP_141_1_aUrv" localSheetId="2" hidden="1">#REF!</definedName>
    <definedName name="FDP_141_1_aUrv" localSheetId="3" hidden="1">#REF!</definedName>
    <definedName name="FDP_141_1_aUrv" hidden="1">#REF!</definedName>
    <definedName name="FDP_143_1_aUrv" localSheetId="21" hidden="1">#REF!</definedName>
    <definedName name="FDP_143_1_aUrv" localSheetId="12" hidden="1">#REF!</definedName>
    <definedName name="FDP_143_1_aUrv" localSheetId="13" hidden="1">#REF!</definedName>
    <definedName name="FDP_143_1_aUrv" localSheetId="14" hidden="1">#REF!</definedName>
    <definedName name="FDP_143_1_aUrv" localSheetId="16" hidden="1">#REF!</definedName>
    <definedName name="FDP_143_1_aUrv" localSheetId="15" hidden="1">#REF!</definedName>
    <definedName name="FDP_143_1_aUrv" localSheetId="17" hidden="1">#REF!</definedName>
    <definedName name="FDP_143_1_aUrv" localSheetId="11" hidden="1">#REF!</definedName>
    <definedName name="FDP_143_1_aUrv" localSheetId="10" hidden="1">#REF!</definedName>
    <definedName name="FDP_143_1_aUrv" localSheetId="22" hidden="1">#REF!</definedName>
    <definedName name="FDP_143_1_aUrv" localSheetId="24" hidden="1">#REF!</definedName>
    <definedName name="FDP_143_1_aUrv" localSheetId="23" hidden="1">#REF!</definedName>
    <definedName name="FDP_143_1_aUrv" localSheetId="20" hidden="1">#REF!</definedName>
    <definedName name="FDP_143_1_aUrv" localSheetId="19" hidden="1">#REF!</definedName>
    <definedName name="FDP_143_1_aUrv" localSheetId="26" hidden="1">#REF!</definedName>
    <definedName name="FDP_143_1_aUrv" localSheetId="27" hidden="1">#REF!</definedName>
    <definedName name="FDP_143_1_aUrv" localSheetId="25" hidden="1">#REF!</definedName>
    <definedName name="FDP_143_1_aUrv" localSheetId="28" hidden="1">#REF!</definedName>
    <definedName name="FDP_143_1_aUrv" localSheetId="7" hidden="1">#REF!</definedName>
    <definedName name="FDP_143_1_aUrv" localSheetId="4" hidden="1">#REF!</definedName>
    <definedName name="FDP_143_1_aUrv" localSheetId="5" hidden="1">#REF!</definedName>
    <definedName name="FDP_143_1_aUrv" localSheetId="2" hidden="1">#REF!</definedName>
    <definedName name="FDP_143_1_aUrv" localSheetId="3" hidden="1">#REF!</definedName>
    <definedName name="FDP_143_1_aUrv" hidden="1">#REF!</definedName>
    <definedName name="FDP_144_1_aUrv" localSheetId="21" hidden="1">#REF!</definedName>
    <definedName name="FDP_144_1_aUrv" localSheetId="12" hidden="1">#REF!</definedName>
    <definedName name="FDP_144_1_aUrv" localSheetId="13" hidden="1">#REF!</definedName>
    <definedName name="FDP_144_1_aUrv" localSheetId="14" hidden="1">#REF!</definedName>
    <definedName name="FDP_144_1_aUrv" localSheetId="16" hidden="1">#REF!</definedName>
    <definedName name="FDP_144_1_aUrv" localSheetId="15" hidden="1">#REF!</definedName>
    <definedName name="FDP_144_1_aUrv" localSheetId="17" hidden="1">#REF!</definedName>
    <definedName name="FDP_144_1_aUrv" localSheetId="11" hidden="1">#REF!</definedName>
    <definedName name="FDP_144_1_aUrv" localSheetId="10" hidden="1">#REF!</definedName>
    <definedName name="FDP_144_1_aUrv" localSheetId="22" hidden="1">#REF!</definedName>
    <definedName name="FDP_144_1_aUrv" localSheetId="24" hidden="1">#REF!</definedName>
    <definedName name="FDP_144_1_aUrv" localSheetId="23" hidden="1">#REF!</definedName>
    <definedName name="FDP_144_1_aUrv" localSheetId="20" hidden="1">#REF!</definedName>
    <definedName name="FDP_144_1_aUrv" localSheetId="19" hidden="1">#REF!</definedName>
    <definedName name="FDP_144_1_aUrv" localSheetId="26" hidden="1">#REF!</definedName>
    <definedName name="FDP_144_1_aUrv" localSheetId="27" hidden="1">#REF!</definedName>
    <definedName name="FDP_144_1_aUrv" localSheetId="25" hidden="1">#REF!</definedName>
    <definedName name="FDP_144_1_aUrv" localSheetId="28" hidden="1">#REF!</definedName>
    <definedName name="FDP_144_1_aUrv" localSheetId="7" hidden="1">#REF!</definedName>
    <definedName name="FDP_144_1_aUrv" localSheetId="4" hidden="1">#REF!</definedName>
    <definedName name="FDP_144_1_aUrv" localSheetId="5" hidden="1">#REF!</definedName>
    <definedName name="FDP_144_1_aUrv" localSheetId="2" hidden="1">#REF!</definedName>
    <definedName name="FDP_144_1_aUrv" localSheetId="3" hidden="1">#REF!</definedName>
    <definedName name="FDP_144_1_aUrv" hidden="1">#REF!</definedName>
    <definedName name="FDP_15_1_aDrv" localSheetId="21" hidden="1">#REF!</definedName>
    <definedName name="FDP_15_1_aDrv" localSheetId="12" hidden="1">#REF!</definedName>
    <definedName name="FDP_15_1_aDrv" localSheetId="13" hidden="1">#REF!</definedName>
    <definedName name="FDP_15_1_aDrv" localSheetId="14" hidden="1">#REF!</definedName>
    <definedName name="FDP_15_1_aDrv" localSheetId="16" hidden="1">#REF!</definedName>
    <definedName name="FDP_15_1_aDrv" localSheetId="15" hidden="1">#REF!</definedName>
    <definedName name="FDP_15_1_aDrv" localSheetId="17" hidden="1">#REF!</definedName>
    <definedName name="FDP_15_1_aDrv" localSheetId="11" hidden="1">#REF!</definedName>
    <definedName name="FDP_15_1_aDrv" localSheetId="10" hidden="1">#REF!</definedName>
    <definedName name="FDP_15_1_aDrv" localSheetId="22" hidden="1">#REF!</definedName>
    <definedName name="FDP_15_1_aDrv" localSheetId="24" hidden="1">#REF!</definedName>
    <definedName name="FDP_15_1_aDrv" localSheetId="23" hidden="1">#REF!</definedName>
    <definedName name="FDP_15_1_aDrv" localSheetId="20" hidden="1">#REF!</definedName>
    <definedName name="FDP_15_1_aDrv" localSheetId="19" hidden="1">#REF!</definedName>
    <definedName name="FDP_15_1_aDrv" localSheetId="26" hidden="1">#REF!</definedName>
    <definedName name="FDP_15_1_aDrv" localSheetId="27" hidden="1">#REF!</definedName>
    <definedName name="FDP_15_1_aDrv" localSheetId="25" hidden="1">#REF!</definedName>
    <definedName name="FDP_15_1_aDrv" localSheetId="28" hidden="1">#REF!</definedName>
    <definedName name="FDP_15_1_aDrv" localSheetId="7" hidden="1">#REF!</definedName>
    <definedName name="FDP_15_1_aDrv" localSheetId="4" hidden="1">#REF!</definedName>
    <definedName name="FDP_15_1_aDrv" localSheetId="5" hidden="1">#REF!</definedName>
    <definedName name="FDP_15_1_aDrv" localSheetId="2" hidden="1">#REF!</definedName>
    <definedName name="FDP_15_1_aDrv" localSheetId="3" hidden="1">#REF!</definedName>
    <definedName name="FDP_15_1_aDrv" hidden="1">#REF!</definedName>
    <definedName name="FDP_16_1_aDrv" localSheetId="21" hidden="1">#REF!</definedName>
    <definedName name="FDP_16_1_aDrv" localSheetId="12" hidden="1">#REF!</definedName>
    <definedName name="FDP_16_1_aDrv" localSheetId="13" hidden="1">#REF!</definedName>
    <definedName name="FDP_16_1_aDrv" localSheetId="14" hidden="1">#REF!</definedName>
    <definedName name="FDP_16_1_aDrv" localSheetId="16" hidden="1">#REF!</definedName>
    <definedName name="FDP_16_1_aDrv" localSheetId="15" hidden="1">#REF!</definedName>
    <definedName name="FDP_16_1_aDrv" localSheetId="17" hidden="1">#REF!</definedName>
    <definedName name="FDP_16_1_aDrv" localSheetId="11" hidden="1">#REF!</definedName>
    <definedName name="FDP_16_1_aDrv" localSheetId="10" hidden="1">#REF!</definedName>
    <definedName name="FDP_16_1_aDrv" localSheetId="22" hidden="1">#REF!</definedName>
    <definedName name="FDP_16_1_aDrv" localSheetId="24" hidden="1">#REF!</definedName>
    <definedName name="FDP_16_1_aDrv" localSheetId="23" hidden="1">#REF!</definedName>
    <definedName name="FDP_16_1_aDrv" localSheetId="20" hidden="1">#REF!</definedName>
    <definedName name="FDP_16_1_aDrv" localSheetId="19" hidden="1">#REF!</definedName>
    <definedName name="FDP_16_1_aDrv" localSheetId="26" hidden="1">#REF!</definedName>
    <definedName name="FDP_16_1_aDrv" localSheetId="27" hidden="1">#REF!</definedName>
    <definedName name="FDP_16_1_aDrv" localSheetId="25" hidden="1">#REF!</definedName>
    <definedName name="FDP_16_1_aDrv" localSheetId="28" hidden="1">#REF!</definedName>
    <definedName name="FDP_16_1_aDrv" localSheetId="7" hidden="1">#REF!</definedName>
    <definedName name="FDP_16_1_aDrv" localSheetId="4" hidden="1">#REF!</definedName>
    <definedName name="FDP_16_1_aDrv" localSheetId="5" hidden="1">#REF!</definedName>
    <definedName name="FDP_16_1_aDrv" localSheetId="2" hidden="1">#REF!</definedName>
    <definedName name="FDP_16_1_aDrv" localSheetId="3" hidden="1">#REF!</definedName>
    <definedName name="FDP_16_1_aDrv" hidden="1">#REF!</definedName>
    <definedName name="FDP_17_1_aDrv" localSheetId="21" hidden="1">#REF!</definedName>
    <definedName name="FDP_17_1_aDrv" localSheetId="12" hidden="1">#REF!</definedName>
    <definedName name="FDP_17_1_aDrv" localSheetId="13" hidden="1">#REF!</definedName>
    <definedName name="FDP_17_1_aDrv" localSheetId="14" hidden="1">#REF!</definedName>
    <definedName name="FDP_17_1_aDrv" localSheetId="16" hidden="1">#REF!</definedName>
    <definedName name="FDP_17_1_aDrv" localSheetId="15" hidden="1">#REF!</definedName>
    <definedName name="FDP_17_1_aDrv" localSheetId="17" hidden="1">#REF!</definedName>
    <definedName name="FDP_17_1_aDrv" localSheetId="11" hidden="1">#REF!</definedName>
    <definedName name="FDP_17_1_aDrv" localSheetId="10" hidden="1">#REF!</definedName>
    <definedName name="FDP_17_1_aDrv" localSheetId="22" hidden="1">#REF!</definedName>
    <definedName name="FDP_17_1_aDrv" localSheetId="24" hidden="1">#REF!</definedName>
    <definedName name="FDP_17_1_aDrv" localSheetId="23" hidden="1">#REF!</definedName>
    <definedName name="FDP_17_1_aDrv" localSheetId="20" hidden="1">#REF!</definedName>
    <definedName name="FDP_17_1_aDrv" localSheetId="19" hidden="1">#REF!</definedName>
    <definedName name="FDP_17_1_aDrv" localSheetId="26" hidden="1">#REF!</definedName>
    <definedName name="FDP_17_1_aDrv" localSheetId="27" hidden="1">#REF!</definedName>
    <definedName name="FDP_17_1_aDrv" localSheetId="25" hidden="1">#REF!</definedName>
    <definedName name="FDP_17_1_aDrv" localSheetId="28" hidden="1">#REF!</definedName>
    <definedName name="FDP_17_1_aDrv" localSheetId="7" hidden="1">#REF!</definedName>
    <definedName name="FDP_17_1_aDrv" localSheetId="4" hidden="1">#REF!</definedName>
    <definedName name="FDP_17_1_aDrv" localSheetId="5" hidden="1">#REF!</definedName>
    <definedName name="FDP_17_1_aDrv" localSheetId="2" hidden="1">#REF!</definedName>
    <definedName name="FDP_17_1_aDrv" localSheetId="3" hidden="1">#REF!</definedName>
    <definedName name="FDP_17_1_aDrv" hidden="1">#REF!</definedName>
    <definedName name="FDP_18_1_aDrv" localSheetId="21" hidden="1">#REF!</definedName>
    <definedName name="FDP_18_1_aDrv" localSheetId="12" hidden="1">#REF!</definedName>
    <definedName name="FDP_18_1_aDrv" localSheetId="13" hidden="1">#REF!</definedName>
    <definedName name="FDP_18_1_aDrv" localSheetId="14" hidden="1">#REF!</definedName>
    <definedName name="FDP_18_1_aDrv" localSheetId="16" hidden="1">#REF!</definedName>
    <definedName name="FDP_18_1_aDrv" localSheetId="15" hidden="1">#REF!</definedName>
    <definedName name="FDP_18_1_aDrv" localSheetId="17" hidden="1">#REF!</definedName>
    <definedName name="FDP_18_1_aDrv" localSheetId="11" hidden="1">#REF!</definedName>
    <definedName name="FDP_18_1_aDrv" localSheetId="10" hidden="1">#REF!</definedName>
    <definedName name="FDP_18_1_aDrv" localSheetId="22" hidden="1">#REF!</definedName>
    <definedName name="FDP_18_1_aDrv" localSheetId="24" hidden="1">#REF!</definedName>
    <definedName name="FDP_18_1_aDrv" localSheetId="23" hidden="1">#REF!</definedName>
    <definedName name="FDP_18_1_aDrv" localSheetId="20" hidden="1">#REF!</definedName>
    <definedName name="FDP_18_1_aDrv" localSheetId="19" hidden="1">#REF!</definedName>
    <definedName name="FDP_18_1_aDrv" localSheetId="26" hidden="1">#REF!</definedName>
    <definedName name="FDP_18_1_aDrv" localSheetId="27" hidden="1">#REF!</definedName>
    <definedName name="FDP_18_1_aDrv" localSheetId="25" hidden="1">#REF!</definedName>
    <definedName name="FDP_18_1_aDrv" localSheetId="28" hidden="1">#REF!</definedName>
    <definedName name="FDP_18_1_aDrv" localSheetId="7" hidden="1">#REF!</definedName>
    <definedName name="FDP_18_1_aDrv" localSheetId="4" hidden="1">#REF!</definedName>
    <definedName name="FDP_18_1_aDrv" localSheetId="5" hidden="1">#REF!</definedName>
    <definedName name="FDP_18_1_aDrv" localSheetId="2" hidden="1">#REF!</definedName>
    <definedName name="FDP_18_1_aDrv" localSheetId="3" hidden="1">#REF!</definedName>
    <definedName name="FDP_18_1_aDrv" hidden="1">#REF!</definedName>
    <definedName name="FDP_19_1_aDrv" localSheetId="21" hidden="1">#REF!</definedName>
    <definedName name="FDP_19_1_aDrv" localSheetId="12" hidden="1">#REF!</definedName>
    <definedName name="FDP_19_1_aDrv" localSheetId="13" hidden="1">#REF!</definedName>
    <definedName name="FDP_19_1_aDrv" localSheetId="14" hidden="1">#REF!</definedName>
    <definedName name="FDP_19_1_aDrv" localSheetId="16" hidden="1">#REF!</definedName>
    <definedName name="FDP_19_1_aDrv" localSheetId="15" hidden="1">#REF!</definedName>
    <definedName name="FDP_19_1_aDrv" localSheetId="17" hidden="1">#REF!</definedName>
    <definedName name="FDP_19_1_aDrv" localSheetId="11" hidden="1">#REF!</definedName>
    <definedName name="FDP_19_1_aDrv" localSheetId="10" hidden="1">#REF!</definedName>
    <definedName name="FDP_19_1_aDrv" localSheetId="22" hidden="1">#REF!</definedName>
    <definedName name="FDP_19_1_aDrv" localSheetId="24" hidden="1">#REF!</definedName>
    <definedName name="FDP_19_1_aDrv" localSheetId="23" hidden="1">#REF!</definedName>
    <definedName name="FDP_19_1_aDrv" localSheetId="20" hidden="1">#REF!</definedName>
    <definedName name="FDP_19_1_aDrv" localSheetId="19" hidden="1">#REF!</definedName>
    <definedName name="FDP_19_1_aDrv" localSheetId="26" hidden="1">#REF!</definedName>
    <definedName name="FDP_19_1_aDrv" localSheetId="27" hidden="1">#REF!</definedName>
    <definedName name="FDP_19_1_aDrv" localSheetId="25" hidden="1">#REF!</definedName>
    <definedName name="FDP_19_1_aDrv" localSheetId="28" hidden="1">#REF!</definedName>
    <definedName name="FDP_19_1_aDrv" localSheetId="7" hidden="1">#REF!</definedName>
    <definedName name="FDP_19_1_aDrv" localSheetId="4" hidden="1">#REF!</definedName>
    <definedName name="FDP_19_1_aDrv" localSheetId="5" hidden="1">#REF!</definedName>
    <definedName name="FDP_19_1_aDrv" localSheetId="2" hidden="1">#REF!</definedName>
    <definedName name="FDP_19_1_aDrv" localSheetId="3" hidden="1">#REF!</definedName>
    <definedName name="FDP_19_1_aDrv" hidden="1">#REF!</definedName>
    <definedName name="FDP_20_1_aUrv" localSheetId="21" hidden="1">#REF!</definedName>
    <definedName name="FDP_20_1_aUrv" localSheetId="12" hidden="1">#REF!</definedName>
    <definedName name="FDP_20_1_aUrv" localSheetId="13" hidden="1">#REF!</definedName>
    <definedName name="FDP_20_1_aUrv" localSheetId="14" hidden="1">#REF!</definedName>
    <definedName name="FDP_20_1_aUrv" localSheetId="16" hidden="1">#REF!</definedName>
    <definedName name="FDP_20_1_aUrv" localSheetId="15" hidden="1">#REF!</definedName>
    <definedName name="FDP_20_1_aUrv" localSheetId="17" hidden="1">#REF!</definedName>
    <definedName name="FDP_20_1_aUrv" localSheetId="11" hidden="1">#REF!</definedName>
    <definedName name="FDP_20_1_aUrv" localSheetId="10" hidden="1">#REF!</definedName>
    <definedName name="FDP_20_1_aUrv" localSheetId="22" hidden="1">#REF!</definedName>
    <definedName name="FDP_20_1_aUrv" localSheetId="24" hidden="1">#REF!</definedName>
    <definedName name="FDP_20_1_aUrv" localSheetId="23" hidden="1">#REF!</definedName>
    <definedName name="FDP_20_1_aUrv" localSheetId="20" hidden="1">#REF!</definedName>
    <definedName name="FDP_20_1_aUrv" localSheetId="19" hidden="1">#REF!</definedName>
    <definedName name="FDP_20_1_aUrv" localSheetId="26" hidden="1">#REF!</definedName>
    <definedName name="FDP_20_1_aUrv" localSheetId="27" hidden="1">#REF!</definedName>
    <definedName name="FDP_20_1_aUrv" localSheetId="25" hidden="1">#REF!</definedName>
    <definedName name="FDP_20_1_aUrv" localSheetId="28" hidden="1">#REF!</definedName>
    <definedName name="FDP_20_1_aUrv" localSheetId="7" hidden="1">#REF!</definedName>
    <definedName name="FDP_20_1_aUrv" localSheetId="4" hidden="1">#REF!</definedName>
    <definedName name="FDP_20_1_aUrv" localSheetId="5" hidden="1">#REF!</definedName>
    <definedName name="FDP_20_1_aUrv" localSheetId="2" hidden="1">#REF!</definedName>
    <definedName name="FDP_20_1_aUrv" localSheetId="3" hidden="1">#REF!</definedName>
    <definedName name="FDP_20_1_aUrv" hidden="1">#REF!</definedName>
    <definedName name="FDP_21_1_aUrv" localSheetId="21" hidden="1">#REF!</definedName>
    <definedName name="FDP_21_1_aUrv" localSheetId="12" hidden="1">#REF!</definedName>
    <definedName name="FDP_21_1_aUrv" localSheetId="13" hidden="1">#REF!</definedName>
    <definedName name="FDP_21_1_aUrv" localSheetId="14" hidden="1">#REF!</definedName>
    <definedName name="FDP_21_1_aUrv" localSheetId="16" hidden="1">#REF!</definedName>
    <definedName name="FDP_21_1_aUrv" localSheetId="15" hidden="1">#REF!</definedName>
    <definedName name="FDP_21_1_aUrv" localSheetId="17" hidden="1">#REF!</definedName>
    <definedName name="FDP_21_1_aUrv" localSheetId="11" hidden="1">#REF!</definedName>
    <definedName name="FDP_21_1_aUrv" localSheetId="10" hidden="1">#REF!</definedName>
    <definedName name="FDP_21_1_aUrv" localSheetId="22" hidden="1">#REF!</definedName>
    <definedName name="FDP_21_1_aUrv" localSheetId="24" hidden="1">#REF!</definedName>
    <definedName name="FDP_21_1_aUrv" localSheetId="23" hidden="1">#REF!</definedName>
    <definedName name="FDP_21_1_aUrv" localSheetId="20" hidden="1">#REF!</definedName>
    <definedName name="FDP_21_1_aUrv" localSheetId="19" hidden="1">#REF!</definedName>
    <definedName name="FDP_21_1_aUrv" localSheetId="26" hidden="1">#REF!</definedName>
    <definedName name="FDP_21_1_aUrv" localSheetId="27" hidden="1">#REF!</definedName>
    <definedName name="FDP_21_1_aUrv" localSheetId="25" hidden="1">#REF!</definedName>
    <definedName name="FDP_21_1_aUrv" localSheetId="28" hidden="1">#REF!</definedName>
    <definedName name="FDP_21_1_aUrv" localSheetId="7" hidden="1">#REF!</definedName>
    <definedName name="FDP_21_1_aUrv" localSheetId="4" hidden="1">#REF!</definedName>
    <definedName name="FDP_21_1_aUrv" localSheetId="5" hidden="1">#REF!</definedName>
    <definedName name="FDP_21_1_aUrv" localSheetId="2" hidden="1">#REF!</definedName>
    <definedName name="FDP_21_1_aUrv" localSheetId="3" hidden="1">#REF!</definedName>
    <definedName name="FDP_21_1_aUrv" hidden="1">#REF!</definedName>
    <definedName name="FDP_22_1_aUrv" localSheetId="21" hidden="1">#REF!</definedName>
    <definedName name="FDP_22_1_aUrv" localSheetId="12" hidden="1">#REF!</definedName>
    <definedName name="FDP_22_1_aUrv" localSheetId="13" hidden="1">#REF!</definedName>
    <definedName name="FDP_22_1_aUrv" localSheetId="14" hidden="1">#REF!</definedName>
    <definedName name="FDP_22_1_aUrv" localSheetId="16" hidden="1">#REF!</definedName>
    <definedName name="FDP_22_1_aUrv" localSheetId="15" hidden="1">#REF!</definedName>
    <definedName name="FDP_22_1_aUrv" localSheetId="17" hidden="1">#REF!</definedName>
    <definedName name="FDP_22_1_aUrv" localSheetId="11" hidden="1">#REF!</definedName>
    <definedName name="FDP_22_1_aUrv" localSheetId="10" hidden="1">#REF!</definedName>
    <definedName name="FDP_22_1_aUrv" localSheetId="22" hidden="1">#REF!</definedName>
    <definedName name="FDP_22_1_aUrv" localSheetId="24" hidden="1">#REF!</definedName>
    <definedName name="FDP_22_1_aUrv" localSheetId="23" hidden="1">#REF!</definedName>
    <definedName name="FDP_22_1_aUrv" localSheetId="20" hidden="1">#REF!</definedName>
    <definedName name="FDP_22_1_aUrv" localSheetId="19" hidden="1">#REF!</definedName>
    <definedName name="FDP_22_1_aUrv" localSheetId="26" hidden="1">#REF!</definedName>
    <definedName name="FDP_22_1_aUrv" localSheetId="27" hidden="1">#REF!</definedName>
    <definedName name="FDP_22_1_aUrv" localSheetId="25" hidden="1">#REF!</definedName>
    <definedName name="FDP_22_1_aUrv" localSheetId="28" hidden="1">#REF!</definedName>
    <definedName name="FDP_22_1_aUrv" localSheetId="7" hidden="1">#REF!</definedName>
    <definedName name="FDP_22_1_aUrv" localSheetId="4" hidden="1">#REF!</definedName>
    <definedName name="FDP_22_1_aUrv" localSheetId="5" hidden="1">#REF!</definedName>
    <definedName name="FDP_22_1_aUrv" localSheetId="2" hidden="1">#REF!</definedName>
    <definedName name="FDP_22_1_aUrv" localSheetId="3" hidden="1">#REF!</definedName>
    <definedName name="FDP_22_1_aUrv" hidden="1">#REF!</definedName>
    <definedName name="FDP_23_1_aUrv" localSheetId="21" hidden="1">#REF!</definedName>
    <definedName name="FDP_23_1_aUrv" localSheetId="12" hidden="1">#REF!</definedName>
    <definedName name="FDP_23_1_aUrv" localSheetId="13" hidden="1">#REF!</definedName>
    <definedName name="FDP_23_1_aUrv" localSheetId="14" hidden="1">#REF!</definedName>
    <definedName name="FDP_23_1_aUrv" localSheetId="16" hidden="1">#REF!</definedName>
    <definedName name="FDP_23_1_aUrv" localSheetId="15" hidden="1">#REF!</definedName>
    <definedName name="FDP_23_1_aUrv" localSheetId="17" hidden="1">#REF!</definedName>
    <definedName name="FDP_23_1_aUrv" localSheetId="11" hidden="1">#REF!</definedName>
    <definedName name="FDP_23_1_aUrv" localSheetId="10" hidden="1">#REF!</definedName>
    <definedName name="FDP_23_1_aUrv" localSheetId="22" hidden="1">#REF!</definedName>
    <definedName name="FDP_23_1_aUrv" localSheetId="24" hidden="1">#REF!</definedName>
    <definedName name="FDP_23_1_aUrv" localSheetId="23" hidden="1">#REF!</definedName>
    <definedName name="FDP_23_1_aUrv" localSheetId="20" hidden="1">#REF!</definedName>
    <definedName name="FDP_23_1_aUrv" localSheetId="19" hidden="1">#REF!</definedName>
    <definedName name="FDP_23_1_aUrv" localSheetId="26" hidden="1">#REF!</definedName>
    <definedName name="FDP_23_1_aUrv" localSheetId="27" hidden="1">#REF!</definedName>
    <definedName name="FDP_23_1_aUrv" localSheetId="25" hidden="1">#REF!</definedName>
    <definedName name="FDP_23_1_aUrv" localSheetId="28" hidden="1">#REF!</definedName>
    <definedName name="FDP_23_1_aUrv" localSheetId="7" hidden="1">#REF!</definedName>
    <definedName name="FDP_23_1_aUrv" localSheetId="4" hidden="1">#REF!</definedName>
    <definedName name="FDP_23_1_aUrv" localSheetId="5" hidden="1">#REF!</definedName>
    <definedName name="FDP_23_1_aUrv" localSheetId="2" hidden="1">#REF!</definedName>
    <definedName name="FDP_23_1_aUrv" localSheetId="3" hidden="1">#REF!</definedName>
    <definedName name="FDP_23_1_aUrv" hidden="1">#REF!</definedName>
    <definedName name="FDP_24_1_aUrv" localSheetId="21" hidden="1">#REF!</definedName>
    <definedName name="FDP_24_1_aUrv" localSheetId="12" hidden="1">#REF!</definedName>
    <definedName name="FDP_24_1_aUrv" localSheetId="13" hidden="1">#REF!</definedName>
    <definedName name="FDP_24_1_aUrv" localSheetId="14" hidden="1">#REF!</definedName>
    <definedName name="FDP_24_1_aUrv" localSheetId="16" hidden="1">#REF!</definedName>
    <definedName name="FDP_24_1_aUrv" localSheetId="15" hidden="1">#REF!</definedName>
    <definedName name="FDP_24_1_aUrv" localSheetId="17" hidden="1">#REF!</definedName>
    <definedName name="FDP_24_1_aUrv" localSheetId="11" hidden="1">#REF!</definedName>
    <definedName name="FDP_24_1_aUrv" localSheetId="10" hidden="1">#REF!</definedName>
    <definedName name="FDP_24_1_aUrv" localSheetId="22" hidden="1">#REF!</definedName>
    <definedName name="FDP_24_1_aUrv" localSheetId="24" hidden="1">#REF!</definedName>
    <definedName name="FDP_24_1_aUrv" localSheetId="23" hidden="1">#REF!</definedName>
    <definedName name="FDP_24_1_aUrv" localSheetId="20" hidden="1">#REF!</definedName>
    <definedName name="FDP_24_1_aUrv" localSheetId="19" hidden="1">#REF!</definedName>
    <definedName name="FDP_24_1_aUrv" localSheetId="26" hidden="1">#REF!</definedName>
    <definedName name="FDP_24_1_aUrv" localSheetId="27" hidden="1">#REF!</definedName>
    <definedName name="FDP_24_1_aUrv" localSheetId="25" hidden="1">#REF!</definedName>
    <definedName name="FDP_24_1_aUrv" localSheetId="28" hidden="1">#REF!</definedName>
    <definedName name="FDP_24_1_aUrv" localSheetId="7" hidden="1">#REF!</definedName>
    <definedName name="FDP_24_1_aUrv" localSheetId="4" hidden="1">#REF!</definedName>
    <definedName name="FDP_24_1_aUrv" localSheetId="5" hidden="1">#REF!</definedName>
    <definedName name="FDP_24_1_aUrv" localSheetId="2" hidden="1">#REF!</definedName>
    <definedName name="FDP_24_1_aUrv" localSheetId="3" hidden="1">#REF!</definedName>
    <definedName name="FDP_24_1_aUrv" hidden="1">#REF!</definedName>
    <definedName name="FDP_25_1_aUrv" localSheetId="21" hidden="1">#REF!</definedName>
    <definedName name="FDP_25_1_aUrv" localSheetId="12" hidden="1">#REF!</definedName>
    <definedName name="FDP_25_1_aUrv" localSheetId="13" hidden="1">#REF!</definedName>
    <definedName name="FDP_25_1_aUrv" localSheetId="14" hidden="1">#REF!</definedName>
    <definedName name="FDP_25_1_aUrv" localSheetId="16" hidden="1">#REF!</definedName>
    <definedName name="FDP_25_1_aUrv" localSheetId="15" hidden="1">#REF!</definedName>
    <definedName name="FDP_25_1_aUrv" localSheetId="17" hidden="1">#REF!</definedName>
    <definedName name="FDP_25_1_aUrv" localSheetId="11" hidden="1">#REF!</definedName>
    <definedName name="FDP_25_1_aUrv" localSheetId="10" hidden="1">#REF!</definedName>
    <definedName name="FDP_25_1_aUrv" localSheetId="22" hidden="1">#REF!</definedName>
    <definedName name="FDP_25_1_aUrv" localSheetId="24" hidden="1">#REF!</definedName>
    <definedName name="FDP_25_1_aUrv" localSheetId="23" hidden="1">#REF!</definedName>
    <definedName name="FDP_25_1_aUrv" localSheetId="20" hidden="1">#REF!</definedName>
    <definedName name="FDP_25_1_aUrv" localSheetId="19" hidden="1">#REF!</definedName>
    <definedName name="FDP_25_1_aUrv" localSheetId="26" hidden="1">#REF!</definedName>
    <definedName name="FDP_25_1_aUrv" localSheetId="27" hidden="1">#REF!</definedName>
    <definedName name="FDP_25_1_aUrv" localSheetId="25" hidden="1">#REF!</definedName>
    <definedName name="FDP_25_1_aUrv" localSheetId="28" hidden="1">#REF!</definedName>
    <definedName name="FDP_25_1_aUrv" localSheetId="7" hidden="1">#REF!</definedName>
    <definedName name="FDP_25_1_aUrv" localSheetId="4" hidden="1">#REF!</definedName>
    <definedName name="FDP_25_1_aUrv" localSheetId="5" hidden="1">#REF!</definedName>
    <definedName name="FDP_25_1_aUrv" localSheetId="2" hidden="1">#REF!</definedName>
    <definedName name="FDP_25_1_aUrv" localSheetId="3" hidden="1">#REF!</definedName>
    <definedName name="FDP_25_1_aUrv" hidden="1">#REF!</definedName>
    <definedName name="FDP_26_1_aUrv" localSheetId="21" hidden="1">#REF!</definedName>
    <definedName name="FDP_26_1_aUrv" localSheetId="12" hidden="1">#REF!</definedName>
    <definedName name="FDP_26_1_aUrv" localSheetId="13" hidden="1">#REF!</definedName>
    <definedName name="FDP_26_1_aUrv" localSheetId="14" hidden="1">#REF!</definedName>
    <definedName name="FDP_26_1_aUrv" localSheetId="16" hidden="1">#REF!</definedName>
    <definedName name="FDP_26_1_aUrv" localSheetId="15" hidden="1">#REF!</definedName>
    <definedName name="FDP_26_1_aUrv" localSheetId="17" hidden="1">#REF!</definedName>
    <definedName name="FDP_26_1_aUrv" localSheetId="11" hidden="1">#REF!</definedName>
    <definedName name="FDP_26_1_aUrv" localSheetId="10" hidden="1">#REF!</definedName>
    <definedName name="FDP_26_1_aUrv" localSheetId="22" hidden="1">#REF!</definedName>
    <definedName name="FDP_26_1_aUrv" localSheetId="24" hidden="1">#REF!</definedName>
    <definedName name="FDP_26_1_aUrv" localSheetId="23" hidden="1">#REF!</definedName>
    <definedName name="FDP_26_1_aUrv" localSheetId="20" hidden="1">#REF!</definedName>
    <definedName name="FDP_26_1_aUrv" localSheetId="19" hidden="1">#REF!</definedName>
    <definedName name="FDP_26_1_aUrv" localSheetId="26" hidden="1">#REF!</definedName>
    <definedName name="FDP_26_1_aUrv" localSheetId="27" hidden="1">#REF!</definedName>
    <definedName name="FDP_26_1_aUrv" localSheetId="25" hidden="1">#REF!</definedName>
    <definedName name="FDP_26_1_aUrv" localSheetId="28" hidden="1">#REF!</definedName>
    <definedName name="FDP_26_1_aUrv" localSheetId="7" hidden="1">#REF!</definedName>
    <definedName name="FDP_26_1_aUrv" localSheetId="4" hidden="1">#REF!</definedName>
    <definedName name="FDP_26_1_aUrv" localSheetId="5" hidden="1">#REF!</definedName>
    <definedName name="FDP_26_1_aUrv" localSheetId="2" hidden="1">#REF!</definedName>
    <definedName name="FDP_26_1_aUrv" localSheetId="3" hidden="1">#REF!</definedName>
    <definedName name="FDP_26_1_aUrv" hidden="1">#REF!</definedName>
    <definedName name="FDP_27_1_aUrv" localSheetId="21" hidden="1">#REF!</definedName>
    <definedName name="FDP_27_1_aUrv" localSheetId="12" hidden="1">#REF!</definedName>
    <definedName name="FDP_27_1_aUrv" localSheetId="13" hidden="1">#REF!</definedName>
    <definedName name="FDP_27_1_aUrv" localSheetId="14" hidden="1">#REF!</definedName>
    <definedName name="FDP_27_1_aUrv" localSheetId="16" hidden="1">#REF!</definedName>
    <definedName name="FDP_27_1_aUrv" localSheetId="15" hidden="1">#REF!</definedName>
    <definedName name="FDP_27_1_aUrv" localSheetId="17" hidden="1">#REF!</definedName>
    <definedName name="FDP_27_1_aUrv" localSheetId="11" hidden="1">#REF!</definedName>
    <definedName name="FDP_27_1_aUrv" localSheetId="10" hidden="1">#REF!</definedName>
    <definedName name="FDP_27_1_aUrv" localSheetId="22" hidden="1">#REF!</definedName>
    <definedName name="FDP_27_1_aUrv" localSheetId="24" hidden="1">#REF!</definedName>
    <definedName name="FDP_27_1_aUrv" localSheetId="23" hidden="1">#REF!</definedName>
    <definedName name="FDP_27_1_aUrv" localSheetId="20" hidden="1">#REF!</definedName>
    <definedName name="FDP_27_1_aUrv" localSheetId="19" hidden="1">#REF!</definedName>
    <definedName name="FDP_27_1_aUrv" localSheetId="26" hidden="1">#REF!</definedName>
    <definedName name="FDP_27_1_aUrv" localSheetId="27" hidden="1">#REF!</definedName>
    <definedName name="FDP_27_1_aUrv" localSheetId="25" hidden="1">#REF!</definedName>
    <definedName name="FDP_27_1_aUrv" localSheetId="28" hidden="1">#REF!</definedName>
    <definedName name="FDP_27_1_aUrv" localSheetId="7" hidden="1">#REF!</definedName>
    <definedName name="FDP_27_1_aUrv" localSheetId="4" hidden="1">#REF!</definedName>
    <definedName name="FDP_27_1_aUrv" localSheetId="5" hidden="1">#REF!</definedName>
    <definedName name="FDP_27_1_aUrv" localSheetId="2" hidden="1">#REF!</definedName>
    <definedName name="FDP_27_1_aUrv" localSheetId="3" hidden="1">#REF!</definedName>
    <definedName name="FDP_27_1_aUrv" hidden="1">#REF!</definedName>
    <definedName name="FDP_28_1_aUrv" localSheetId="21" hidden="1">#REF!</definedName>
    <definedName name="FDP_28_1_aUrv" localSheetId="12" hidden="1">#REF!</definedName>
    <definedName name="FDP_28_1_aUrv" localSheetId="13" hidden="1">#REF!</definedName>
    <definedName name="FDP_28_1_aUrv" localSheetId="14" hidden="1">#REF!</definedName>
    <definedName name="FDP_28_1_aUrv" localSheetId="16" hidden="1">#REF!</definedName>
    <definedName name="FDP_28_1_aUrv" localSheetId="15" hidden="1">#REF!</definedName>
    <definedName name="FDP_28_1_aUrv" localSheetId="17" hidden="1">#REF!</definedName>
    <definedName name="FDP_28_1_aUrv" localSheetId="11" hidden="1">#REF!</definedName>
    <definedName name="FDP_28_1_aUrv" localSheetId="10" hidden="1">#REF!</definedName>
    <definedName name="FDP_28_1_aUrv" localSheetId="22" hidden="1">#REF!</definedName>
    <definedName name="FDP_28_1_aUrv" localSheetId="24" hidden="1">#REF!</definedName>
    <definedName name="FDP_28_1_aUrv" localSheetId="23" hidden="1">#REF!</definedName>
    <definedName name="FDP_28_1_aUrv" localSheetId="20" hidden="1">#REF!</definedName>
    <definedName name="FDP_28_1_aUrv" localSheetId="19" hidden="1">#REF!</definedName>
    <definedName name="FDP_28_1_aUrv" localSheetId="26" hidden="1">#REF!</definedName>
    <definedName name="FDP_28_1_aUrv" localSheetId="27" hidden="1">#REF!</definedName>
    <definedName name="FDP_28_1_aUrv" localSheetId="25" hidden="1">#REF!</definedName>
    <definedName name="FDP_28_1_aUrv" localSheetId="28" hidden="1">#REF!</definedName>
    <definedName name="FDP_28_1_aUrv" localSheetId="7" hidden="1">#REF!</definedName>
    <definedName name="FDP_28_1_aUrv" localSheetId="4" hidden="1">#REF!</definedName>
    <definedName name="FDP_28_1_aUrv" localSheetId="5" hidden="1">#REF!</definedName>
    <definedName name="FDP_28_1_aUrv" localSheetId="2" hidden="1">#REF!</definedName>
    <definedName name="FDP_28_1_aUrv" localSheetId="3" hidden="1">#REF!</definedName>
    <definedName name="FDP_28_1_aUrv" hidden="1">#REF!</definedName>
    <definedName name="FDP_280_1_aSrv" localSheetId="21" hidden="1">[5]Forecasts_VDF!#REF!</definedName>
    <definedName name="FDP_280_1_aSrv" localSheetId="12" hidden="1">[5]Forecasts_VDF!#REF!</definedName>
    <definedName name="FDP_280_1_aSrv" localSheetId="13" hidden="1">[5]Forecasts_VDF!#REF!</definedName>
    <definedName name="FDP_280_1_aSrv" localSheetId="14" hidden="1">[5]Forecasts_VDF!#REF!</definedName>
    <definedName name="FDP_280_1_aSrv" localSheetId="16" hidden="1">[5]Forecasts_VDF!#REF!</definedName>
    <definedName name="FDP_280_1_aSrv" localSheetId="15" hidden="1">[5]Forecasts_VDF!#REF!</definedName>
    <definedName name="FDP_280_1_aSrv" localSheetId="17" hidden="1">[5]Forecasts_VDF!#REF!</definedName>
    <definedName name="FDP_280_1_aSrv" localSheetId="11" hidden="1">[5]Forecasts_VDF!#REF!</definedName>
    <definedName name="FDP_280_1_aSrv" localSheetId="10" hidden="1">[5]Forecasts_VDF!#REF!</definedName>
    <definedName name="FDP_280_1_aSrv" localSheetId="22" hidden="1">[5]Forecasts_VDF!#REF!</definedName>
    <definedName name="FDP_280_1_aSrv" localSheetId="24" hidden="1">[5]Forecasts_VDF!#REF!</definedName>
    <definedName name="FDP_280_1_aSrv" localSheetId="23" hidden="1">[5]Forecasts_VDF!#REF!</definedName>
    <definedName name="FDP_280_1_aSrv" localSheetId="20" hidden="1">[5]Forecasts_VDF!#REF!</definedName>
    <definedName name="FDP_280_1_aSrv" localSheetId="19" hidden="1">[5]Forecasts_VDF!#REF!</definedName>
    <definedName name="FDP_280_1_aSrv" localSheetId="26" hidden="1">[5]Forecasts_VDF!#REF!</definedName>
    <definedName name="FDP_280_1_aSrv" localSheetId="27" hidden="1">[5]Forecasts_VDF!#REF!</definedName>
    <definedName name="FDP_280_1_aSrv" localSheetId="25" hidden="1">[5]Forecasts_VDF!#REF!</definedName>
    <definedName name="FDP_280_1_aSrv" localSheetId="28" hidden="1">[5]Forecasts_VDF!#REF!</definedName>
    <definedName name="FDP_280_1_aSrv" localSheetId="7" hidden="1">[5]Forecasts_VDF!#REF!</definedName>
    <definedName name="FDP_280_1_aSrv" localSheetId="4" hidden="1">[5]Forecasts_VDF!#REF!</definedName>
    <definedName name="FDP_280_1_aSrv" localSheetId="5" hidden="1">[5]Forecasts_VDF!#REF!</definedName>
    <definedName name="FDP_280_1_aSrv" localSheetId="2" hidden="1">[5]Forecasts_VDF!#REF!</definedName>
    <definedName name="FDP_280_1_aSrv" localSheetId="3" hidden="1">[5]Forecasts_VDF!#REF!</definedName>
    <definedName name="FDP_280_1_aSrv" hidden="1">[5]Forecasts_VDF!#REF!</definedName>
    <definedName name="FDP_281_1_aSrv" localSheetId="21" hidden="1">[5]Forecasts_VDF!#REF!</definedName>
    <definedName name="FDP_281_1_aSrv" localSheetId="12" hidden="1">[5]Forecasts_VDF!#REF!</definedName>
    <definedName name="FDP_281_1_aSrv" localSheetId="13" hidden="1">[5]Forecasts_VDF!#REF!</definedName>
    <definedName name="FDP_281_1_aSrv" localSheetId="14" hidden="1">[5]Forecasts_VDF!#REF!</definedName>
    <definedName name="FDP_281_1_aSrv" localSheetId="16" hidden="1">[5]Forecasts_VDF!#REF!</definedName>
    <definedName name="FDP_281_1_aSrv" localSheetId="15" hidden="1">[5]Forecasts_VDF!#REF!</definedName>
    <definedName name="FDP_281_1_aSrv" localSheetId="17" hidden="1">[5]Forecasts_VDF!#REF!</definedName>
    <definedName name="FDP_281_1_aSrv" localSheetId="11" hidden="1">[5]Forecasts_VDF!#REF!</definedName>
    <definedName name="FDP_281_1_aSrv" localSheetId="10" hidden="1">[5]Forecasts_VDF!#REF!</definedName>
    <definedName name="FDP_281_1_aSrv" localSheetId="22" hidden="1">[5]Forecasts_VDF!#REF!</definedName>
    <definedName name="FDP_281_1_aSrv" localSheetId="24" hidden="1">[5]Forecasts_VDF!#REF!</definedName>
    <definedName name="FDP_281_1_aSrv" localSheetId="23" hidden="1">[5]Forecasts_VDF!#REF!</definedName>
    <definedName name="FDP_281_1_aSrv" localSheetId="20" hidden="1">[5]Forecasts_VDF!#REF!</definedName>
    <definedName name="FDP_281_1_aSrv" localSheetId="19" hidden="1">[5]Forecasts_VDF!#REF!</definedName>
    <definedName name="FDP_281_1_aSrv" localSheetId="26" hidden="1">[5]Forecasts_VDF!#REF!</definedName>
    <definedName name="FDP_281_1_aSrv" localSheetId="27" hidden="1">[5]Forecasts_VDF!#REF!</definedName>
    <definedName name="FDP_281_1_aSrv" localSheetId="25" hidden="1">[5]Forecasts_VDF!#REF!</definedName>
    <definedName name="FDP_281_1_aSrv" localSheetId="28" hidden="1">[5]Forecasts_VDF!#REF!</definedName>
    <definedName name="FDP_281_1_aSrv" localSheetId="7" hidden="1">[5]Forecasts_VDF!#REF!</definedName>
    <definedName name="FDP_281_1_aSrv" localSheetId="4" hidden="1">[5]Forecasts_VDF!#REF!</definedName>
    <definedName name="FDP_281_1_aSrv" localSheetId="5" hidden="1">[5]Forecasts_VDF!#REF!</definedName>
    <definedName name="FDP_281_1_aSrv" localSheetId="2" hidden="1">[5]Forecasts_VDF!#REF!</definedName>
    <definedName name="FDP_281_1_aSrv" localSheetId="3" hidden="1">[5]Forecasts_VDF!#REF!</definedName>
    <definedName name="FDP_281_1_aSrv" hidden="1">[5]Forecasts_VDF!#REF!</definedName>
    <definedName name="FDP_282_1_aSrv" localSheetId="21" hidden="1">[5]Forecasts_VDF!#REF!</definedName>
    <definedName name="FDP_282_1_aSrv" localSheetId="12" hidden="1">[5]Forecasts_VDF!#REF!</definedName>
    <definedName name="FDP_282_1_aSrv" localSheetId="13" hidden="1">[5]Forecasts_VDF!#REF!</definedName>
    <definedName name="FDP_282_1_aSrv" localSheetId="14" hidden="1">[5]Forecasts_VDF!#REF!</definedName>
    <definedName name="FDP_282_1_aSrv" localSheetId="16" hidden="1">[5]Forecasts_VDF!#REF!</definedName>
    <definedName name="FDP_282_1_aSrv" localSheetId="15" hidden="1">[5]Forecasts_VDF!#REF!</definedName>
    <definedName name="FDP_282_1_aSrv" localSheetId="17" hidden="1">[5]Forecasts_VDF!#REF!</definedName>
    <definedName name="FDP_282_1_aSrv" localSheetId="11" hidden="1">[5]Forecasts_VDF!#REF!</definedName>
    <definedName name="FDP_282_1_aSrv" localSheetId="10" hidden="1">[5]Forecasts_VDF!#REF!</definedName>
    <definedName name="FDP_282_1_aSrv" localSheetId="22" hidden="1">[5]Forecasts_VDF!#REF!</definedName>
    <definedName name="FDP_282_1_aSrv" localSheetId="24" hidden="1">[5]Forecasts_VDF!#REF!</definedName>
    <definedName name="FDP_282_1_aSrv" localSheetId="23" hidden="1">[5]Forecasts_VDF!#REF!</definedName>
    <definedName name="FDP_282_1_aSrv" localSheetId="20" hidden="1">[5]Forecasts_VDF!#REF!</definedName>
    <definedName name="FDP_282_1_aSrv" localSheetId="19" hidden="1">[5]Forecasts_VDF!#REF!</definedName>
    <definedName name="FDP_282_1_aSrv" localSheetId="26" hidden="1">[5]Forecasts_VDF!#REF!</definedName>
    <definedName name="FDP_282_1_aSrv" localSheetId="27" hidden="1">[5]Forecasts_VDF!#REF!</definedName>
    <definedName name="FDP_282_1_aSrv" localSheetId="25" hidden="1">[5]Forecasts_VDF!#REF!</definedName>
    <definedName name="FDP_282_1_aSrv" localSheetId="28" hidden="1">[5]Forecasts_VDF!#REF!</definedName>
    <definedName name="FDP_282_1_aSrv" localSheetId="7" hidden="1">[5]Forecasts_VDF!#REF!</definedName>
    <definedName name="FDP_282_1_aSrv" localSheetId="4" hidden="1">[5]Forecasts_VDF!#REF!</definedName>
    <definedName name="FDP_282_1_aSrv" localSheetId="5" hidden="1">[5]Forecasts_VDF!#REF!</definedName>
    <definedName name="FDP_282_1_aSrv" localSheetId="2" hidden="1">[5]Forecasts_VDF!#REF!</definedName>
    <definedName name="FDP_282_1_aSrv" localSheetId="3" hidden="1">[5]Forecasts_VDF!#REF!</definedName>
    <definedName name="FDP_282_1_aSrv" hidden="1">[5]Forecasts_VDF!#REF!</definedName>
    <definedName name="FDP_283_1_aSrv" localSheetId="21" hidden="1">[5]Forecasts_VDF!#REF!</definedName>
    <definedName name="FDP_283_1_aSrv" localSheetId="12" hidden="1">[5]Forecasts_VDF!#REF!</definedName>
    <definedName name="FDP_283_1_aSrv" localSheetId="13" hidden="1">[5]Forecasts_VDF!#REF!</definedName>
    <definedName name="FDP_283_1_aSrv" localSheetId="14" hidden="1">[5]Forecasts_VDF!#REF!</definedName>
    <definedName name="FDP_283_1_aSrv" localSheetId="16" hidden="1">[5]Forecasts_VDF!#REF!</definedName>
    <definedName name="FDP_283_1_aSrv" localSheetId="15" hidden="1">[5]Forecasts_VDF!#REF!</definedName>
    <definedName name="FDP_283_1_aSrv" localSheetId="17" hidden="1">[5]Forecasts_VDF!#REF!</definedName>
    <definedName name="FDP_283_1_aSrv" localSheetId="11" hidden="1">[5]Forecasts_VDF!#REF!</definedName>
    <definedName name="FDP_283_1_aSrv" localSheetId="10" hidden="1">[5]Forecasts_VDF!#REF!</definedName>
    <definedName name="FDP_283_1_aSrv" localSheetId="22" hidden="1">[5]Forecasts_VDF!#REF!</definedName>
    <definedName name="FDP_283_1_aSrv" localSheetId="24" hidden="1">[5]Forecasts_VDF!#REF!</definedName>
    <definedName name="FDP_283_1_aSrv" localSheetId="23" hidden="1">[5]Forecasts_VDF!#REF!</definedName>
    <definedName name="FDP_283_1_aSrv" localSheetId="20" hidden="1">[5]Forecasts_VDF!#REF!</definedName>
    <definedName name="FDP_283_1_aSrv" localSheetId="19" hidden="1">[5]Forecasts_VDF!#REF!</definedName>
    <definedName name="FDP_283_1_aSrv" localSheetId="26" hidden="1">[5]Forecasts_VDF!#REF!</definedName>
    <definedName name="FDP_283_1_aSrv" localSheetId="27" hidden="1">[5]Forecasts_VDF!#REF!</definedName>
    <definedName name="FDP_283_1_aSrv" localSheetId="25" hidden="1">[5]Forecasts_VDF!#REF!</definedName>
    <definedName name="FDP_283_1_aSrv" localSheetId="28" hidden="1">[5]Forecasts_VDF!#REF!</definedName>
    <definedName name="FDP_283_1_aSrv" localSheetId="7" hidden="1">[5]Forecasts_VDF!#REF!</definedName>
    <definedName name="FDP_283_1_aSrv" localSheetId="4" hidden="1">[5]Forecasts_VDF!#REF!</definedName>
    <definedName name="FDP_283_1_aSrv" localSheetId="5" hidden="1">[5]Forecasts_VDF!#REF!</definedName>
    <definedName name="FDP_283_1_aSrv" localSheetId="2" hidden="1">[5]Forecasts_VDF!#REF!</definedName>
    <definedName name="FDP_283_1_aSrv" localSheetId="3" hidden="1">[5]Forecasts_VDF!#REF!</definedName>
    <definedName name="FDP_283_1_aSrv" hidden="1">[5]Forecasts_VDF!#REF!</definedName>
    <definedName name="FDP_29_1_aUrv" localSheetId="21" hidden="1">#REF!</definedName>
    <definedName name="FDP_29_1_aUrv" localSheetId="12" hidden="1">#REF!</definedName>
    <definedName name="FDP_29_1_aUrv" localSheetId="13" hidden="1">#REF!</definedName>
    <definedName name="FDP_29_1_aUrv" localSheetId="14" hidden="1">#REF!</definedName>
    <definedName name="FDP_29_1_aUrv" localSheetId="16" hidden="1">#REF!</definedName>
    <definedName name="FDP_29_1_aUrv" localSheetId="15" hidden="1">#REF!</definedName>
    <definedName name="FDP_29_1_aUrv" localSheetId="17" hidden="1">#REF!</definedName>
    <definedName name="FDP_29_1_aUrv" localSheetId="11" hidden="1">#REF!</definedName>
    <definedName name="FDP_29_1_aUrv" localSheetId="10" hidden="1">#REF!</definedName>
    <definedName name="FDP_29_1_aUrv" localSheetId="22" hidden="1">#REF!</definedName>
    <definedName name="FDP_29_1_aUrv" localSheetId="24" hidden="1">#REF!</definedName>
    <definedName name="FDP_29_1_aUrv" localSheetId="23" hidden="1">#REF!</definedName>
    <definedName name="FDP_29_1_aUrv" localSheetId="20" hidden="1">#REF!</definedName>
    <definedName name="FDP_29_1_aUrv" localSheetId="19" hidden="1">#REF!</definedName>
    <definedName name="FDP_29_1_aUrv" localSheetId="26" hidden="1">#REF!</definedName>
    <definedName name="FDP_29_1_aUrv" localSheetId="27" hidden="1">#REF!</definedName>
    <definedName name="FDP_29_1_aUrv" localSheetId="25" hidden="1">#REF!</definedName>
    <definedName name="FDP_29_1_aUrv" localSheetId="28" hidden="1">#REF!</definedName>
    <definedName name="FDP_29_1_aUrv" localSheetId="7" hidden="1">#REF!</definedName>
    <definedName name="FDP_29_1_aUrv" localSheetId="4" hidden="1">#REF!</definedName>
    <definedName name="FDP_29_1_aUrv" localSheetId="5" hidden="1">#REF!</definedName>
    <definedName name="FDP_29_1_aUrv" localSheetId="2" hidden="1">#REF!</definedName>
    <definedName name="FDP_29_1_aUrv" localSheetId="3" hidden="1">#REF!</definedName>
    <definedName name="FDP_29_1_aUrv" hidden="1">#REF!</definedName>
    <definedName name="FDP_30_1_aUrv" localSheetId="21" hidden="1">#REF!</definedName>
    <definedName name="FDP_30_1_aUrv" localSheetId="12" hidden="1">#REF!</definedName>
    <definedName name="FDP_30_1_aUrv" localSheetId="13" hidden="1">#REF!</definedName>
    <definedName name="FDP_30_1_aUrv" localSheetId="14" hidden="1">#REF!</definedName>
    <definedName name="FDP_30_1_aUrv" localSheetId="16" hidden="1">#REF!</definedName>
    <definedName name="FDP_30_1_aUrv" localSheetId="15" hidden="1">#REF!</definedName>
    <definedName name="FDP_30_1_aUrv" localSheetId="17" hidden="1">#REF!</definedName>
    <definedName name="FDP_30_1_aUrv" localSheetId="11" hidden="1">#REF!</definedName>
    <definedName name="FDP_30_1_aUrv" localSheetId="10" hidden="1">#REF!</definedName>
    <definedName name="FDP_30_1_aUrv" localSheetId="22" hidden="1">#REF!</definedName>
    <definedName name="FDP_30_1_aUrv" localSheetId="24" hidden="1">#REF!</definedName>
    <definedName name="FDP_30_1_aUrv" localSheetId="23" hidden="1">#REF!</definedName>
    <definedName name="FDP_30_1_aUrv" localSheetId="20" hidden="1">#REF!</definedName>
    <definedName name="FDP_30_1_aUrv" localSheetId="19" hidden="1">#REF!</definedName>
    <definedName name="FDP_30_1_aUrv" localSheetId="26" hidden="1">#REF!</definedName>
    <definedName name="FDP_30_1_aUrv" localSheetId="27" hidden="1">#REF!</definedName>
    <definedName name="FDP_30_1_aUrv" localSheetId="25" hidden="1">#REF!</definedName>
    <definedName name="FDP_30_1_aUrv" localSheetId="28" hidden="1">#REF!</definedName>
    <definedName name="FDP_30_1_aUrv" localSheetId="7" hidden="1">#REF!</definedName>
    <definedName name="FDP_30_1_aUrv" localSheetId="4" hidden="1">#REF!</definedName>
    <definedName name="FDP_30_1_aUrv" localSheetId="5" hidden="1">#REF!</definedName>
    <definedName name="FDP_30_1_aUrv" localSheetId="2" hidden="1">#REF!</definedName>
    <definedName name="FDP_30_1_aUrv" localSheetId="3" hidden="1">#REF!</definedName>
    <definedName name="FDP_30_1_aUrv" hidden="1">#REF!</definedName>
    <definedName name="FDP_31_1_aUrv" localSheetId="21" hidden="1">#REF!</definedName>
    <definedName name="FDP_31_1_aUrv" localSheetId="12" hidden="1">#REF!</definedName>
    <definedName name="FDP_31_1_aUrv" localSheetId="13" hidden="1">#REF!</definedName>
    <definedName name="FDP_31_1_aUrv" localSheetId="14" hidden="1">#REF!</definedName>
    <definedName name="FDP_31_1_aUrv" localSheetId="16" hidden="1">#REF!</definedName>
    <definedName name="FDP_31_1_aUrv" localSheetId="15" hidden="1">#REF!</definedName>
    <definedName name="FDP_31_1_aUrv" localSheetId="17" hidden="1">#REF!</definedName>
    <definedName name="FDP_31_1_aUrv" localSheetId="11" hidden="1">#REF!</definedName>
    <definedName name="FDP_31_1_aUrv" localSheetId="10" hidden="1">#REF!</definedName>
    <definedName name="FDP_31_1_aUrv" localSheetId="22" hidden="1">#REF!</definedName>
    <definedName name="FDP_31_1_aUrv" localSheetId="24" hidden="1">#REF!</definedName>
    <definedName name="FDP_31_1_aUrv" localSheetId="23" hidden="1">#REF!</definedName>
    <definedName name="FDP_31_1_aUrv" localSheetId="20" hidden="1">#REF!</definedName>
    <definedName name="FDP_31_1_aUrv" localSheetId="19" hidden="1">#REF!</definedName>
    <definedName name="FDP_31_1_aUrv" localSheetId="26" hidden="1">#REF!</definedName>
    <definedName name="FDP_31_1_aUrv" localSheetId="27" hidden="1">#REF!</definedName>
    <definedName name="FDP_31_1_aUrv" localSheetId="25" hidden="1">#REF!</definedName>
    <definedName name="FDP_31_1_aUrv" localSheetId="28" hidden="1">#REF!</definedName>
    <definedName name="FDP_31_1_aUrv" localSheetId="7" hidden="1">#REF!</definedName>
    <definedName name="FDP_31_1_aUrv" localSheetId="4" hidden="1">#REF!</definedName>
    <definedName name="FDP_31_1_aUrv" localSheetId="5" hidden="1">#REF!</definedName>
    <definedName name="FDP_31_1_aUrv" localSheetId="2" hidden="1">#REF!</definedName>
    <definedName name="FDP_31_1_aUrv" localSheetId="3" hidden="1">#REF!</definedName>
    <definedName name="FDP_31_1_aUrv" hidden="1">#REF!</definedName>
    <definedName name="FDP_32_1_aUrv" localSheetId="21" hidden="1">#REF!</definedName>
    <definedName name="FDP_32_1_aUrv" localSheetId="12" hidden="1">#REF!</definedName>
    <definedName name="FDP_32_1_aUrv" localSheetId="13" hidden="1">#REF!</definedName>
    <definedName name="FDP_32_1_aUrv" localSheetId="14" hidden="1">#REF!</definedName>
    <definedName name="FDP_32_1_aUrv" localSheetId="16" hidden="1">#REF!</definedName>
    <definedName name="FDP_32_1_aUrv" localSheetId="15" hidden="1">#REF!</definedName>
    <definedName name="FDP_32_1_aUrv" localSheetId="17" hidden="1">#REF!</definedName>
    <definedName name="FDP_32_1_aUrv" localSheetId="11" hidden="1">#REF!</definedName>
    <definedName name="FDP_32_1_aUrv" localSheetId="10" hidden="1">#REF!</definedName>
    <definedName name="FDP_32_1_aUrv" localSheetId="22" hidden="1">#REF!</definedName>
    <definedName name="FDP_32_1_aUrv" localSheetId="24" hidden="1">#REF!</definedName>
    <definedName name="FDP_32_1_aUrv" localSheetId="23" hidden="1">#REF!</definedName>
    <definedName name="FDP_32_1_aUrv" localSheetId="20" hidden="1">#REF!</definedName>
    <definedName name="FDP_32_1_aUrv" localSheetId="19" hidden="1">#REF!</definedName>
    <definedName name="FDP_32_1_aUrv" localSheetId="26" hidden="1">#REF!</definedName>
    <definedName name="FDP_32_1_aUrv" localSheetId="27" hidden="1">#REF!</definedName>
    <definedName name="FDP_32_1_aUrv" localSheetId="25" hidden="1">#REF!</definedName>
    <definedName name="FDP_32_1_aUrv" localSheetId="28" hidden="1">#REF!</definedName>
    <definedName name="FDP_32_1_aUrv" localSheetId="7" hidden="1">#REF!</definedName>
    <definedName name="FDP_32_1_aUrv" localSheetId="4" hidden="1">#REF!</definedName>
    <definedName name="FDP_32_1_aUrv" localSheetId="5" hidden="1">#REF!</definedName>
    <definedName name="FDP_32_1_aUrv" localSheetId="2" hidden="1">#REF!</definedName>
    <definedName name="FDP_32_1_aUrv" localSheetId="3" hidden="1">#REF!</definedName>
    <definedName name="FDP_32_1_aUrv" hidden="1">#REF!</definedName>
    <definedName name="FDP_33_1_aUrv" localSheetId="21" hidden="1">#REF!</definedName>
    <definedName name="FDP_33_1_aUrv" localSheetId="12" hidden="1">#REF!</definedName>
    <definedName name="FDP_33_1_aUrv" localSheetId="13" hidden="1">#REF!</definedName>
    <definedName name="FDP_33_1_aUrv" localSheetId="14" hidden="1">#REF!</definedName>
    <definedName name="FDP_33_1_aUrv" localSheetId="16" hidden="1">#REF!</definedName>
    <definedName name="FDP_33_1_aUrv" localSheetId="15" hidden="1">#REF!</definedName>
    <definedName name="FDP_33_1_aUrv" localSheetId="17" hidden="1">#REF!</definedName>
    <definedName name="FDP_33_1_aUrv" localSheetId="11" hidden="1">#REF!</definedName>
    <definedName name="FDP_33_1_aUrv" localSheetId="10" hidden="1">#REF!</definedName>
    <definedName name="FDP_33_1_aUrv" localSheetId="22" hidden="1">#REF!</definedName>
    <definedName name="FDP_33_1_aUrv" localSheetId="24" hidden="1">#REF!</definedName>
    <definedName name="FDP_33_1_aUrv" localSheetId="23" hidden="1">#REF!</definedName>
    <definedName name="FDP_33_1_aUrv" localSheetId="20" hidden="1">#REF!</definedName>
    <definedName name="FDP_33_1_aUrv" localSheetId="19" hidden="1">#REF!</definedName>
    <definedName name="FDP_33_1_aUrv" localSheetId="26" hidden="1">#REF!</definedName>
    <definedName name="FDP_33_1_aUrv" localSheetId="27" hidden="1">#REF!</definedName>
    <definedName name="FDP_33_1_aUrv" localSheetId="25" hidden="1">#REF!</definedName>
    <definedName name="FDP_33_1_aUrv" localSheetId="28" hidden="1">#REF!</definedName>
    <definedName name="FDP_33_1_aUrv" localSheetId="7" hidden="1">#REF!</definedName>
    <definedName name="FDP_33_1_aUrv" localSheetId="4" hidden="1">#REF!</definedName>
    <definedName name="FDP_33_1_aUrv" localSheetId="5" hidden="1">#REF!</definedName>
    <definedName name="FDP_33_1_aUrv" localSheetId="2" hidden="1">#REF!</definedName>
    <definedName name="FDP_33_1_aUrv" localSheetId="3" hidden="1">#REF!</definedName>
    <definedName name="FDP_33_1_aUrv" hidden="1">#REF!</definedName>
    <definedName name="FDP_34_1_aUrv" localSheetId="21" hidden="1">#REF!</definedName>
    <definedName name="FDP_34_1_aUrv" localSheetId="12" hidden="1">#REF!</definedName>
    <definedName name="FDP_34_1_aUrv" localSheetId="13" hidden="1">#REF!</definedName>
    <definedName name="FDP_34_1_aUrv" localSheetId="14" hidden="1">#REF!</definedName>
    <definedName name="FDP_34_1_aUrv" localSheetId="16" hidden="1">#REF!</definedName>
    <definedName name="FDP_34_1_aUrv" localSheetId="15" hidden="1">#REF!</definedName>
    <definedName name="FDP_34_1_aUrv" localSheetId="17" hidden="1">#REF!</definedName>
    <definedName name="FDP_34_1_aUrv" localSheetId="11" hidden="1">#REF!</definedName>
    <definedName name="FDP_34_1_aUrv" localSheetId="10" hidden="1">#REF!</definedName>
    <definedName name="FDP_34_1_aUrv" localSheetId="22" hidden="1">#REF!</definedName>
    <definedName name="FDP_34_1_aUrv" localSheetId="24" hidden="1">#REF!</definedName>
    <definedName name="FDP_34_1_aUrv" localSheetId="23" hidden="1">#REF!</definedName>
    <definedName name="FDP_34_1_aUrv" localSheetId="20" hidden="1">#REF!</definedName>
    <definedName name="FDP_34_1_aUrv" localSheetId="19" hidden="1">#REF!</definedName>
    <definedName name="FDP_34_1_aUrv" localSheetId="26" hidden="1">#REF!</definedName>
    <definedName name="FDP_34_1_aUrv" localSheetId="27" hidden="1">#REF!</definedName>
    <definedName name="FDP_34_1_aUrv" localSheetId="25" hidden="1">#REF!</definedName>
    <definedName name="FDP_34_1_aUrv" localSheetId="28" hidden="1">#REF!</definedName>
    <definedName name="FDP_34_1_aUrv" localSheetId="7" hidden="1">#REF!</definedName>
    <definedName name="FDP_34_1_aUrv" localSheetId="4" hidden="1">#REF!</definedName>
    <definedName name="FDP_34_1_aUrv" localSheetId="5" hidden="1">#REF!</definedName>
    <definedName name="FDP_34_1_aUrv" localSheetId="2" hidden="1">#REF!</definedName>
    <definedName name="FDP_34_1_aUrv" localSheetId="3" hidden="1">#REF!</definedName>
    <definedName name="FDP_34_1_aUrv" hidden="1">#REF!</definedName>
    <definedName name="FDP_35_1_aUrv" localSheetId="21" hidden="1">#REF!</definedName>
    <definedName name="FDP_35_1_aUrv" localSheetId="12" hidden="1">#REF!</definedName>
    <definedName name="FDP_35_1_aUrv" localSheetId="13" hidden="1">#REF!</definedName>
    <definedName name="FDP_35_1_aUrv" localSheetId="14" hidden="1">#REF!</definedName>
    <definedName name="FDP_35_1_aUrv" localSheetId="16" hidden="1">#REF!</definedName>
    <definedName name="FDP_35_1_aUrv" localSheetId="15" hidden="1">#REF!</definedName>
    <definedName name="FDP_35_1_aUrv" localSheetId="17" hidden="1">#REF!</definedName>
    <definedName name="FDP_35_1_aUrv" localSheetId="11" hidden="1">#REF!</definedName>
    <definedName name="FDP_35_1_aUrv" localSheetId="10" hidden="1">#REF!</definedName>
    <definedName name="FDP_35_1_aUrv" localSheetId="22" hidden="1">#REF!</definedName>
    <definedName name="FDP_35_1_aUrv" localSheetId="24" hidden="1">#REF!</definedName>
    <definedName name="FDP_35_1_aUrv" localSheetId="23" hidden="1">#REF!</definedName>
    <definedName name="FDP_35_1_aUrv" localSheetId="20" hidden="1">#REF!</definedName>
    <definedName name="FDP_35_1_aUrv" localSheetId="19" hidden="1">#REF!</definedName>
    <definedName name="FDP_35_1_aUrv" localSheetId="26" hidden="1">#REF!</definedName>
    <definedName name="FDP_35_1_aUrv" localSheetId="27" hidden="1">#REF!</definedName>
    <definedName name="FDP_35_1_aUrv" localSheetId="25" hidden="1">#REF!</definedName>
    <definedName name="FDP_35_1_aUrv" localSheetId="28" hidden="1">#REF!</definedName>
    <definedName name="FDP_35_1_aUrv" localSheetId="7" hidden="1">#REF!</definedName>
    <definedName name="FDP_35_1_aUrv" localSheetId="4" hidden="1">#REF!</definedName>
    <definedName name="FDP_35_1_aUrv" localSheetId="5" hidden="1">#REF!</definedName>
    <definedName name="FDP_35_1_aUrv" localSheetId="2" hidden="1">#REF!</definedName>
    <definedName name="FDP_35_1_aUrv" localSheetId="3" hidden="1">#REF!</definedName>
    <definedName name="FDP_35_1_aUrv" hidden="1">#REF!</definedName>
    <definedName name="FDP_36_1_aUrv" localSheetId="21" hidden="1">#REF!</definedName>
    <definedName name="FDP_36_1_aUrv" localSheetId="12" hidden="1">#REF!</definedName>
    <definedName name="FDP_36_1_aUrv" localSheetId="13" hidden="1">#REF!</definedName>
    <definedName name="FDP_36_1_aUrv" localSheetId="14" hidden="1">#REF!</definedName>
    <definedName name="FDP_36_1_aUrv" localSheetId="16" hidden="1">#REF!</definedName>
    <definedName name="FDP_36_1_aUrv" localSheetId="15" hidden="1">#REF!</definedName>
    <definedName name="FDP_36_1_aUrv" localSheetId="17" hidden="1">#REF!</definedName>
    <definedName name="FDP_36_1_aUrv" localSheetId="11" hidden="1">#REF!</definedName>
    <definedName name="FDP_36_1_aUrv" localSheetId="10" hidden="1">#REF!</definedName>
    <definedName name="FDP_36_1_aUrv" localSheetId="22" hidden="1">#REF!</definedName>
    <definedName name="FDP_36_1_aUrv" localSheetId="24" hidden="1">#REF!</definedName>
    <definedName name="FDP_36_1_aUrv" localSheetId="23" hidden="1">#REF!</definedName>
    <definedName name="FDP_36_1_aUrv" localSheetId="20" hidden="1">#REF!</definedName>
    <definedName name="FDP_36_1_aUrv" localSheetId="19" hidden="1">#REF!</definedName>
    <definedName name="FDP_36_1_aUrv" localSheetId="26" hidden="1">#REF!</definedName>
    <definedName name="FDP_36_1_aUrv" localSheetId="27" hidden="1">#REF!</definedName>
    <definedName name="FDP_36_1_aUrv" localSheetId="25" hidden="1">#REF!</definedName>
    <definedName name="FDP_36_1_aUrv" localSheetId="28" hidden="1">#REF!</definedName>
    <definedName name="FDP_36_1_aUrv" localSheetId="7" hidden="1">#REF!</definedName>
    <definedName name="FDP_36_1_aUrv" localSheetId="4" hidden="1">#REF!</definedName>
    <definedName name="FDP_36_1_aUrv" localSheetId="5" hidden="1">#REF!</definedName>
    <definedName name="FDP_36_1_aUrv" localSheetId="2" hidden="1">#REF!</definedName>
    <definedName name="FDP_36_1_aUrv" localSheetId="3" hidden="1">#REF!</definedName>
    <definedName name="FDP_36_1_aUrv" hidden="1">#REF!</definedName>
    <definedName name="FDP_37_1_aUrv" localSheetId="21" hidden="1">#REF!</definedName>
    <definedName name="FDP_37_1_aUrv" localSheetId="12" hidden="1">#REF!</definedName>
    <definedName name="FDP_37_1_aUrv" localSheetId="13" hidden="1">#REF!</definedName>
    <definedName name="FDP_37_1_aUrv" localSheetId="14" hidden="1">#REF!</definedName>
    <definedName name="FDP_37_1_aUrv" localSheetId="16" hidden="1">#REF!</definedName>
    <definedName name="FDP_37_1_aUrv" localSheetId="15" hidden="1">#REF!</definedName>
    <definedName name="FDP_37_1_aUrv" localSheetId="17" hidden="1">#REF!</definedName>
    <definedName name="FDP_37_1_aUrv" localSheetId="11" hidden="1">#REF!</definedName>
    <definedName name="FDP_37_1_aUrv" localSheetId="10" hidden="1">#REF!</definedName>
    <definedName name="FDP_37_1_aUrv" localSheetId="22" hidden="1">#REF!</definedName>
    <definedName name="FDP_37_1_aUrv" localSheetId="24" hidden="1">#REF!</definedName>
    <definedName name="FDP_37_1_aUrv" localSheetId="23" hidden="1">#REF!</definedName>
    <definedName name="FDP_37_1_aUrv" localSheetId="20" hidden="1">#REF!</definedName>
    <definedName name="FDP_37_1_aUrv" localSheetId="19" hidden="1">#REF!</definedName>
    <definedName name="FDP_37_1_aUrv" localSheetId="26" hidden="1">#REF!</definedName>
    <definedName name="FDP_37_1_aUrv" localSheetId="27" hidden="1">#REF!</definedName>
    <definedName name="FDP_37_1_aUrv" localSheetId="25" hidden="1">#REF!</definedName>
    <definedName name="FDP_37_1_aUrv" localSheetId="28" hidden="1">#REF!</definedName>
    <definedName name="FDP_37_1_aUrv" localSheetId="7" hidden="1">#REF!</definedName>
    <definedName name="FDP_37_1_aUrv" localSheetId="4" hidden="1">#REF!</definedName>
    <definedName name="FDP_37_1_aUrv" localSheetId="5" hidden="1">#REF!</definedName>
    <definedName name="FDP_37_1_aUrv" localSheetId="2" hidden="1">#REF!</definedName>
    <definedName name="FDP_37_1_aUrv" localSheetId="3" hidden="1">#REF!</definedName>
    <definedName name="FDP_37_1_aUrv" hidden="1">#REF!</definedName>
    <definedName name="FDP_38_1_aUrv" localSheetId="21" hidden="1">#REF!</definedName>
    <definedName name="FDP_38_1_aUrv" localSheetId="12" hidden="1">#REF!</definedName>
    <definedName name="FDP_38_1_aUrv" localSheetId="13" hidden="1">#REF!</definedName>
    <definedName name="FDP_38_1_aUrv" localSheetId="14" hidden="1">#REF!</definedName>
    <definedName name="FDP_38_1_aUrv" localSheetId="16" hidden="1">#REF!</definedName>
    <definedName name="FDP_38_1_aUrv" localSheetId="15" hidden="1">#REF!</definedName>
    <definedName name="FDP_38_1_aUrv" localSheetId="17" hidden="1">#REF!</definedName>
    <definedName name="FDP_38_1_aUrv" localSheetId="11" hidden="1">#REF!</definedName>
    <definedName name="FDP_38_1_aUrv" localSheetId="10" hidden="1">#REF!</definedName>
    <definedName name="FDP_38_1_aUrv" localSheetId="22" hidden="1">#REF!</definedName>
    <definedName name="FDP_38_1_aUrv" localSheetId="24" hidden="1">#REF!</definedName>
    <definedName name="FDP_38_1_aUrv" localSheetId="23" hidden="1">#REF!</definedName>
    <definedName name="FDP_38_1_aUrv" localSheetId="20" hidden="1">#REF!</definedName>
    <definedName name="FDP_38_1_aUrv" localSheetId="19" hidden="1">#REF!</definedName>
    <definedName name="FDP_38_1_aUrv" localSheetId="26" hidden="1">#REF!</definedName>
    <definedName name="FDP_38_1_aUrv" localSheetId="27" hidden="1">#REF!</definedName>
    <definedName name="FDP_38_1_aUrv" localSheetId="25" hidden="1">#REF!</definedName>
    <definedName name="FDP_38_1_aUrv" localSheetId="28" hidden="1">#REF!</definedName>
    <definedName name="FDP_38_1_aUrv" localSheetId="7" hidden="1">#REF!</definedName>
    <definedName name="FDP_38_1_aUrv" localSheetId="4" hidden="1">#REF!</definedName>
    <definedName name="FDP_38_1_aUrv" localSheetId="5" hidden="1">#REF!</definedName>
    <definedName name="FDP_38_1_aUrv" localSheetId="2" hidden="1">#REF!</definedName>
    <definedName name="FDP_38_1_aUrv" localSheetId="3" hidden="1">#REF!</definedName>
    <definedName name="FDP_38_1_aUrv" hidden="1">#REF!</definedName>
    <definedName name="FDP_39_1_aUrv" localSheetId="21" hidden="1">#REF!</definedName>
    <definedName name="FDP_39_1_aUrv" localSheetId="12" hidden="1">#REF!</definedName>
    <definedName name="FDP_39_1_aUrv" localSheetId="13" hidden="1">#REF!</definedName>
    <definedName name="FDP_39_1_aUrv" localSheetId="14" hidden="1">#REF!</definedName>
    <definedName name="FDP_39_1_aUrv" localSheetId="16" hidden="1">#REF!</definedName>
    <definedName name="FDP_39_1_aUrv" localSheetId="15" hidden="1">#REF!</definedName>
    <definedName name="FDP_39_1_aUrv" localSheetId="17" hidden="1">#REF!</definedName>
    <definedName name="FDP_39_1_aUrv" localSheetId="11" hidden="1">#REF!</definedName>
    <definedName name="FDP_39_1_aUrv" localSheetId="10" hidden="1">#REF!</definedName>
    <definedName name="FDP_39_1_aUrv" localSheetId="22" hidden="1">#REF!</definedName>
    <definedName name="FDP_39_1_aUrv" localSheetId="24" hidden="1">#REF!</definedName>
    <definedName name="FDP_39_1_aUrv" localSheetId="23" hidden="1">#REF!</definedName>
    <definedName name="FDP_39_1_aUrv" localSheetId="20" hidden="1">#REF!</definedName>
    <definedName name="FDP_39_1_aUrv" localSheetId="19" hidden="1">#REF!</definedName>
    <definedName name="FDP_39_1_aUrv" localSheetId="26" hidden="1">#REF!</definedName>
    <definedName name="FDP_39_1_aUrv" localSheetId="27" hidden="1">#REF!</definedName>
    <definedName name="FDP_39_1_aUrv" localSheetId="25" hidden="1">#REF!</definedName>
    <definedName name="FDP_39_1_aUrv" localSheetId="28" hidden="1">#REF!</definedName>
    <definedName name="FDP_39_1_aUrv" localSheetId="7" hidden="1">#REF!</definedName>
    <definedName name="FDP_39_1_aUrv" localSheetId="4" hidden="1">#REF!</definedName>
    <definedName name="FDP_39_1_aUrv" localSheetId="5" hidden="1">#REF!</definedName>
    <definedName name="FDP_39_1_aUrv" localSheetId="2" hidden="1">#REF!</definedName>
    <definedName name="FDP_39_1_aUrv" localSheetId="3" hidden="1">#REF!</definedName>
    <definedName name="FDP_39_1_aUrv" hidden="1">#REF!</definedName>
    <definedName name="FDP_41_1_aUrv" localSheetId="21" hidden="1">#REF!</definedName>
    <definedName name="FDP_41_1_aUrv" localSheetId="12" hidden="1">#REF!</definedName>
    <definedName name="FDP_41_1_aUrv" localSheetId="13" hidden="1">#REF!</definedName>
    <definedName name="FDP_41_1_aUrv" localSheetId="14" hidden="1">#REF!</definedName>
    <definedName name="FDP_41_1_aUrv" localSheetId="16" hidden="1">#REF!</definedName>
    <definedName name="FDP_41_1_aUrv" localSheetId="15" hidden="1">#REF!</definedName>
    <definedName name="FDP_41_1_aUrv" localSheetId="17" hidden="1">#REF!</definedName>
    <definedName name="FDP_41_1_aUrv" localSheetId="11" hidden="1">#REF!</definedName>
    <definedName name="FDP_41_1_aUrv" localSheetId="10" hidden="1">#REF!</definedName>
    <definedName name="FDP_41_1_aUrv" localSheetId="22" hidden="1">#REF!</definedName>
    <definedName name="FDP_41_1_aUrv" localSheetId="24" hidden="1">#REF!</definedName>
    <definedName name="FDP_41_1_aUrv" localSheetId="23" hidden="1">#REF!</definedName>
    <definedName name="FDP_41_1_aUrv" localSheetId="20" hidden="1">#REF!</definedName>
    <definedName name="FDP_41_1_aUrv" localSheetId="19" hidden="1">#REF!</definedName>
    <definedName name="FDP_41_1_aUrv" localSheetId="26" hidden="1">#REF!</definedName>
    <definedName name="FDP_41_1_aUrv" localSheetId="27" hidden="1">#REF!</definedName>
    <definedName name="FDP_41_1_aUrv" localSheetId="25" hidden="1">#REF!</definedName>
    <definedName name="FDP_41_1_aUrv" localSheetId="28" hidden="1">#REF!</definedName>
    <definedName name="FDP_41_1_aUrv" localSheetId="7" hidden="1">#REF!</definedName>
    <definedName name="FDP_41_1_aUrv" localSheetId="4" hidden="1">#REF!</definedName>
    <definedName name="FDP_41_1_aUrv" localSheetId="5" hidden="1">#REF!</definedName>
    <definedName name="FDP_41_1_aUrv" localSheetId="2" hidden="1">#REF!</definedName>
    <definedName name="FDP_41_1_aUrv" localSheetId="3" hidden="1">#REF!</definedName>
    <definedName name="FDP_41_1_aUrv" hidden="1">#REF!</definedName>
    <definedName name="FDP_42_1_aUrv" localSheetId="21" hidden="1">#REF!</definedName>
    <definedName name="FDP_42_1_aUrv" localSheetId="12" hidden="1">#REF!</definedName>
    <definedName name="FDP_42_1_aUrv" localSheetId="13" hidden="1">#REF!</definedName>
    <definedName name="FDP_42_1_aUrv" localSheetId="14" hidden="1">#REF!</definedName>
    <definedName name="FDP_42_1_aUrv" localSheetId="16" hidden="1">#REF!</definedName>
    <definedName name="FDP_42_1_aUrv" localSheetId="15" hidden="1">#REF!</definedName>
    <definedName name="FDP_42_1_aUrv" localSheetId="17" hidden="1">#REF!</definedName>
    <definedName name="FDP_42_1_aUrv" localSheetId="11" hidden="1">#REF!</definedName>
    <definedName name="FDP_42_1_aUrv" localSheetId="10" hidden="1">#REF!</definedName>
    <definedName name="FDP_42_1_aUrv" localSheetId="22" hidden="1">#REF!</definedName>
    <definedName name="FDP_42_1_aUrv" localSheetId="24" hidden="1">#REF!</definedName>
    <definedName name="FDP_42_1_aUrv" localSheetId="23" hidden="1">#REF!</definedName>
    <definedName name="FDP_42_1_aUrv" localSheetId="20" hidden="1">#REF!</definedName>
    <definedName name="FDP_42_1_aUrv" localSheetId="19" hidden="1">#REF!</definedName>
    <definedName name="FDP_42_1_aUrv" localSheetId="26" hidden="1">#REF!</definedName>
    <definedName name="FDP_42_1_aUrv" localSheetId="27" hidden="1">#REF!</definedName>
    <definedName name="FDP_42_1_aUrv" localSheetId="25" hidden="1">#REF!</definedName>
    <definedName name="FDP_42_1_aUrv" localSheetId="28" hidden="1">#REF!</definedName>
    <definedName name="FDP_42_1_aUrv" localSheetId="7" hidden="1">#REF!</definedName>
    <definedName name="FDP_42_1_aUrv" localSheetId="4" hidden="1">#REF!</definedName>
    <definedName name="FDP_42_1_aUrv" localSheetId="5" hidden="1">#REF!</definedName>
    <definedName name="FDP_42_1_aUrv" localSheetId="2" hidden="1">#REF!</definedName>
    <definedName name="FDP_42_1_aUrv" localSheetId="3" hidden="1">#REF!</definedName>
    <definedName name="FDP_42_1_aUrv" hidden="1">#REF!</definedName>
    <definedName name="FDP_43_1_aUrv" localSheetId="21" hidden="1">#REF!</definedName>
    <definedName name="FDP_43_1_aUrv" localSheetId="12" hidden="1">#REF!</definedName>
    <definedName name="FDP_43_1_aUrv" localSheetId="13" hidden="1">#REF!</definedName>
    <definedName name="FDP_43_1_aUrv" localSheetId="14" hidden="1">#REF!</definedName>
    <definedName name="FDP_43_1_aUrv" localSheetId="16" hidden="1">#REF!</definedName>
    <definedName name="FDP_43_1_aUrv" localSheetId="15" hidden="1">#REF!</definedName>
    <definedName name="FDP_43_1_aUrv" localSheetId="17" hidden="1">#REF!</definedName>
    <definedName name="FDP_43_1_aUrv" localSheetId="11" hidden="1">#REF!</definedName>
    <definedName name="FDP_43_1_aUrv" localSheetId="10" hidden="1">#REF!</definedName>
    <definedName name="FDP_43_1_aUrv" localSheetId="22" hidden="1">#REF!</definedName>
    <definedName name="FDP_43_1_aUrv" localSheetId="24" hidden="1">#REF!</definedName>
    <definedName name="FDP_43_1_aUrv" localSheetId="23" hidden="1">#REF!</definedName>
    <definedName name="FDP_43_1_aUrv" localSheetId="20" hidden="1">#REF!</definedName>
    <definedName name="FDP_43_1_aUrv" localSheetId="19" hidden="1">#REF!</definedName>
    <definedName name="FDP_43_1_aUrv" localSheetId="26" hidden="1">#REF!</definedName>
    <definedName name="FDP_43_1_aUrv" localSheetId="27" hidden="1">#REF!</definedName>
    <definedName name="FDP_43_1_aUrv" localSheetId="25" hidden="1">#REF!</definedName>
    <definedName name="FDP_43_1_aUrv" localSheetId="28" hidden="1">#REF!</definedName>
    <definedName name="FDP_43_1_aUrv" localSheetId="7" hidden="1">#REF!</definedName>
    <definedName name="FDP_43_1_aUrv" localSheetId="4" hidden="1">#REF!</definedName>
    <definedName name="FDP_43_1_aUrv" localSheetId="5" hidden="1">#REF!</definedName>
    <definedName name="FDP_43_1_aUrv" localSheetId="2" hidden="1">#REF!</definedName>
    <definedName name="FDP_43_1_aUrv" localSheetId="3" hidden="1">#REF!</definedName>
    <definedName name="FDP_43_1_aUrv" hidden="1">#REF!</definedName>
    <definedName name="FDP_44_1_aUrv" localSheetId="21" hidden="1">#REF!</definedName>
    <definedName name="FDP_44_1_aUrv" localSheetId="12" hidden="1">#REF!</definedName>
    <definedName name="FDP_44_1_aUrv" localSheetId="13" hidden="1">#REF!</definedName>
    <definedName name="FDP_44_1_aUrv" localSheetId="14" hidden="1">#REF!</definedName>
    <definedName name="FDP_44_1_aUrv" localSheetId="16" hidden="1">#REF!</definedName>
    <definedName name="FDP_44_1_aUrv" localSheetId="15" hidden="1">#REF!</definedName>
    <definedName name="FDP_44_1_aUrv" localSheetId="17" hidden="1">#REF!</definedName>
    <definedName name="FDP_44_1_aUrv" localSheetId="11" hidden="1">#REF!</definedName>
    <definedName name="FDP_44_1_aUrv" localSheetId="10" hidden="1">#REF!</definedName>
    <definedName name="FDP_44_1_aUrv" localSheetId="22" hidden="1">#REF!</definedName>
    <definedName name="FDP_44_1_aUrv" localSheetId="24" hidden="1">#REF!</definedName>
    <definedName name="FDP_44_1_aUrv" localSheetId="23" hidden="1">#REF!</definedName>
    <definedName name="FDP_44_1_aUrv" localSheetId="20" hidden="1">#REF!</definedName>
    <definedName name="FDP_44_1_aUrv" localSheetId="19" hidden="1">#REF!</definedName>
    <definedName name="FDP_44_1_aUrv" localSheetId="26" hidden="1">#REF!</definedName>
    <definedName name="FDP_44_1_aUrv" localSheetId="27" hidden="1">#REF!</definedName>
    <definedName name="FDP_44_1_aUrv" localSheetId="25" hidden="1">#REF!</definedName>
    <definedName name="FDP_44_1_aUrv" localSheetId="28" hidden="1">#REF!</definedName>
    <definedName name="FDP_44_1_aUrv" localSheetId="7" hidden="1">#REF!</definedName>
    <definedName name="FDP_44_1_aUrv" localSheetId="4" hidden="1">#REF!</definedName>
    <definedName name="FDP_44_1_aUrv" localSheetId="5" hidden="1">#REF!</definedName>
    <definedName name="FDP_44_1_aUrv" localSheetId="2" hidden="1">#REF!</definedName>
    <definedName name="FDP_44_1_aUrv" localSheetId="3" hidden="1">#REF!</definedName>
    <definedName name="FDP_44_1_aUrv" hidden="1">#REF!</definedName>
    <definedName name="FDP_45_1_aUrv" localSheetId="21" hidden="1">#REF!</definedName>
    <definedName name="FDP_45_1_aUrv" localSheetId="12" hidden="1">#REF!</definedName>
    <definedName name="FDP_45_1_aUrv" localSheetId="13" hidden="1">#REF!</definedName>
    <definedName name="FDP_45_1_aUrv" localSheetId="14" hidden="1">#REF!</definedName>
    <definedName name="FDP_45_1_aUrv" localSheetId="16" hidden="1">#REF!</definedName>
    <definedName name="FDP_45_1_aUrv" localSheetId="15" hidden="1">#REF!</definedName>
    <definedName name="FDP_45_1_aUrv" localSheetId="17" hidden="1">#REF!</definedName>
    <definedName name="FDP_45_1_aUrv" localSheetId="11" hidden="1">#REF!</definedName>
    <definedName name="FDP_45_1_aUrv" localSheetId="10" hidden="1">#REF!</definedName>
    <definedName name="FDP_45_1_aUrv" localSheetId="22" hidden="1">#REF!</definedName>
    <definedName name="FDP_45_1_aUrv" localSheetId="24" hidden="1">#REF!</definedName>
    <definedName name="FDP_45_1_aUrv" localSheetId="23" hidden="1">#REF!</definedName>
    <definedName name="FDP_45_1_aUrv" localSheetId="20" hidden="1">#REF!</definedName>
    <definedName name="FDP_45_1_aUrv" localSheetId="19" hidden="1">#REF!</definedName>
    <definedName name="FDP_45_1_aUrv" localSheetId="26" hidden="1">#REF!</definedName>
    <definedName name="FDP_45_1_aUrv" localSheetId="27" hidden="1">#REF!</definedName>
    <definedName name="FDP_45_1_aUrv" localSheetId="25" hidden="1">#REF!</definedName>
    <definedName name="FDP_45_1_aUrv" localSheetId="28" hidden="1">#REF!</definedName>
    <definedName name="FDP_45_1_aUrv" localSheetId="7" hidden="1">#REF!</definedName>
    <definedName name="FDP_45_1_aUrv" localSheetId="4" hidden="1">#REF!</definedName>
    <definedName name="FDP_45_1_aUrv" localSheetId="5" hidden="1">#REF!</definedName>
    <definedName name="FDP_45_1_aUrv" localSheetId="2" hidden="1">#REF!</definedName>
    <definedName name="FDP_45_1_aUrv" localSheetId="3" hidden="1">#REF!</definedName>
    <definedName name="FDP_45_1_aUrv" hidden="1">#REF!</definedName>
    <definedName name="FDP_46_1_aUrv" localSheetId="21" hidden="1">#REF!</definedName>
    <definedName name="FDP_46_1_aUrv" localSheetId="12" hidden="1">#REF!</definedName>
    <definedName name="FDP_46_1_aUrv" localSheetId="13" hidden="1">#REF!</definedName>
    <definedName name="FDP_46_1_aUrv" localSheetId="14" hidden="1">#REF!</definedName>
    <definedName name="FDP_46_1_aUrv" localSheetId="16" hidden="1">#REF!</definedName>
    <definedName name="FDP_46_1_aUrv" localSheetId="15" hidden="1">#REF!</definedName>
    <definedName name="FDP_46_1_aUrv" localSheetId="17" hidden="1">#REF!</definedName>
    <definedName name="FDP_46_1_aUrv" localSheetId="11" hidden="1">#REF!</definedName>
    <definedName name="FDP_46_1_aUrv" localSheetId="10" hidden="1">#REF!</definedName>
    <definedName name="FDP_46_1_aUrv" localSheetId="22" hidden="1">#REF!</definedName>
    <definedName name="FDP_46_1_aUrv" localSheetId="24" hidden="1">#REF!</definedName>
    <definedName name="FDP_46_1_aUrv" localSheetId="23" hidden="1">#REF!</definedName>
    <definedName name="FDP_46_1_aUrv" localSheetId="20" hidden="1">#REF!</definedName>
    <definedName name="FDP_46_1_aUrv" localSheetId="19" hidden="1">#REF!</definedName>
    <definedName name="FDP_46_1_aUrv" localSheetId="26" hidden="1">#REF!</definedName>
    <definedName name="FDP_46_1_aUrv" localSheetId="27" hidden="1">#REF!</definedName>
    <definedName name="FDP_46_1_aUrv" localSheetId="25" hidden="1">#REF!</definedName>
    <definedName name="FDP_46_1_aUrv" localSheetId="28" hidden="1">#REF!</definedName>
    <definedName name="FDP_46_1_aUrv" localSheetId="7" hidden="1">#REF!</definedName>
    <definedName name="FDP_46_1_aUrv" localSheetId="4" hidden="1">#REF!</definedName>
    <definedName name="FDP_46_1_aUrv" localSheetId="5" hidden="1">#REF!</definedName>
    <definedName name="FDP_46_1_aUrv" localSheetId="2" hidden="1">#REF!</definedName>
    <definedName name="FDP_46_1_aUrv" localSheetId="3" hidden="1">#REF!</definedName>
    <definedName name="FDP_46_1_aUrv" hidden="1">#REF!</definedName>
    <definedName name="FDP_47_1_aUrv" localSheetId="21" hidden="1">#REF!</definedName>
    <definedName name="FDP_47_1_aUrv" localSheetId="12" hidden="1">#REF!</definedName>
    <definedName name="FDP_47_1_aUrv" localSheetId="13" hidden="1">#REF!</definedName>
    <definedName name="FDP_47_1_aUrv" localSheetId="14" hidden="1">#REF!</definedName>
    <definedName name="FDP_47_1_aUrv" localSheetId="16" hidden="1">#REF!</definedName>
    <definedName name="FDP_47_1_aUrv" localSheetId="15" hidden="1">#REF!</definedName>
    <definedName name="FDP_47_1_aUrv" localSheetId="17" hidden="1">#REF!</definedName>
    <definedName name="FDP_47_1_aUrv" localSheetId="11" hidden="1">#REF!</definedName>
    <definedName name="FDP_47_1_aUrv" localSheetId="10" hidden="1">#REF!</definedName>
    <definedName name="FDP_47_1_aUrv" localSheetId="22" hidden="1">#REF!</definedName>
    <definedName name="FDP_47_1_aUrv" localSheetId="24" hidden="1">#REF!</definedName>
    <definedName name="FDP_47_1_aUrv" localSheetId="23" hidden="1">#REF!</definedName>
    <definedName name="FDP_47_1_aUrv" localSheetId="20" hidden="1">#REF!</definedName>
    <definedName name="FDP_47_1_aUrv" localSheetId="19" hidden="1">#REF!</definedName>
    <definedName name="FDP_47_1_aUrv" localSheetId="26" hidden="1">#REF!</definedName>
    <definedName name="FDP_47_1_aUrv" localSheetId="27" hidden="1">#REF!</definedName>
    <definedName name="FDP_47_1_aUrv" localSheetId="25" hidden="1">#REF!</definedName>
    <definedName name="FDP_47_1_aUrv" localSheetId="28" hidden="1">#REF!</definedName>
    <definedName name="FDP_47_1_aUrv" localSheetId="7" hidden="1">#REF!</definedName>
    <definedName name="FDP_47_1_aUrv" localSheetId="4" hidden="1">#REF!</definedName>
    <definedName name="FDP_47_1_aUrv" localSheetId="5" hidden="1">#REF!</definedName>
    <definedName name="FDP_47_1_aUrv" localSheetId="2" hidden="1">#REF!</definedName>
    <definedName name="FDP_47_1_aUrv" localSheetId="3" hidden="1">#REF!</definedName>
    <definedName name="FDP_47_1_aUrv" hidden="1">#REF!</definedName>
    <definedName name="FDP_48_1_aUrv" localSheetId="21" hidden="1">#REF!</definedName>
    <definedName name="FDP_48_1_aUrv" localSheetId="12" hidden="1">#REF!</definedName>
    <definedName name="FDP_48_1_aUrv" localSheetId="13" hidden="1">#REF!</definedName>
    <definedName name="FDP_48_1_aUrv" localSheetId="14" hidden="1">#REF!</definedName>
    <definedName name="FDP_48_1_aUrv" localSheetId="16" hidden="1">#REF!</definedName>
    <definedName name="FDP_48_1_aUrv" localSheetId="15" hidden="1">#REF!</definedName>
    <definedName name="FDP_48_1_aUrv" localSheetId="17" hidden="1">#REF!</definedName>
    <definedName name="FDP_48_1_aUrv" localSheetId="11" hidden="1">#REF!</definedName>
    <definedName name="FDP_48_1_aUrv" localSheetId="10" hidden="1">#REF!</definedName>
    <definedName name="FDP_48_1_aUrv" localSheetId="22" hidden="1">#REF!</definedName>
    <definedName name="FDP_48_1_aUrv" localSheetId="24" hidden="1">#REF!</definedName>
    <definedName name="FDP_48_1_aUrv" localSheetId="23" hidden="1">#REF!</definedName>
    <definedName name="FDP_48_1_aUrv" localSheetId="20" hidden="1">#REF!</definedName>
    <definedName name="FDP_48_1_aUrv" localSheetId="19" hidden="1">#REF!</definedName>
    <definedName name="FDP_48_1_aUrv" localSheetId="26" hidden="1">#REF!</definedName>
    <definedName name="FDP_48_1_aUrv" localSheetId="27" hidden="1">#REF!</definedName>
    <definedName name="FDP_48_1_aUrv" localSheetId="25" hidden="1">#REF!</definedName>
    <definedName name="FDP_48_1_aUrv" localSheetId="28" hidden="1">#REF!</definedName>
    <definedName name="FDP_48_1_aUrv" localSheetId="7" hidden="1">#REF!</definedName>
    <definedName name="FDP_48_1_aUrv" localSheetId="4" hidden="1">#REF!</definedName>
    <definedName name="FDP_48_1_aUrv" localSheetId="5" hidden="1">#REF!</definedName>
    <definedName name="FDP_48_1_aUrv" localSheetId="2" hidden="1">#REF!</definedName>
    <definedName name="FDP_48_1_aUrv" localSheetId="3" hidden="1">#REF!</definedName>
    <definedName name="FDP_48_1_aUrv" hidden="1">#REF!</definedName>
    <definedName name="FDP_49_1_aUrv" localSheetId="21" hidden="1">#REF!</definedName>
    <definedName name="FDP_49_1_aUrv" localSheetId="12" hidden="1">#REF!</definedName>
    <definedName name="FDP_49_1_aUrv" localSheetId="13" hidden="1">#REF!</definedName>
    <definedName name="FDP_49_1_aUrv" localSheetId="14" hidden="1">#REF!</definedName>
    <definedName name="FDP_49_1_aUrv" localSheetId="16" hidden="1">#REF!</definedName>
    <definedName name="FDP_49_1_aUrv" localSheetId="15" hidden="1">#REF!</definedName>
    <definedName name="FDP_49_1_aUrv" localSheetId="17" hidden="1">#REF!</definedName>
    <definedName name="FDP_49_1_aUrv" localSheetId="11" hidden="1">#REF!</definedName>
    <definedName name="FDP_49_1_aUrv" localSheetId="10" hidden="1">#REF!</definedName>
    <definedName name="FDP_49_1_aUrv" localSheetId="22" hidden="1">#REF!</definedName>
    <definedName name="FDP_49_1_aUrv" localSheetId="24" hidden="1">#REF!</definedName>
    <definedName name="FDP_49_1_aUrv" localSheetId="23" hidden="1">#REF!</definedName>
    <definedName name="FDP_49_1_aUrv" localSheetId="20" hidden="1">#REF!</definedName>
    <definedName name="FDP_49_1_aUrv" localSheetId="19" hidden="1">#REF!</definedName>
    <definedName name="FDP_49_1_aUrv" localSheetId="26" hidden="1">#REF!</definedName>
    <definedName name="FDP_49_1_aUrv" localSheetId="27" hidden="1">#REF!</definedName>
    <definedName name="FDP_49_1_aUrv" localSheetId="25" hidden="1">#REF!</definedName>
    <definedName name="FDP_49_1_aUrv" localSheetId="28" hidden="1">#REF!</definedName>
    <definedName name="FDP_49_1_aUrv" localSheetId="7" hidden="1">#REF!</definedName>
    <definedName name="FDP_49_1_aUrv" localSheetId="4" hidden="1">#REF!</definedName>
    <definedName name="FDP_49_1_aUrv" localSheetId="5" hidden="1">#REF!</definedName>
    <definedName name="FDP_49_1_aUrv" localSheetId="2" hidden="1">#REF!</definedName>
    <definedName name="FDP_49_1_aUrv" localSheetId="3" hidden="1">#REF!</definedName>
    <definedName name="FDP_49_1_aUrv" hidden="1">#REF!</definedName>
    <definedName name="FDP_50_1_aUrv" localSheetId="21" hidden="1">#REF!</definedName>
    <definedName name="FDP_50_1_aUrv" localSheetId="12" hidden="1">#REF!</definedName>
    <definedName name="FDP_50_1_aUrv" localSheetId="13" hidden="1">#REF!</definedName>
    <definedName name="FDP_50_1_aUrv" localSheetId="14" hidden="1">#REF!</definedName>
    <definedName name="FDP_50_1_aUrv" localSheetId="16" hidden="1">#REF!</definedName>
    <definedName name="FDP_50_1_aUrv" localSheetId="15" hidden="1">#REF!</definedName>
    <definedName name="FDP_50_1_aUrv" localSheetId="17" hidden="1">#REF!</definedName>
    <definedName name="FDP_50_1_aUrv" localSheetId="11" hidden="1">#REF!</definedName>
    <definedName name="FDP_50_1_aUrv" localSheetId="10" hidden="1">#REF!</definedName>
    <definedName name="FDP_50_1_aUrv" localSheetId="22" hidden="1">#REF!</definedName>
    <definedName name="FDP_50_1_aUrv" localSheetId="24" hidden="1">#REF!</definedName>
    <definedName name="FDP_50_1_aUrv" localSheetId="23" hidden="1">#REF!</definedName>
    <definedName name="FDP_50_1_aUrv" localSheetId="20" hidden="1">#REF!</definedName>
    <definedName name="FDP_50_1_aUrv" localSheetId="19" hidden="1">#REF!</definedName>
    <definedName name="FDP_50_1_aUrv" localSheetId="26" hidden="1">#REF!</definedName>
    <definedName name="FDP_50_1_aUrv" localSheetId="27" hidden="1">#REF!</definedName>
    <definedName name="FDP_50_1_aUrv" localSheetId="25" hidden="1">#REF!</definedName>
    <definedName name="FDP_50_1_aUrv" localSheetId="28" hidden="1">#REF!</definedName>
    <definedName name="FDP_50_1_aUrv" localSheetId="7" hidden="1">#REF!</definedName>
    <definedName name="FDP_50_1_aUrv" localSheetId="4" hidden="1">#REF!</definedName>
    <definedName name="FDP_50_1_aUrv" localSheetId="5" hidden="1">#REF!</definedName>
    <definedName name="FDP_50_1_aUrv" localSheetId="2" hidden="1">#REF!</definedName>
    <definedName name="FDP_50_1_aUrv" localSheetId="3" hidden="1">#REF!</definedName>
    <definedName name="FDP_50_1_aUrv" hidden="1">#REF!</definedName>
    <definedName name="FDP_51_1_aUrv" localSheetId="21" hidden="1">#REF!</definedName>
    <definedName name="FDP_51_1_aUrv" localSheetId="12" hidden="1">#REF!</definedName>
    <definedName name="FDP_51_1_aUrv" localSheetId="13" hidden="1">#REF!</definedName>
    <definedName name="FDP_51_1_aUrv" localSheetId="14" hidden="1">#REF!</definedName>
    <definedName name="FDP_51_1_aUrv" localSheetId="16" hidden="1">#REF!</definedName>
    <definedName name="FDP_51_1_aUrv" localSheetId="15" hidden="1">#REF!</definedName>
    <definedName name="FDP_51_1_aUrv" localSheetId="17" hidden="1">#REF!</definedName>
    <definedName name="FDP_51_1_aUrv" localSheetId="11" hidden="1">#REF!</definedName>
    <definedName name="FDP_51_1_aUrv" localSheetId="10" hidden="1">#REF!</definedName>
    <definedName name="FDP_51_1_aUrv" localSheetId="22" hidden="1">#REF!</definedName>
    <definedName name="FDP_51_1_aUrv" localSheetId="24" hidden="1">#REF!</definedName>
    <definedName name="FDP_51_1_aUrv" localSheetId="23" hidden="1">#REF!</definedName>
    <definedName name="FDP_51_1_aUrv" localSheetId="20" hidden="1">#REF!</definedName>
    <definedName name="FDP_51_1_aUrv" localSheetId="19" hidden="1">#REF!</definedName>
    <definedName name="FDP_51_1_aUrv" localSheetId="26" hidden="1">#REF!</definedName>
    <definedName name="FDP_51_1_aUrv" localSheetId="27" hidden="1">#REF!</definedName>
    <definedName name="FDP_51_1_aUrv" localSheetId="25" hidden="1">#REF!</definedName>
    <definedName name="FDP_51_1_aUrv" localSheetId="28" hidden="1">#REF!</definedName>
    <definedName name="FDP_51_1_aUrv" localSheetId="7" hidden="1">#REF!</definedName>
    <definedName name="FDP_51_1_aUrv" localSheetId="4" hidden="1">#REF!</definedName>
    <definedName name="FDP_51_1_aUrv" localSheetId="5" hidden="1">#REF!</definedName>
    <definedName name="FDP_51_1_aUrv" localSheetId="2" hidden="1">#REF!</definedName>
    <definedName name="FDP_51_1_aUrv" localSheetId="3" hidden="1">#REF!</definedName>
    <definedName name="FDP_51_1_aUrv" hidden="1">#REF!</definedName>
    <definedName name="FDP_52_1_aUrv" localSheetId="21" hidden="1">#REF!</definedName>
    <definedName name="FDP_52_1_aUrv" localSheetId="12" hidden="1">#REF!</definedName>
    <definedName name="FDP_52_1_aUrv" localSheetId="13" hidden="1">#REF!</definedName>
    <definedName name="FDP_52_1_aUrv" localSheetId="14" hidden="1">#REF!</definedName>
    <definedName name="FDP_52_1_aUrv" localSheetId="16" hidden="1">#REF!</definedName>
    <definedName name="FDP_52_1_aUrv" localSheetId="15" hidden="1">#REF!</definedName>
    <definedName name="FDP_52_1_aUrv" localSheetId="17" hidden="1">#REF!</definedName>
    <definedName name="FDP_52_1_aUrv" localSheetId="11" hidden="1">#REF!</definedName>
    <definedName name="FDP_52_1_aUrv" localSheetId="10" hidden="1">#REF!</definedName>
    <definedName name="FDP_52_1_aUrv" localSheetId="22" hidden="1">#REF!</definedName>
    <definedName name="FDP_52_1_aUrv" localSheetId="24" hidden="1">#REF!</definedName>
    <definedName name="FDP_52_1_aUrv" localSheetId="23" hidden="1">#REF!</definedName>
    <definedName name="FDP_52_1_aUrv" localSheetId="20" hidden="1">#REF!</definedName>
    <definedName name="FDP_52_1_aUrv" localSheetId="19" hidden="1">#REF!</definedName>
    <definedName name="FDP_52_1_aUrv" localSheetId="26" hidden="1">#REF!</definedName>
    <definedName name="FDP_52_1_aUrv" localSheetId="27" hidden="1">#REF!</definedName>
    <definedName name="FDP_52_1_aUrv" localSheetId="25" hidden="1">#REF!</definedName>
    <definedName name="FDP_52_1_aUrv" localSheetId="28" hidden="1">#REF!</definedName>
    <definedName name="FDP_52_1_aUrv" localSheetId="7" hidden="1">#REF!</definedName>
    <definedName name="FDP_52_1_aUrv" localSheetId="4" hidden="1">#REF!</definedName>
    <definedName name="FDP_52_1_aUrv" localSheetId="5" hidden="1">#REF!</definedName>
    <definedName name="FDP_52_1_aUrv" localSheetId="2" hidden="1">#REF!</definedName>
    <definedName name="FDP_52_1_aUrv" localSheetId="3" hidden="1">#REF!</definedName>
    <definedName name="FDP_52_1_aUrv" hidden="1">#REF!</definedName>
    <definedName name="FDP_53_1_aUrv" localSheetId="21" hidden="1">#REF!</definedName>
    <definedName name="FDP_53_1_aUrv" localSheetId="12" hidden="1">#REF!</definedName>
    <definedName name="FDP_53_1_aUrv" localSheetId="13" hidden="1">#REF!</definedName>
    <definedName name="FDP_53_1_aUrv" localSheetId="14" hidden="1">#REF!</definedName>
    <definedName name="FDP_53_1_aUrv" localSheetId="16" hidden="1">#REF!</definedName>
    <definedName name="FDP_53_1_aUrv" localSheetId="15" hidden="1">#REF!</definedName>
    <definedName name="FDP_53_1_aUrv" localSheetId="17" hidden="1">#REF!</definedName>
    <definedName name="FDP_53_1_aUrv" localSheetId="11" hidden="1">#REF!</definedName>
    <definedName name="FDP_53_1_aUrv" localSheetId="10" hidden="1">#REF!</definedName>
    <definedName name="FDP_53_1_aUrv" localSheetId="22" hidden="1">#REF!</definedName>
    <definedName name="FDP_53_1_aUrv" localSheetId="24" hidden="1">#REF!</definedName>
    <definedName name="FDP_53_1_aUrv" localSheetId="23" hidden="1">#REF!</definedName>
    <definedName name="FDP_53_1_aUrv" localSheetId="20" hidden="1">#REF!</definedName>
    <definedName name="FDP_53_1_aUrv" localSheetId="19" hidden="1">#REF!</definedName>
    <definedName name="FDP_53_1_aUrv" localSheetId="26" hidden="1">#REF!</definedName>
    <definedName name="FDP_53_1_aUrv" localSheetId="27" hidden="1">#REF!</definedName>
    <definedName name="FDP_53_1_aUrv" localSheetId="25" hidden="1">#REF!</definedName>
    <definedName name="FDP_53_1_aUrv" localSheetId="28" hidden="1">#REF!</definedName>
    <definedName name="FDP_53_1_aUrv" localSheetId="7" hidden="1">#REF!</definedName>
    <definedName name="FDP_53_1_aUrv" localSheetId="4" hidden="1">#REF!</definedName>
    <definedName name="FDP_53_1_aUrv" localSheetId="5" hidden="1">#REF!</definedName>
    <definedName name="FDP_53_1_aUrv" localSheetId="2" hidden="1">#REF!</definedName>
    <definedName name="FDP_53_1_aUrv" localSheetId="3" hidden="1">#REF!</definedName>
    <definedName name="FDP_53_1_aUrv" hidden="1">#REF!</definedName>
    <definedName name="FDP_53_1_rUrv" localSheetId="21" hidden="1">#REF!</definedName>
    <definedName name="FDP_53_1_rUrv" localSheetId="12" hidden="1">#REF!</definedName>
    <definedName name="FDP_53_1_rUrv" localSheetId="13" hidden="1">#REF!</definedName>
    <definedName name="FDP_53_1_rUrv" localSheetId="14" hidden="1">#REF!</definedName>
    <definedName name="FDP_53_1_rUrv" localSheetId="16" hidden="1">#REF!</definedName>
    <definedName name="FDP_53_1_rUrv" localSheetId="15" hidden="1">#REF!</definedName>
    <definedName name="FDP_53_1_rUrv" localSheetId="17" hidden="1">#REF!</definedName>
    <definedName name="FDP_53_1_rUrv" localSheetId="11" hidden="1">#REF!</definedName>
    <definedName name="FDP_53_1_rUrv" localSheetId="10" hidden="1">#REF!</definedName>
    <definedName name="FDP_53_1_rUrv" localSheetId="22" hidden="1">#REF!</definedName>
    <definedName name="FDP_53_1_rUrv" localSheetId="24" hidden="1">#REF!</definedName>
    <definedName name="FDP_53_1_rUrv" localSheetId="23" hidden="1">#REF!</definedName>
    <definedName name="FDP_53_1_rUrv" localSheetId="20" hidden="1">#REF!</definedName>
    <definedName name="FDP_53_1_rUrv" localSheetId="19" hidden="1">#REF!</definedName>
    <definedName name="FDP_53_1_rUrv" localSheetId="26" hidden="1">#REF!</definedName>
    <definedName name="FDP_53_1_rUrv" localSheetId="27" hidden="1">#REF!</definedName>
    <definedName name="FDP_53_1_rUrv" localSheetId="25" hidden="1">#REF!</definedName>
    <definedName name="FDP_53_1_rUrv" localSheetId="28" hidden="1">#REF!</definedName>
    <definedName name="FDP_53_1_rUrv" localSheetId="7" hidden="1">#REF!</definedName>
    <definedName name="FDP_53_1_rUrv" localSheetId="4" hidden="1">#REF!</definedName>
    <definedName name="FDP_53_1_rUrv" localSheetId="5" hidden="1">#REF!</definedName>
    <definedName name="FDP_53_1_rUrv" localSheetId="2" hidden="1">#REF!</definedName>
    <definedName name="FDP_53_1_rUrv" localSheetId="3" hidden="1">#REF!</definedName>
    <definedName name="FDP_53_1_rUrv" hidden="1">#REF!</definedName>
    <definedName name="FDP_54_1_aUrv" localSheetId="21" hidden="1">#REF!</definedName>
    <definedName name="FDP_54_1_aUrv" localSheetId="12" hidden="1">#REF!</definedName>
    <definedName name="FDP_54_1_aUrv" localSheetId="13" hidden="1">#REF!</definedName>
    <definedName name="FDP_54_1_aUrv" localSheetId="14" hidden="1">#REF!</definedName>
    <definedName name="FDP_54_1_aUrv" localSheetId="16" hidden="1">#REF!</definedName>
    <definedName name="FDP_54_1_aUrv" localSheetId="15" hidden="1">#REF!</definedName>
    <definedName name="FDP_54_1_aUrv" localSheetId="17" hidden="1">#REF!</definedName>
    <definedName name="FDP_54_1_aUrv" localSheetId="11" hidden="1">#REF!</definedName>
    <definedName name="FDP_54_1_aUrv" localSheetId="10" hidden="1">#REF!</definedName>
    <definedName name="FDP_54_1_aUrv" localSheetId="22" hidden="1">#REF!</definedName>
    <definedName name="FDP_54_1_aUrv" localSheetId="24" hidden="1">#REF!</definedName>
    <definedName name="FDP_54_1_aUrv" localSheetId="23" hidden="1">#REF!</definedName>
    <definedName name="FDP_54_1_aUrv" localSheetId="20" hidden="1">#REF!</definedName>
    <definedName name="FDP_54_1_aUrv" localSheetId="19" hidden="1">#REF!</definedName>
    <definedName name="FDP_54_1_aUrv" localSheetId="26" hidden="1">#REF!</definedName>
    <definedName name="FDP_54_1_aUrv" localSheetId="27" hidden="1">#REF!</definedName>
    <definedName name="FDP_54_1_aUrv" localSheetId="25" hidden="1">#REF!</definedName>
    <definedName name="FDP_54_1_aUrv" localSheetId="28" hidden="1">#REF!</definedName>
    <definedName name="FDP_54_1_aUrv" localSheetId="7" hidden="1">#REF!</definedName>
    <definedName name="FDP_54_1_aUrv" localSheetId="4" hidden="1">#REF!</definedName>
    <definedName name="FDP_54_1_aUrv" localSheetId="5" hidden="1">#REF!</definedName>
    <definedName name="FDP_54_1_aUrv" localSheetId="2" hidden="1">#REF!</definedName>
    <definedName name="FDP_54_1_aUrv" localSheetId="3" hidden="1">#REF!</definedName>
    <definedName name="FDP_54_1_aUrv" hidden="1">#REF!</definedName>
    <definedName name="FDP_55_1_aUrv" localSheetId="21" hidden="1">#REF!</definedName>
    <definedName name="FDP_55_1_aUrv" localSheetId="12" hidden="1">#REF!</definedName>
    <definedName name="FDP_55_1_aUrv" localSheetId="13" hidden="1">#REF!</definedName>
    <definedName name="FDP_55_1_aUrv" localSheetId="14" hidden="1">#REF!</definedName>
    <definedName name="FDP_55_1_aUrv" localSheetId="16" hidden="1">#REF!</definedName>
    <definedName name="FDP_55_1_aUrv" localSheetId="15" hidden="1">#REF!</definedName>
    <definedName name="FDP_55_1_aUrv" localSheetId="17" hidden="1">#REF!</definedName>
    <definedName name="FDP_55_1_aUrv" localSheetId="11" hidden="1">#REF!</definedName>
    <definedName name="FDP_55_1_aUrv" localSheetId="10" hidden="1">#REF!</definedName>
    <definedName name="FDP_55_1_aUrv" localSheetId="22" hidden="1">#REF!</definedName>
    <definedName name="FDP_55_1_aUrv" localSheetId="24" hidden="1">#REF!</definedName>
    <definedName name="FDP_55_1_aUrv" localSheetId="23" hidden="1">#REF!</definedName>
    <definedName name="FDP_55_1_aUrv" localSheetId="20" hidden="1">#REF!</definedName>
    <definedName name="FDP_55_1_aUrv" localSheetId="19" hidden="1">#REF!</definedName>
    <definedName name="FDP_55_1_aUrv" localSheetId="26" hidden="1">#REF!</definedName>
    <definedName name="FDP_55_1_aUrv" localSheetId="27" hidden="1">#REF!</definedName>
    <definedName name="FDP_55_1_aUrv" localSheetId="25" hidden="1">#REF!</definedName>
    <definedName name="FDP_55_1_aUrv" localSheetId="28" hidden="1">#REF!</definedName>
    <definedName name="FDP_55_1_aUrv" localSheetId="7" hidden="1">#REF!</definedName>
    <definedName name="FDP_55_1_aUrv" localSheetId="4" hidden="1">#REF!</definedName>
    <definedName name="FDP_55_1_aUrv" localSheetId="5" hidden="1">#REF!</definedName>
    <definedName name="FDP_55_1_aUrv" localSheetId="2" hidden="1">#REF!</definedName>
    <definedName name="FDP_55_1_aUrv" localSheetId="3" hidden="1">#REF!</definedName>
    <definedName name="FDP_55_1_aUrv" hidden="1">#REF!</definedName>
    <definedName name="FDP_8_1_aDrv" localSheetId="21" hidden="1">#REF!</definedName>
    <definedName name="FDP_8_1_aDrv" localSheetId="12" hidden="1">#REF!</definedName>
    <definedName name="FDP_8_1_aDrv" localSheetId="13" hidden="1">#REF!</definedName>
    <definedName name="FDP_8_1_aDrv" localSheetId="14" hidden="1">#REF!</definedName>
    <definedName name="FDP_8_1_aDrv" localSheetId="16" hidden="1">#REF!</definedName>
    <definedName name="FDP_8_1_aDrv" localSheetId="15" hidden="1">#REF!</definedName>
    <definedName name="FDP_8_1_aDrv" localSheetId="17" hidden="1">#REF!</definedName>
    <definedName name="FDP_8_1_aDrv" localSheetId="11" hidden="1">#REF!</definedName>
    <definedName name="FDP_8_1_aDrv" localSheetId="10" hidden="1">#REF!</definedName>
    <definedName name="FDP_8_1_aDrv" localSheetId="22" hidden="1">#REF!</definedName>
    <definedName name="FDP_8_1_aDrv" localSheetId="24" hidden="1">#REF!</definedName>
    <definedName name="FDP_8_1_aDrv" localSheetId="23" hidden="1">#REF!</definedName>
    <definedName name="FDP_8_1_aDrv" localSheetId="20" hidden="1">#REF!</definedName>
    <definedName name="FDP_8_1_aDrv" localSheetId="19" hidden="1">#REF!</definedName>
    <definedName name="FDP_8_1_aDrv" localSheetId="26" hidden="1">#REF!</definedName>
    <definedName name="FDP_8_1_aDrv" localSheetId="27" hidden="1">#REF!</definedName>
    <definedName name="FDP_8_1_aDrv" localSheetId="25" hidden="1">#REF!</definedName>
    <definedName name="FDP_8_1_aDrv" localSheetId="28" hidden="1">#REF!</definedName>
    <definedName name="FDP_8_1_aDrv" localSheetId="7" hidden="1">#REF!</definedName>
    <definedName name="FDP_8_1_aDrv" localSheetId="4" hidden="1">#REF!</definedName>
    <definedName name="FDP_8_1_aDrv" localSheetId="5" hidden="1">#REF!</definedName>
    <definedName name="FDP_8_1_aDrv" localSheetId="2" hidden="1">#REF!</definedName>
    <definedName name="FDP_8_1_aDrv" localSheetId="3" hidden="1">#REF!</definedName>
    <definedName name="FDP_8_1_aDrv" hidden="1">#REF!</definedName>
    <definedName name="FDP_9_1_aDrv" localSheetId="21" hidden="1">#REF!</definedName>
    <definedName name="FDP_9_1_aDrv" localSheetId="12" hidden="1">#REF!</definedName>
    <definedName name="FDP_9_1_aDrv" localSheetId="13" hidden="1">#REF!</definedName>
    <definedName name="FDP_9_1_aDrv" localSheetId="14" hidden="1">#REF!</definedName>
    <definedName name="FDP_9_1_aDrv" localSheetId="16" hidden="1">#REF!</definedName>
    <definedName name="FDP_9_1_aDrv" localSheetId="15" hidden="1">#REF!</definedName>
    <definedName name="FDP_9_1_aDrv" localSheetId="17" hidden="1">#REF!</definedName>
    <definedName name="FDP_9_1_aDrv" localSheetId="11" hidden="1">#REF!</definedName>
    <definedName name="FDP_9_1_aDrv" localSheetId="10" hidden="1">#REF!</definedName>
    <definedName name="FDP_9_1_aDrv" localSheetId="22" hidden="1">#REF!</definedName>
    <definedName name="FDP_9_1_aDrv" localSheetId="24" hidden="1">#REF!</definedName>
    <definedName name="FDP_9_1_aDrv" localSheetId="23" hidden="1">#REF!</definedName>
    <definedName name="FDP_9_1_aDrv" localSheetId="20" hidden="1">#REF!</definedName>
    <definedName name="FDP_9_1_aDrv" localSheetId="19" hidden="1">#REF!</definedName>
    <definedName name="FDP_9_1_aDrv" localSheetId="26" hidden="1">#REF!</definedName>
    <definedName name="FDP_9_1_aDrv" localSheetId="27" hidden="1">#REF!</definedName>
    <definedName name="FDP_9_1_aDrv" localSheetId="25" hidden="1">#REF!</definedName>
    <definedName name="FDP_9_1_aDrv" localSheetId="28" hidden="1">#REF!</definedName>
    <definedName name="FDP_9_1_aDrv" localSheetId="7" hidden="1">#REF!</definedName>
    <definedName name="FDP_9_1_aDrv" localSheetId="4" hidden="1">#REF!</definedName>
    <definedName name="FDP_9_1_aDrv" localSheetId="5" hidden="1">#REF!</definedName>
    <definedName name="FDP_9_1_aDrv" localSheetId="2" hidden="1">#REF!</definedName>
    <definedName name="FDP_9_1_aDrv" localSheetId="3" hidden="1">#REF!</definedName>
    <definedName name="FDP_9_1_aDrv" hidden="1">#REF!</definedName>
    <definedName name="ffw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fw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in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anc.Resumen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inanc.Resume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luxo_Orçado_2011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luxo_Orçado_201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resfg" localSheetId="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esfg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thju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fthju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g" localSheetId="6" hidden="1">{#N/A,#N/A,FALSE,"REGNSKAPSUTDRAG DIVISJON";#N/A,#N/A,FALSE,"Nøkkeltall"}</definedName>
    <definedName name="g" hidden="1">{#N/A,#N/A,FALSE,"REGNSKAPSUTDRAG DIVISJON";#N/A,#N/A,FALSE,"Nøkkeltall"}</definedName>
    <definedName name="galo" localSheetId="6" hidden="1">{#N/A,#N/A,FALSE,"Aging Summary";#N/A,#N/A,FALSE,"Ratio Analysis";#N/A,#N/A,FALSE,"Test 120 Day Accts";#N/A,#N/A,FALSE,"Tickmarks"}</definedName>
    <definedName name="galo" hidden="1">{#N/A,#N/A,FALSE,"Aging Summary";#N/A,#N/A,FALSE,"Ratio Analysis";#N/A,#N/A,FALSE,"Test 120 Day Accts";#N/A,#N/A,FALSE,"Tickmarks"}</definedName>
    <definedName name="geração" localSheetId="6" hidden="1">{#N/A,#N/A,FALSE,"ANEXO3 99 ERA";#N/A,#N/A,FALSE,"ANEXO3 99 UBÁ2";#N/A,#N/A,FALSE,"ANEXO3 99 DTU";#N/A,#N/A,FALSE,"ANEXO3 99 RDR";#N/A,#N/A,FALSE,"ANEXO3 99 UBÁ4";#N/A,#N/A,FALSE,"ANEXO3 99 UBÁ6"}</definedName>
    <definedName name="geração" hidden="1">{#N/A,#N/A,FALSE,"ANEXO3 99 ERA";#N/A,#N/A,FALSE,"ANEXO3 99 UBÁ2";#N/A,#N/A,FALSE,"ANEXO3 99 DTU";#N/A,#N/A,FALSE,"ANEXO3 99 RDR";#N/A,#N/A,FALSE,"ANEXO3 99 UBÁ4";#N/A,#N/A,FALSE,"ANEXO3 99 UBÁ6"}</definedName>
    <definedName name="gthyt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gthyt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GVSL1" localSheetId="21" hidden="1">'20-10_ET_PTSF'!Header1-1 &amp; "." &amp; MAX(1,COUNTA(INDEX(#REF!,MATCH('20-10_ET_PTSF'!Header1-1,#REF!,FALSE)):#REF!))</definedName>
    <definedName name="GVSL1" localSheetId="12" hidden="1">'20-13_fg_ATS'!Header1-1 &amp; "." &amp; MAX(1,COUNTA(INDEX(#REF!,MATCH('20-13_fg_ATS'!Header1-1,#REF!,FALSE)):#REF!))</definedName>
    <definedName name="GVSL1" localSheetId="13" hidden="1">'20-14_fg_PTSF'!Header1-1 &amp; "." &amp; MAX(1,COUNTA(INDEX(#REF!,MATCH('20-14_fg_PTSF'!Header1-1,#REF!,FALSE)):#REF!))</definedName>
    <definedName name="GVSL1" localSheetId="14" hidden="1">'20-15_Et_ATS'!Header1-1 &amp; "." &amp; MAX(1,COUNTA(INDEX(#REF!,MATCH('20-15_Et_ATS'!Header1-1,#REF!,FALSE)):#REF!))</definedName>
    <definedName name="GVSL1" localSheetId="16" hidden="1">'20-16_ET&amp;RV_PTSF'!Header1-1 &amp; "." &amp; MAX(1,COUNTA(INDEX(#REF!,MATCH('20-16_ET&amp;RV_PTSF'!Header1-1,#REF!,FALSE)):#REF!))</definedName>
    <definedName name="GVSL1" localSheetId="15" hidden="1">'20-17_ER_ATS'!Header1-1 &amp; "." &amp; MAX(1,COUNTA(INDEX(#REF!,MATCH('20-17_ER_ATS'!Header1-1,#REF!,FALSE)):#REF!))</definedName>
    <definedName name="GVSL1" localSheetId="17" hidden="1">'20-18_ETC_ATS'!Header1-1 &amp; "." &amp; MAX(1,COUNTA(INDEX(#REF!,MATCH('20-18_ETC_ATS'!Header1-1,#REF!,FALSE)):#REF!))</definedName>
    <definedName name="GVSL1" localSheetId="11" hidden="1">'20-19_fnp_ATS'!Header1-1 &amp; "." &amp; MAX(1,COUNTA(INDEX(#REF!,MATCH('20-19_fnp_ATS'!Header1-1,#REF!,FALSE)):#REF!))</definedName>
    <definedName name="GVSL1" localSheetId="10" hidden="1">'20-20_fnp_PTSF'!Header1-1 &amp; "." &amp; MAX(1,COUNTA(INDEX(#REF!,MATCH('20-20_fnp_PTSF'!Header1-1,#REF!,FALSE)):#REF!))</definedName>
    <definedName name="GVSL1" localSheetId="22" hidden="1">'20-7_FG_ATS'!Header1-1 &amp; "." &amp; MAX(1,COUNTA(INDEX(#REF!,MATCH('20-7_FG_ATS'!Header1-1,#REF!,FALSE)):#REF!))</definedName>
    <definedName name="GVSL1" localSheetId="24" hidden="1">'20-7_FG_ATS_2D'!Header1-1 &amp; "." &amp; MAX(1,COUNTA(INDEX(#REF!,MATCH('20-7_FG_ATS_2D'!Header1-1,#REF!,FALSE)):#REF!))</definedName>
    <definedName name="GVSL1" localSheetId="23" hidden="1">'20-8_FG_PTSF'!Header1-1 &amp; "." &amp; MAX(1,COUNTA(INDEX(#REF!,MATCH('20-8_FG_PTSF'!Header1-1,#REF!,FALSE)):#REF!))</definedName>
    <definedName name="GVSL1" localSheetId="20" hidden="1">'20-9_ER_ATS'!Header1-1 &amp; "." &amp; MAX(1,COUNTA(INDEX(#REF!,MATCH('20-9_ER_ATS'!Header1-1,#REF!,FALSE)):#REF!))</definedName>
    <definedName name="GVSL1" localSheetId="19" hidden="1">'20-9_ET_ATS'!Header1-1 &amp; "." &amp; MAX(1,COUNTA(INDEX(#REF!,MATCH('20-9_ET_ATS'!Header1-1,#REF!,FALSE)):#REF!))</definedName>
    <definedName name="GVSL1" localSheetId="26" hidden="1">'21-10_ER_Up'!Header1-1 &amp; "." &amp; MAX(1,COUNTA(INDEX(#REF!,MATCH('21-10_ER_Up'!Header1-1,#REF!,FALSE)):#REF!))</definedName>
    <definedName name="GVSL1" localSheetId="27" hidden="1">'21-11_ET_Down'!Header1-1 &amp; "." &amp; MAX(1,COUNTA(INDEX(#REF!,MATCH('21-11_ET_Down'!Header1-1,#REF!,FALSE)):#REF!))</definedName>
    <definedName name="GVSL1" localSheetId="25" hidden="1">'21-9_ET_UP'!Header1-1 &amp; "." &amp; MAX(1,COUNTA(INDEX(#REF!,MATCH('21-9_ET_UP'!Header1-1,#REF!,FALSE)):#REF!))</definedName>
    <definedName name="GVSL1" localSheetId="28" hidden="1">'Análise_SAVED '!Header1-1 &amp; "." &amp; MAX(1,COUNTA(INDEX(#REF!,MATCH('Análise_SAVED '!Header1-1,#REF!,FALSE)):#REF!))</definedName>
    <definedName name="GVSL1" localSheetId="6" hidden="1">[0]!Header1-1 &amp; "." &amp; MAX(1,COUNTA(INDEX(#REF!,MATCH([0]!Header1-1,#REF!,FALSE)):#REF!))</definedName>
    <definedName name="GVSL1" localSheetId="7" hidden="1">'HCM2010'!Header1-1 &amp; "." &amp; MAX(1,COUNTA(INDEX(#REF!,MATCH('HCM2010'!Header1-1,#REF!,FALSE)):#REF!))</definedName>
    <definedName name="GVSL1" localSheetId="4" hidden="1">'MULTILANE HIGHWAY'!Header1-1 &amp; "." &amp; MAX(1,COUNTA(INDEX(#REF!,MATCH('MULTILANE HIGHWAY'!Header1-1,#REF!,FALSE)):#REF!))</definedName>
    <definedName name="GVSL1" localSheetId="5" hidden="1">'MULTILANE HIGHWAY_SPECIAL GRADE'!Header1-1 &amp; "." &amp; MAX(1,COUNTA(INDEX(#REF!,MATCH('MULTILANE HIGHWAY_SPECIAL GRADE'!Header1-1,#REF!,FALSE)):#REF!))</definedName>
    <definedName name="GVSL1" localSheetId="2" hidden="1">'TWO LANE HIGHWAY'!Header1-1 &amp; "." &amp; MAX(1,COUNTA(INDEX(#REF!,MATCH('TWO LANE HIGHWAY'!Header1-1,#REF!,FALSE)):#REF!))</definedName>
    <definedName name="GVSL1" localSheetId="3" hidden="1">'TWO LANE HIGHWAY_SPECIAL GRADE'!Header1-1 &amp; "." &amp; MAX(1,COUNTA(INDEX(#REF!,MATCH('TWO LANE HIGHWAY_SPECIAL GRADE'!Header1-1,#REF!,FALSE)):#REF!))</definedName>
    <definedName name="GVSL1" hidden="1">[0]!Header1-1 &amp; "." &amp; MAX(1,COUNTA(INDEX(#REF!,MATCH([0]!Header1-1,#REF!,FALSE)):#REF!))</definedName>
    <definedName name="Header1" localSheetId="21" hidden="1">IF(COUNTA(#REF!)=0,0,INDEX(#REF!,MATCH(ROW(#REF!),#REF!,TRUE)))+1</definedName>
    <definedName name="Header1" localSheetId="12" hidden="1">IF(COUNTA(#REF!)=0,0,INDEX(#REF!,MATCH(ROW(#REF!),#REF!,TRUE)))+1</definedName>
    <definedName name="Header1" localSheetId="13" hidden="1">IF(COUNTA(#REF!)=0,0,INDEX(#REF!,MATCH(ROW(#REF!),#REF!,TRUE)))+1</definedName>
    <definedName name="Header1" localSheetId="14" hidden="1">IF(COUNTA(#REF!)=0,0,INDEX(#REF!,MATCH(ROW(#REF!),#REF!,TRUE)))+1</definedName>
    <definedName name="Header1" localSheetId="16" hidden="1">IF(COUNTA(#REF!)=0,0,INDEX(#REF!,MATCH(ROW(#REF!),#REF!,TRUE)))+1</definedName>
    <definedName name="Header1" localSheetId="15" hidden="1">IF(COUNTA(#REF!)=0,0,INDEX(#REF!,MATCH(ROW(#REF!),#REF!,TRUE)))+1</definedName>
    <definedName name="Header1" localSheetId="17" hidden="1">IF(COUNTA(#REF!)=0,0,INDEX(#REF!,MATCH(ROW(#REF!),#REF!,TRUE)))+1</definedName>
    <definedName name="Header1" localSheetId="11" hidden="1">IF(COUNTA(#REF!)=0,0,INDEX(#REF!,MATCH(ROW(#REF!),#REF!,TRUE)))+1</definedName>
    <definedName name="Header1" localSheetId="10" hidden="1">IF(COUNTA(#REF!)=0,0,INDEX(#REF!,MATCH(ROW(#REF!),#REF!,TRUE)))+1</definedName>
    <definedName name="Header1" localSheetId="22" hidden="1">IF(COUNTA(#REF!)=0,0,INDEX(#REF!,MATCH(ROW(#REF!),#REF!,TRUE)))+1</definedName>
    <definedName name="Header1" localSheetId="24" hidden="1">IF(COUNTA(#REF!)=0,0,INDEX(#REF!,MATCH(ROW(#REF!),#REF!,TRUE)))+1</definedName>
    <definedName name="Header1" localSheetId="23" hidden="1">IF(COUNTA(#REF!)=0,0,INDEX(#REF!,MATCH(ROW(#REF!),#REF!,TRUE)))+1</definedName>
    <definedName name="Header1" localSheetId="20" hidden="1">IF(COUNTA(#REF!)=0,0,INDEX(#REF!,MATCH(ROW(#REF!),#REF!,TRUE)))+1</definedName>
    <definedName name="Header1" localSheetId="19" hidden="1">IF(COUNTA(#REF!)=0,0,INDEX(#REF!,MATCH(ROW(#REF!),#REF!,TRUE)))+1</definedName>
    <definedName name="Header1" localSheetId="26" hidden="1">IF(COUNTA(#REF!)=0,0,INDEX(#REF!,MATCH(ROW(#REF!),#REF!,TRUE)))+1</definedName>
    <definedName name="Header1" localSheetId="27" hidden="1">IF(COUNTA(#REF!)=0,0,INDEX(#REF!,MATCH(ROW(#REF!),#REF!,TRUE)))+1</definedName>
    <definedName name="Header1" localSheetId="25" hidden="1">IF(COUNTA(#REF!)=0,0,INDEX(#REF!,MATCH(ROW(#REF!),#REF!,TRUE)))+1</definedName>
    <definedName name="Header1" localSheetId="28" hidden="1">IF(COUNTA(#REF!)=0,0,INDEX(#REF!,MATCH(ROW(#REF!),#REF!,TRUE)))+1</definedName>
    <definedName name="Header1" localSheetId="7" hidden="1">IF(COUNTA(#REF!)=0,0,INDEX(#REF!,MATCH(ROW(#REF!),#REF!,TRUE)))+1</definedName>
    <definedName name="Header1" localSheetId="4" hidden="1">IF(COUNTA(#REF!)=0,0,INDEX(#REF!,MATCH(ROW(#REF!),#REF!,TRUE)))+1</definedName>
    <definedName name="Header1" localSheetId="5" hidden="1">IF(COUNTA(#REF!)=0,0,INDEX(#REF!,MATCH(ROW(#REF!),#REF!,TRUE)))+1</definedName>
    <definedName name="Header1" localSheetId="2" hidden="1">IF(COUNTA(#REF!)=0,0,INDEX(#REF!,MATCH(ROW(#REF!),#REF!,TRUE)))+1</definedName>
    <definedName name="Header1" localSheetId="3" hidden="1">IF(COUNTA(#REF!)=0,0,INDEX(#REF!,MATCH(ROW(#REF!),#REF!,TRUE)))+1</definedName>
    <definedName name="Header1" hidden="1">IF(COUNTA(#REF!)=0,0,INDEX(#REF!,MATCH(ROW(#REF!),#REF!,TRUE)))+1</definedName>
    <definedName name="Header2" localSheetId="21" hidden="1">'20-10_ET_PTSF'!Header1-1 &amp; "." &amp; MAX(1,COUNTA(INDEX(#REF!,MATCH('20-10_ET_PTSF'!Header1-1,#REF!,FALSE)):#REF!))</definedName>
    <definedName name="Header2" localSheetId="12" hidden="1">'20-13_fg_ATS'!Header1-1 &amp; "." &amp; MAX(1,COUNTA(INDEX(#REF!,MATCH('20-13_fg_ATS'!Header1-1,#REF!,FALSE)):#REF!))</definedName>
    <definedName name="Header2" localSheetId="13" hidden="1">'20-14_fg_PTSF'!Header1-1 &amp; "." &amp; MAX(1,COUNTA(INDEX(#REF!,MATCH('20-14_fg_PTSF'!Header1-1,#REF!,FALSE)):#REF!))</definedName>
    <definedName name="Header2" localSheetId="14" hidden="1">'20-15_Et_ATS'!Header1-1 &amp; "." &amp; MAX(1,COUNTA(INDEX(#REF!,MATCH('20-15_Et_ATS'!Header1-1,#REF!,FALSE)):#REF!))</definedName>
    <definedName name="Header2" localSheetId="16" hidden="1">'20-16_ET&amp;RV_PTSF'!Header1-1 &amp; "." &amp; MAX(1,COUNTA(INDEX(#REF!,MATCH('20-16_ET&amp;RV_PTSF'!Header1-1,#REF!,FALSE)):#REF!))</definedName>
    <definedName name="Header2" localSheetId="15" hidden="1">'20-17_ER_ATS'!Header1-1 &amp; "." &amp; MAX(1,COUNTA(INDEX(#REF!,MATCH('20-17_ER_ATS'!Header1-1,#REF!,FALSE)):#REF!))</definedName>
    <definedName name="Header2" localSheetId="17" hidden="1">'20-18_ETC_ATS'!Header1-1 &amp; "." &amp; MAX(1,COUNTA(INDEX(#REF!,MATCH('20-18_ETC_ATS'!Header1-1,#REF!,FALSE)):#REF!))</definedName>
    <definedName name="Header2" localSheetId="11" hidden="1">'20-19_fnp_ATS'!Header1-1 &amp; "." &amp; MAX(1,COUNTA(INDEX(#REF!,MATCH('20-19_fnp_ATS'!Header1-1,#REF!,FALSE)):#REF!))</definedName>
    <definedName name="Header2" localSheetId="10" hidden="1">'20-20_fnp_PTSF'!Header1-1 &amp; "." &amp; MAX(1,COUNTA(INDEX(#REF!,MATCH('20-20_fnp_PTSF'!Header1-1,#REF!,FALSE)):#REF!))</definedName>
    <definedName name="Header2" localSheetId="22" hidden="1">'20-7_FG_ATS'!Header1-1 &amp; "." &amp; MAX(1,COUNTA(INDEX(#REF!,MATCH('20-7_FG_ATS'!Header1-1,#REF!,FALSE)):#REF!))</definedName>
    <definedName name="Header2" localSheetId="24" hidden="1">'20-7_FG_ATS_2D'!Header1-1 &amp; "." &amp; MAX(1,COUNTA(INDEX(#REF!,MATCH('20-7_FG_ATS_2D'!Header1-1,#REF!,FALSE)):#REF!))</definedName>
    <definedName name="Header2" localSheetId="23" hidden="1">'20-8_FG_PTSF'!Header1-1 &amp; "." &amp; MAX(1,COUNTA(INDEX(#REF!,MATCH('20-8_FG_PTSF'!Header1-1,#REF!,FALSE)):#REF!))</definedName>
    <definedName name="Header2" localSheetId="20" hidden="1">'20-9_ER_ATS'!Header1-1 &amp; "." &amp; MAX(1,COUNTA(INDEX(#REF!,MATCH('20-9_ER_ATS'!Header1-1,#REF!,FALSE)):#REF!))</definedName>
    <definedName name="Header2" localSheetId="19" hidden="1">'20-9_ET_ATS'!Header1-1 &amp; "." &amp; MAX(1,COUNTA(INDEX(#REF!,MATCH('20-9_ET_ATS'!Header1-1,#REF!,FALSE)):#REF!))</definedName>
    <definedName name="Header2" localSheetId="26" hidden="1">'21-10_ER_Up'!Header1-1 &amp; "." &amp; MAX(1,COUNTA(INDEX(#REF!,MATCH('21-10_ER_Up'!Header1-1,#REF!,FALSE)):#REF!))</definedName>
    <definedName name="Header2" localSheetId="27" hidden="1">'21-11_ET_Down'!Header1-1 &amp; "." &amp; MAX(1,COUNTA(INDEX(#REF!,MATCH('21-11_ET_Down'!Header1-1,#REF!,FALSE)):#REF!))</definedName>
    <definedName name="Header2" localSheetId="25" hidden="1">'21-9_ET_UP'!Header1-1 &amp; "." &amp; MAX(1,COUNTA(INDEX(#REF!,MATCH('21-9_ET_UP'!Header1-1,#REF!,FALSE)):#REF!))</definedName>
    <definedName name="Header2" localSheetId="28" hidden="1">'Análise_SAVED '!Header1-1 &amp; "." &amp; MAX(1,COUNTA(INDEX(#REF!,MATCH('Análise_SAVED '!Header1-1,#REF!,FALSE)):#REF!))</definedName>
    <definedName name="Header2" localSheetId="6" hidden="1">[0]!Header1-1 &amp; "." &amp; MAX(1,COUNTA(INDEX(#REF!,MATCH([0]!Header1-1,#REF!,FALSE)):#REF!))</definedName>
    <definedName name="Header2" localSheetId="7" hidden="1">'HCM2010'!Header1-1 &amp; "." &amp; MAX(1,COUNTA(INDEX(#REF!,MATCH('HCM2010'!Header1-1,#REF!,FALSE)):#REF!))</definedName>
    <definedName name="Header2" localSheetId="4" hidden="1">'MULTILANE HIGHWAY'!Header1-1 &amp; "." &amp; MAX(1,COUNTA(INDEX(#REF!,MATCH('MULTILANE HIGHWAY'!Header1-1,#REF!,FALSE)):#REF!))</definedName>
    <definedName name="Header2" localSheetId="5" hidden="1">'MULTILANE HIGHWAY_SPECIAL GRADE'!Header1-1 &amp; "." &amp; MAX(1,COUNTA(INDEX(#REF!,MATCH('MULTILANE HIGHWAY_SPECIAL GRADE'!Header1-1,#REF!,FALSE)):#REF!))</definedName>
    <definedName name="Header2" localSheetId="2" hidden="1">'TWO LANE HIGHWAY'!Header1-1 &amp; "." &amp; MAX(1,COUNTA(INDEX(#REF!,MATCH('TWO LANE HIGHWAY'!Header1-1,#REF!,FALSE)):#REF!))</definedName>
    <definedName name="Header2" localSheetId="3" hidden="1">'TWO LANE HIGHWAY_SPECIAL GRADE'!Header1-1 &amp; "." &amp; MAX(1,COUNTA(INDEX(#REF!,MATCH('TWO LANE HIGHWAY_SPECIAL GRADE'!Header1-1,#REF!,FALSE)):#REF!))</definedName>
    <definedName name="Header2" hidden="1">[0]!Header1-1 &amp; "." &amp; MAX(1,COUNTA(INDEX(#REF!,MATCH([0]!Header1-1,#REF!,FALSE)):#REF!))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n.RolledForward" hidden="1">FALSE</definedName>
    <definedName name="hthj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hthj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HTML_CodePage" hidden="1">1252</definedName>
    <definedName name="HTML_Control" localSheetId="6" hidden="1">{"'Índice'!$A$1:$K$49"}</definedName>
    <definedName name="HTML_Control" hidden="1">{"'Índice'!$A$1:$K$49"}</definedName>
    <definedName name="HTML_Description" hidden="1">""</definedName>
    <definedName name="HTML_Email" hidden="1">""</definedName>
    <definedName name="HTML_Header" hidden="1">"Índice"</definedName>
    <definedName name="HTML_LastUpdate" hidden="1">"12/08/1999"</definedName>
    <definedName name="HTML_LineAfter" hidden="1">FALSE</definedName>
    <definedName name="HTML_LineBefore" hidden="1">FALSE</definedName>
    <definedName name="HTML_Name" hidden="1">"Rodovia das Cataratas"</definedName>
    <definedName name="HTML_OBDlg2" hidden="1">TRUE</definedName>
    <definedName name="HTML_OBDlg4" hidden="1">TRUE</definedName>
    <definedName name="HTML_OS" hidden="1">0</definedName>
    <definedName name="HTML_PathFile" hidden="1">"\\Server_1\sig\07 Julho\Informe\MeuHTML.htm"</definedName>
    <definedName name="HTML_PathFileMac" hidden="1">"Macintosh HD:HomePageStuff:New_Home_Page:datafile:histret.html"</definedName>
    <definedName name="HTML_Title" hidden="1">"Gerência de Administração e Controle de Gestão"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va" localSheetId="6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hva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iLUMINAÇÃO" localSheetId="6" hidden="1">{#N/A,#N/A,FALSE,"ANEXO3 99 ERA";#N/A,#N/A,FALSE,"ANEXO3 99 UBÁ2";#N/A,#N/A,FALSE,"ANEXO3 99 DTU";#N/A,#N/A,FALSE,"ANEXO3 99 RDR";#N/A,#N/A,FALSE,"ANEXO3 99 UBÁ4";#N/A,#N/A,FALSE,"ANEXO3 99 UBÁ6"}</definedName>
    <definedName name="iLUMINAÇÃO" hidden="1">{#N/A,#N/A,FALSE,"ANEXO3 99 ERA";#N/A,#N/A,FALSE,"ANEXO3 99 UBÁ2";#N/A,#N/A,FALSE,"ANEXO3 99 DTU";#N/A,#N/A,FALSE,"ANEXO3 99 RDR";#N/A,#N/A,FALSE,"ANEXO3 99 UBÁ4";#N/A,#N/A,FALSE,"ANEXO3 99 UBÁ6"}</definedName>
    <definedName name="Inflación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flació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TERP_INPUTS_FDNP" localSheetId="2">'TWO LANE HIGHWAY'!$BW$7</definedName>
    <definedName name="INTERP_INPUTS_FDNP">'Análise_SAVED '!$BW$7</definedName>
    <definedName name="INTERP_INPUTS_FNP" localSheetId="2">'TWO LANE HIGHWAY'!$BH$7</definedName>
    <definedName name="INTERP_INPUTS_FNP">'Análise_SAVED '!$BH$7</definedName>
    <definedName name="INTERP_OUTPUTS_FDNP" localSheetId="2">'TWO LANE HIGHWAY'!$BW$8</definedName>
    <definedName name="INTERP_OUTPUTS_FDNP">'Análise_SAVED '!$BW$8</definedName>
    <definedName name="INTERP_OUTPUTS_FNP" localSheetId="2">'TWO LANE HIGHWAY'!$BH$8</definedName>
    <definedName name="INTERP_OUTPUTS_FNP">'Análise_SAVED '!$BH$8</definedName>
    <definedName name="inv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ón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ó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es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Q_ACCOUNT_CHANGE" hidden="1">"c1449"</definedName>
    <definedName name="IQ_ACCOUNTING_STANDARD" hidden="1">"c4539"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DUSTRY_REC_NO" hidden="1">"c4454"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OUTSTANDING_CURRENT_EST" hidden="1">"c4128"</definedName>
    <definedName name="IQ_BASIC_OUTSTANDING_CURRENT_HIGH_EST" hidden="1">"c4129"</definedName>
    <definedName name="IQ_BASIC_OUTSTANDING_CURRENT_LOW_EST" hidden="1">"c4130"</definedName>
    <definedName name="IQ_BASIC_OUTSTANDING_CURRENT_MEDIAN_EST" hidden="1">"c4131"</definedName>
    <definedName name="IQ_BASIC_OUTSTANDING_CURRENT_NUM_EST" hidden="1">"c4132"</definedName>
    <definedName name="IQ_BASIC_OUTSTANDING_CURRENT_STDDEV_EST" hidden="1">"c4133"</definedName>
    <definedName name="IQ_BASIC_OUTSTANDING_EST" hidden="1">"c4134"</definedName>
    <definedName name="IQ_BASIC_OUTSTANDING_HIGH_EST" hidden="1">"c4135"</definedName>
    <definedName name="IQ_BASIC_OUTSTANDING_LOW_EST" hidden="1">"c4136"</definedName>
    <definedName name="IQ_BASIC_OUTSTANDING_MEDIAN_EST" hidden="1">"c4137"</definedName>
    <definedName name="IQ_BASIC_OUTSTANDING_NUM_EST" hidden="1">"c4138"</definedName>
    <definedName name="IQ_BASIC_OUTSTANDING_STDDEV_EST" hidden="1">"c4139"</definedName>
    <definedName name="IQ_BASIC_WEIGHT" hidden="1">"c87"</definedName>
    <definedName name="IQ_BASIC_WEIGHT_EST" hidden="1">"c4140"</definedName>
    <definedName name="IQ_BASIC_WEIGHT_GUIDANCE" hidden="1">"c4141"</definedName>
    <definedName name="IQ_BASIC_WEIGHT_HIGH_EST" hidden="1">"c4142"</definedName>
    <definedName name="IQ_BASIC_WEIGHT_LOW_EST" hidden="1">"c4143"</definedName>
    <definedName name="IQ_BASIC_WEIGHT_MEDIAN_EST" hidden="1">"c4144"</definedName>
    <definedName name="IQ_BASIC_WEIGHT_NUM_EST" hidden="1">"c4145"</definedName>
    <definedName name="IQ_BASIC_WEIGHT_STDDEV_EST" hidden="1">"c4146"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ACT_OR_EST_REUT" hidden="1">"c5471"</definedName>
    <definedName name="IQ_BV_EST_REUT" hidden="1">"c5403"</definedName>
    <definedName name="IQ_BV_HIGH_EST_REUT" hidden="1">"c5405"</definedName>
    <definedName name="IQ_BV_LOW_EST_REUT" hidden="1">"c5406"</definedName>
    <definedName name="IQ_BV_MEDIAN_EST_REUT" hidden="1">"c5404"</definedName>
    <definedName name="IQ_BV_NUM_EST_REUT" hidden="1">"c5407"</definedName>
    <definedName name="IQ_BV_OVER_SHARES" hidden="1">"c1349"</definedName>
    <definedName name="IQ_BV_SHARE" hidden="1">"c100"</definedName>
    <definedName name="IQ_BV_SHARE_ACT_OR_EST" hidden="1">"c3587"</definedName>
    <definedName name="IQ_BV_SHARE_ACT_OR_EST_REUT" hidden="1">"c5477"</definedName>
    <definedName name="IQ_BV_SHARE_EST" hidden="1">"c3541"</definedName>
    <definedName name="IQ_BV_SHARE_EST_REUT" hidden="1">"c5439"</definedName>
    <definedName name="IQ_BV_SHARE_HIGH_EST" hidden="1">"c3542"</definedName>
    <definedName name="IQ_BV_SHARE_HIGH_EST_REUT" hidden="1">"c5441"</definedName>
    <definedName name="IQ_BV_SHARE_LOW_EST" hidden="1">"c3543"</definedName>
    <definedName name="IQ_BV_SHARE_LOW_EST_REUT" hidden="1">"c5442"</definedName>
    <definedName name="IQ_BV_SHARE_MEDIAN_EST" hidden="1">"c3544"</definedName>
    <definedName name="IQ_BV_SHARE_MEDIAN_EST_REUT" hidden="1">"c5440"</definedName>
    <definedName name="IQ_BV_SHARE_NUM_EST" hidden="1">"c3539"</definedName>
    <definedName name="IQ_BV_SHARE_NUM_EST_REUT" hidden="1">"c5443"</definedName>
    <definedName name="IQ_BV_SHARE_STDDEV_EST" hidden="1">"c3540"</definedName>
    <definedName name="IQ_BV_SHARE_STDDEV_EST_REUT" hidden="1">"c5444"</definedName>
    <definedName name="IQ_BV_STDDEV_EST_REUT" hidden="1">"c5408"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REUT" hidden="1">"c5474"</definedName>
    <definedName name="IQ_CAPEX_BNK" hidden="1">"c110"</definedName>
    <definedName name="IQ_CAPEX_BR" hidden="1">"c111"</definedName>
    <definedName name="IQ_CAPEX_EST" hidden="1">"c3523"</definedName>
    <definedName name="IQ_CAPEX_EST_REUT" hidden="1">"c3969"</definedName>
    <definedName name="IQ_CAPEX_FIN" hidden="1">"c112"</definedName>
    <definedName name="IQ_CAPEX_GUIDANCE" hidden="1">"c4150"</definedName>
    <definedName name="IQ_CAPEX_HIGH_EST" hidden="1">"c3524"</definedName>
    <definedName name="IQ_CAPEX_HIGH_EST_REUT" hidden="1">"c3971"</definedName>
    <definedName name="IQ_CAPEX_HIGH_GUIDANCE" hidden="1">"c4180"</definedName>
    <definedName name="IQ_CAPEX_INS" hidden="1">"c113"</definedName>
    <definedName name="IQ_CAPEX_LOW_EST" hidden="1">"c3525"</definedName>
    <definedName name="IQ_CAPEX_LOW_EST_REUT" hidden="1">"c3972"</definedName>
    <definedName name="IQ_CAPEX_LOW_GUIDANCE" hidden="1">"c4220"</definedName>
    <definedName name="IQ_CAPEX_MEDIAN_EST" hidden="1">"c3526"</definedName>
    <definedName name="IQ_CAPEX_MEDIAN_EST_REUT" hidden="1">"c3970"</definedName>
    <definedName name="IQ_CAPEX_NUM_EST" hidden="1">"c3521"</definedName>
    <definedName name="IQ_CAPEX_NUM_EST_REUT" hidden="1">"c3973"</definedName>
    <definedName name="IQ_CAPEX_STDDEV_EST" hidden="1">"c3522"</definedName>
    <definedName name="IQ_CAPEX_STDDEV_EST_REUT" hidden="1">"c3974"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FLOW_EST" hidden="1">"c4153"</definedName>
    <definedName name="IQ_CASH_FLOW_GUIDANCE" hidden="1">"c4155"</definedName>
    <definedName name="IQ_CASH_FLOW_HIGH_EST" hidden="1">"c4156"</definedName>
    <definedName name="IQ_CASH_FLOW_HIGH_GUIDANCE" hidden="1">"c4201"</definedName>
    <definedName name="IQ_CASH_FLOW_LOW_EST" hidden="1">"c4157"</definedName>
    <definedName name="IQ_CASH_FLOW_LOW_GUIDANCE" hidden="1">"c4241"</definedName>
    <definedName name="IQ_CASH_FLOW_MEDIAN_EST" hidden="1">"c4158"</definedName>
    <definedName name="IQ_CASH_FLOW_NUM_EST" hidden="1">"c4159"</definedName>
    <definedName name="IQ_CASH_FLOW_STDDEV_EST" hidden="1">"c4160"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OPER_EST" hidden="1">"c4163"</definedName>
    <definedName name="IQ_CASH_OPER_GUIDANCE" hidden="1">"c4165"</definedName>
    <definedName name="IQ_CASH_OPER_HIGH_EST" hidden="1">"c4166"</definedName>
    <definedName name="IQ_CASH_OPER_HIGH_GUIDANCE" hidden="1">"c4185"</definedName>
    <definedName name="IQ_CASH_OPER_LOW_EST" hidden="1">"c4244"</definedName>
    <definedName name="IQ_CASH_OPER_LOW_GUIDANCE" hidden="1">"c4225"</definedName>
    <definedName name="IQ_CASH_OPER_MEDIAN_EST" hidden="1">"c4245"</definedName>
    <definedName name="IQ_CASH_OPER_NUM_EST" hidden="1">"c4246"</definedName>
    <definedName name="IQ_CASH_OPER_STDDEV_EST" hidden="1">"c4247"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ST_INVEST_EST" hidden="1">"c4249"</definedName>
    <definedName name="IQ_CASH_ST_INVEST_GUIDANCE" hidden="1">"c4250"</definedName>
    <definedName name="IQ_CASH_ST_INVEST_HIGH_EST" hidden="1">"c4251"</definedName>
    <definedName name="IQ_CASH_ST_INVEST_HIGH_GUIDANCE" hidden="1">"c4195"</definedName>
    <definedName name="IQ_CASH_ST_INVEST_LOW_EST" hidden="1">"c4252"</definedName>
    <definedName name="IQ_CASH_ST_INVEST_LOW_GUIDANCE" hidden="1">"c4235"</definedName>
    <definedName name="IQ_CASH_ST_INVEST_MEDIAN_EST" hidden="1">"c4253"</definedName>
    <definedName name="IQ_CASH_ST_INVEST_NUM_EST" hidden="1">"c4254"</definedName>
    <definedName name="IQ_CASH_ST_INVEST_STDDEV_EST" hidden="1">"c4255"</definedName>
    <definedName name="IQ_CASH_TAXES" hidden="1">"c125"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ACT_OR_EST_REUT" hidden="1">"c5463"</definedName>
    <definedName name="IQ_CFPS_EST" hidden="1">"c1667"</definedName>
    <definedName name="IQ_CFPS_EST_REUT" hidden="1">"c3844"</definedName>
    <definedName name="IQ_CFPS_GUIDANCE" hidden="1">"c4256"</definedName>
    <definedName name="IQ_CFPS_HIGH_EST" hidden="1">"c1669"</definedName>
    <definedName name="IQ_CFPS_HIGH_EST_REUT" hidden="1">"c3846"</definedName>
    <definedName name="IQ_CFPS_HIGH_GUIDANCE" hidden="1">"c4167"</definedName>
    <definedName name="IQ_CFPS_LOW_EST" hidden="1">"c1670"</definedName>
    <definedName name="IQ_CFPS_LOW_EST_REUT" hidden="1">"c3847"</definedName>
    <definedName name="IQ_CFPS_LOW_GUIDANCE" hidden="1">"c4207"</definedName>
    <definedName name="IQ_CFPS_MEDIAN_EST" hidden="1">"c1668"</definedName>
    <definedName name="IQ_CFPS_MEDIAN_EST_REUT" hidden="1">"c3845"</definedName>
    <definedName name="IQ_CFPS_NUM_EST" hidden="1">"c1671"</definedName>
    <definedName name="IQ_CFPS_NUM_EST_REUT" hidden="1">"c3848"</definedName>
    <definedName name="IQ_CFPS_STDDEV_EST" hidden="1">"c1672"</definedName>
    <definedName name="IQ_CFPS_STDDEV_EST_REUT" hidden="1">"c3849"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TY_EST" hidden="1">"c4257"</definedName>
    <definedName name="IQ_DEBT_EQUITY_HIGH_EST" hidden="1">"c4258"</definedName>
    <definedName name="IQ_DEBT_EQUITY_LOW_EST" hidden="1">"c4259"</definedName>
    <definedName name="IQ_DEBT_EQUITY_MEDIAN_EST" hidden="1">"c4260"</definedName>
    <definedName name="IQ_DEBT_EQUITY_NUM_EST" hidden="1">"c4261"</definedName>
    <definedName name="IQ_DEBT_EQUITY_STDDEV_EST" hidden="1">"c4262"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FF_LASTCLOSE_TARGET_PRICE_REUT" hidden="1">"c5436"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HIGH_EST" hidden="1">"c4264"</definedName>
    <definedName name="IQ_DILUT_OUTSTANDING_CURRENT_LOW_EST" hidden="1">"c4265"</definedName>
    <definedName name="IQ_DILUT_OUTSTANDING_CURRENT_MEDIAN_EST" hidden="1">"c4266"</definedName>
    <definedName name="IQ_DILUT_OUTSTANDING_CURRENT_NUM_EST" hidden="1">"c4267"</definedName>
    <definedName name="IQ_DILUT_OUTSTANDING_CURRENT_STDDEV_EST" hidden="1">"c4268"</definedName>
    <definedName name="IQ_DILUT_WEIGHT" hidden="1">"c326"</definedName>
    <definedName name="IQ_DILUT_WEIGHT_EST" hidden="1">"c4269"</definedName>
    <definedName name="IQ_DILUT_WEIGHT_GUIDANCE" hidden="1">"c4270"</definedName>
    <definedName name="IQ_DILUT_WEIGHT_HIGH_EST" hidden="1">"c4271"</definedName>
    <definedName name="IQ_DILUT_WEIGHT_LOW_EST" hidden="1">"c4272"</definedName>
    <definedName name="IQ_DILUT_WEIGHT_MEDIAN_EST" hidden="1">"c4273"</definedName>
    <definedName name="IQ_DILUT_WEIGHT_NUM_EST" hidden="1">"c4274"</definedName>
    <definedName name="IQ_DILUT_WEIGHT_STDDEV_EST" hidden="1">"c4275"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EST" hidden="1">"c4277"</definedName>
    <definedName name="IQ_DISTRIBUTABLE_CASH_GUIDANCE" hidden="1">"c4279"</definedName>
    <definedName name="IQ_DISTRIBUTABLE_CASH_HIGH_EST" hidden="1">"c4280"</definedName>
    <definedName name="IQ_DISTRIBUTABLE_CASH_HIGH_GUIDANCE" hidden="1">"c4198"</definedName>
    <definedName name="IQ_DISTRIBUTABLE_CASH_LOW_EST" hidden="1">"c4281"</definedName>
    <definedName name="IQ_DISTRIBUTABLE_CASH_LOW_GUIDANCE" hidden="1">"c4238"</definedName>
    <definedName name="IQ_DISTRIBUTABLE_CASH_MEDIAN_EST" hidden="1">"c4282"</definedName>
    <definedName name="IQ_DISTRIBUTABLE_CASH_NUM_EST" hidden="1">"c4283"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STRIBUTABLE_CASH_SHARE_EST" hidden="1">"c4285"</definedName>
    <definedName name="IQ_DISTRIBUTABLE_CASH_SHARE_GUIDANCE" hidden="1">"c4287"</definedName>
    <definedName name="IQ_DISTRIBUTABLE_CASH_SHARE_HIGH_EST" hidden="1">"c4288"</definedName>
    <definedName name="IQ_DISTRIBUTABLE_CASH_SHARE_HIGH_GUIDANCE" hidden="1">"c4199"</definedName>
    <definedName name="IQ_DISTRIBUTABLE_CASH_SHARE_LOW_EST" hidden="1">"c4289"</definedName>
    <definedName name="IQ_DISTRIBUTABLE_CASH_SHARE_LOW_GUIDANCE" hidden="1">"c4239"</definedName>
    <definedName name="IQ_DISTRIBUTABLE_CASH_SHARE_MEDIAN_EST" hidden="1">"c4290"</definedName>
    <definedName name="IQ_DISTRIBUTABLE_CASH_SHARE_NUM_EST" hidden="1">"c4291"</definedName>
    <definedName name="IQ_DISTRIBUTABLE_CASH_SHARE_STDDEV_EST" hidden="1">"c4292"</definedName>
    <definedName name="IQ_DISTRIBUTABLE_CASH_STDDEV_EST" hidden="1">"c4294"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EST" hidden="1">"c4296"</definedName>
    <definedName name="IQ_DIVIDEND_HIGH_EST" hidden="1">"c4297"</definedName>
    <definedName name="IQ_DIVIDEND_LOW_EST" hidden="1">"c4298"</definedName>
    <definedName name="IQ_DIVIDEND_MEDIAN_EST" hidden="1">"c4299"</definedName>
    <definedName name="IQ_DIVIDEND_NUM_EST" hidden="1">"c4300"</definedName>
    <definedName name="IQ_DIVIDEND_STDDEV_EST" hidden="1">"c4301"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REUT" hidden="1">"c5464"</definedName>
    <definedName name="IQ_DPS_EST" hidden="1">"c1674"</definedName>
    <definedName name="IQ_DPS_EST_BOTTOM_UP" hidden="1">"c5493"</definedName>
    <definedName name="IQ_DPS_EST_BOTTOM_UP_REUT" hidden="1">"c5501"</definedName>
    <definedName name="IQ_DPS_EST_REUT" hidden="1">"c3851"</definedName>
    <definedName name="IQ_DPS_GUIDANCE" hidden="1">"c4302"</definedName>
    <definedName name="IQ_DPS_HIGH_EST" hidden="1">"c1676"</definedName>
    <definedName name="IQ_DPS_HIGH_EST_REUT" hidden="1">"c3853"</definedName>
    <definedName name="IQ_DPS_HIGH_GUIDANCE" hidden="1">"c4168"</definedName>
    <definedName name="IQ_DPS_LOW_EST" hidden="1">"c1677"</definedName>
    <definedName name="IQ_DPS_LOW_EST_REUT" hidden="1">"c3854"</definedName>
    <definedName name="IQ_DPS_LOW_GUIDANCE" hidden="1">"c4208"</definedName>
    <definedName name="IQ_DPS_MEDIAN_EST" hidden="1">"c1675"</definedName>
    <definedName name="IQ_DPS_MEDIAN_EST_REUT" hidden="1">"c3852"</definedName>
    <definedName name="IQ_DPS_NUM_EST" hidden="1">"c1678"</definedName>
    <definedName name="IQ_DPS_NUM_EST_REUT" hidden="1">"c3855"</definedName>
    <definedName name="IQ_DPS_STDDEV_EST" hidden="1">"c1679"</definedName>
    <definedName name="IQ_DPS_STDDEV_EST_REUT" hidden="1">"c3856"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REUT" hidden="1">"c5465"</definedName>
    <definedName name="IQ_EBIT_EQ_INC" hidden="1">"c3498"</definedName>
    <definedName name="IQ_EBIT_EQ_INC_EXCL_SBC" hidden="1">"c3502"</definedName>
    <definedName name="IQ_EBIT_EST" hidden="1">"c1681"</definedName>
    <definedName name="IQ_EBIT_EST_REUT" hidden="1">"c5333"</definedName>
    <definedName name="IQ_EBIT_EXCL_SBC" hidden="1">"c3082"</definedName>
    <definedName name="IQ_EBIT_GUIDANCE" hidden="1">"c4303"</definedName>
    <definedName name="IQ_EBIT_GW_ACT_OR_EST" hidden="1">"c4306"</definedName>
    <definedName name="IQ_EBIT_GW_EST" hidden="1">"c4305"</definedName>
    <definedName name="IQ_EBIT_GW_GUIDANCE" hidden="1">"c4307"</definedName>
    <definedName name="IQ_EBIT_GW_HIGH_EST" hidden="1">"c4308"</definedName>
    <definedName name="IQ_EBIT_GW_HIGH_GUIDANCE" hidden="1">"c4171"</definedName>
    <definedName name="IQ_EBIT_GW_LOW_EST" hidden="1">"c4309"</definedName>
    <definedName name="IQ_EBIT_GW_LOW_GUIDANCE" hidden="1">"c4211"</definedName>
    <definedName name="IQ_EBIT_GW_MEDIAN_EST" hidden="1">"c4310"</definedName>
    <definedName name="IQ_EBIT_GW_NUM_EST" hidden="1">"c4311"</definedName>
    <definedName name="IQ_EBIT_GW_STDDEV_EST" hidden="1">"c4312"</definedName>
    <definedName name="IQ_EBIT_HIGH_EST" hidden="1">"c1683"</definedName>
    <definedName name="IQ_EBIT_HIGH_EST_REUT" hidden="1">"c5335"</definedName>
    <definedName name="IQ_EBIT_HIGH_GUIDANCE" hidden="1">"c4172"</definedName>
    <definedName name="IQ_EBIT_INT" hidden="1">"c360"</definedName>
    <definedName name="IQ_EBIT_LOW_EST" hidden="1">"c1684"</definedName>
    <definedName name="IQ_EBIT_LOW_EST_REUT" hidden="1">"c5336"</definedName>
    <definedName name="IQ_EBIT_LOW_GUIDANCE" hidden="1">"c4212"</definedName>
    <definedName name="IQ_EBIT_MARGIN" hidden="1">"c359"</definedName>
    <definedName name="IQ_EBIT_MEDIAN_EST" hidden="1">"c1682"</definedName>
    <definedName name="IQ_EBIT_MEDIAN_EST_REUT" hidden="1">"c5334"</definedName>
    <definedName name="IQ_EBIT_NUM_EST" hidden="1">"c1685"</definedName>
    <definedName name="IQ_EBIT_NUM_EST_REUT" hidden="1">"c5337"</definedName>
    <definedName name="IQ_EBIT_OVER_IE" hidden="1">"c1369"</definedName>
    <definedName name="IQ_EBIT_SBC_ACT_OR_EST" hidden="1">"c4316"</definedName>
    <definedName name="IQ_EBIT_SBC_EST" hidden="1">"c4315"</definedName>
    <definedName name="IQ_EBIT_SBC_GUIDANCE" hidden="1">"c4317"</definedName>
    <definedName name="IQ_EBIT_SBC_GW_ACT_OR_EST" hidden="1">"c4320"</definedName>
    <definedName name="IQ_EBIT_SBC_GW_EST" hidden="1">"c4319"</definedName>
    <definedName name="IQ_EBIT_SBC_GW_GUIDANCE" hidden="1">"c4321"</definedName>
    <definedName name="IQ_EBIT_SBC_GW_HIGH_EST" hidden="1">"c4322"</definedName>
    <definedName name="IQ_EBIT_SBC_GW_HIGH_GUIDANCE" hidden="1">"c4193"</definedName>
    <definedName name="IQ_EBIT_SBC_GW_LOW_EST" hidden="1">"c4323"</definedName>
    <definedName name="IQ_EBIT_SBC_GW_LOW_GUIDANCE" hidden="1">"c4233"</definedName>
    <definedName name="IQ_EBIT_SBC_GW_MEDIAN_EST" hidden="1">"c4324"</definedName>
    <definedName name="IQ_EBIT_SBC_GW_NUM_EST" hidden="1">"c4325"</definedName>
    <definedName name="IQ_EBIT_SBC_GW_STDDEV_EST" hidden="1">"c4326"</definedName>
    <definedName name="IQ_EBIT_SBC_HIGH_EST" hidden="1">"c4328"</definedName>
    <definedName name="IQ_EBIT_SBC_HIGH_GUIDANCE" hidden="1">"c4192"</definedName>
    <definedName name="IQ_EBIT_SBC_LOW_EST" hidden="1">"c4329"</definedName>
    <definedName name="IQ_EBIT_SBC_LOW_GUIDANCE" hidden="1">"c4232"</definedName>
    <definedName name="IQ_EBIT_SBC_MEDIAN_EST" hidden="1">"c4330"</definedName>
    <definedName name="IQ_EBIT_SBC_NUM_EST" hidden="1">"c4331"</definedName>
    <definedName name="IQ_EBIT_SBC_STDDEV_EST" hidden="1">"c4332"</definedName>
    <definedName name="IQ_EBIT_STDDEV_EST" hidden="1">"c1686"</definedName>
    <definedName name="IQ_EBIT_STDDEV_EST_REUT" hidden="1">"c5338"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REUT" hidden="1">"c5462"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GUIDANCE" hidden="1">"c4334"</definedName>
    <definedName name="IQ_EBITDA_HIGH_EST" hidden="1">"c370"</definedName>
    <definedName name="IQ_EBITDA_HIGH_EST_REUT" hidden="1">"c3642"</definedName>
    <definedName name="IQ_EBITDA_HIGH_GUIDANCE" hidden="1">"c4170"</definedName>
    <definedName name="IQ_EBITDA_INT" hidden="1">"c373"</definedName>
    <definedName name="IQ_EBITDA_LOW_EST" hidden="1">"c371"</definedName>
    <definedName name="IQ_EBITDA_LOW_EST_REUT" hidden="1">"c3643"</definedName>
    <definedName name="IQ_EBITDA_LOW_GUIDANCE" hidden="1">"c4210"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BC_EST" hidden="1">"c4336"</definedName>
    <definedName name="IQ_EBITDA_SBC_GUIDANCE" hidden="1">"c4338"</definedName>
    <definedName name="IQ_EBITDA_SBC_HIGH_EST" hidden="1">"c4339"</definedName>
    <definedName name="IQ_EBITDA_SBC_HIGH_GUIDANCE" hidden="1">"c4194"</definedName>
    <definedName name="IQ_EBITDA_SBC_LOW_EST" hidden="1">"c4340"</definedName>
    <definedName name="IQ_EBITDA_SBC_LOW_GUIDANCE" hidden="1">"c4234"</definedName>
    <definedName name="IQ_EBITDA_SBC_MEDIAN_EST" hidden="1">"c4341"</definedName>
    <definedName name="IQ_EBITDA_SBC_NUM_EST" hidden="1">"c4342"</definedName>
    <definedName name="IQ_EBITDA_SBC_STDDEV_EST" hidden="1">"c4343"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GAAP_GUIDANCE" hidden="1">"c4345"</definedName>
    <definedName name="IQ_EBT_GAAP_HIGH_GUIDANCE" hidden="1">"c4174"</definedName>
    <definedName name="IQ_EBT_GAAP_LOW_GUIDANCE" hidden="1">"c4214"</definedName>
    <definedName name="IQ_EBT_GUIDANCE" hidden="1">"c4346"</definedName>
    <definedName name="IQ_EBT_GW_GUIDANCE" hidden="1">"c4347"</definedName>
    <definedName name="IQ_EBT_GW_HIGH_GUIDANCE" hidden="1">"c4175"</definedName>
    <definedName name="IQ_EBT_GW_LOW_GUIDANCE" hidden="1">"c4215"</definedName>
    <definedName name="IQ_EBT_HIGH_GUIDANCE" hidden="1">"c4173"</definedName>
    <definedName name="IQ_EBT_INCL_MARGIN" hidden="1">"c387"</definedName>
    <definedName name="IQ_EBT_INS" hidden="1">"c388"</definedName>
    <definedName name="IQ_EBT_LOW_GUIDANCE" hidden="1">"c4213"</definedName>
    <definedName name="IQ_EBT_RE" hidden="1">"c6215"</definedName>
    <definedName name="IQ_EBT_REIT" hidden="1">"c389"</definedName>
    <definedName name="IQ_EBT_SBC_ACT_OR_EST" hidden="1">"c4350"</definedName>
    <definedName name="IQ_EBT_SBC_EST" hidden="1">"c4349"</definedName>
    <definedName name="IQ_EBT_SBC_GUIDANCE" hidden="1">"c4351"</definedName>
    <definedName name="IQ_EBT_SBC_GW_ACT_OR_EST" hidden="1">"c4354"</definedName>
    <definedName name="IQ_EBT_SBC_GW_EST" hidden="1">"c4353"</definedName>
    <definedName name="IQ_EBT_SBC_GW_GUIDANCE" hidden="1">"c4355"</definedName>
    <definedName name="IQ_EBT_SBC_GW_HIGH_EST" hidden="1">"c4356"</definedName>
    <definedName name="IQ_EBT_SBC_GW_HIGH_GUIDANCE" hidden="1">"c4191"</definedName>
    <definedName name="IQ_EBT_SBC_GW_LOW_EST" hidden="1">"c4357"</definedName>
    <definedName name="IQ_EBT_SBC_GW_LOW_GUIDANCE" hidden="1">"c4231"</definedName>
    <definedName name="IQ_EBT_SBC_GW_MEDIAN_EST" hidden="1">"c4358"</definedName>
    <definedName name="IQ_EBT_SBC_GW_NUM_EST" hidden="1">"c4359"</definedName>
    <definedName name="IQ_EBT_SBC_GW_STDDEV_EST" hidden="1">"c4360"</definedName>
    <definedName name="IQ_EBT_SBC_HIGH_EST" hidden="1">"c4362"</definedName>
    <definedName name="IQ_EBT_SBC_HIGH_GUIDANCE" hidden="1">"c4190"</definedName>
    <definedName name="IQ_EBT_SBC_LOW_EST" hidden="1">"c4363"</definedName>
    <definedName name="IQ_EBT_SBC_LOW_GUIDANCE" hidden="1">"c4230"</definedName>
    <definedName name="IQ_EBT_SBC_MEDIAN_EST" hidden="1">"c4364"</definedName>
    <definedName name="IQ_EBT_SBC_NUM_EST" hidden="1">"c4365"</definedName>
    <definedName name="IQ_EBT_SBC_STDDEV_EST" hidden="1">"c4366"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REUT" hidden="1">"c5460"</definedName>
    <definedName name="IQ_EPS_EST" hidden="1">"c399"</definedName>
    <definedName name="IQ_EPS_EST_BOTTOM_UP" hidden="1">"c5489"</definedName>
    <definedName name="IQ_EPS_EST_BOTTOM_UP_REUT" hidden="1">"c5497"</definedName>
    <definedName name="IQ_EPS_EST_REUT" hidden="1">"c5453"</definedName>
    <definedName name="IQ_EPS_EXCL_GUIDANCE" hidden="1">"c4368"</definedName>
    <definedName name="IQ_EPS_EXCL_HIGH_GUIDANCE" hidden="1">"c4369"</definedName>
    <definedName name="IQ_EPS_EXCL_LOW_GUIDANCE" hidden="1">"c4204"</definedName>
    <definedName name="IQ_EPS_GAAP_GUIDANCE" hidden="1">"c4370"</definedName>
    <definedName name="IQ_EPS_GAAP_HIGH_GUIDANCE" hidden="1">"c4371"</definedName>
    <definedName name="IQ_EPS_GAAP_LOW_GUIDANCE" hidden="1">"c4205"</definedName>
    <definedName name="IQ_EPS_GW_ACT_OR_EST" hidden="1">"c2223"</definedName>
    <definedName name="IQ_EPS_GW_ACT_OR_EST_REUT" hidden="1">"c5469"</definedName>
    <definedName name="IQ_EPS_GW_EST" hidden="1">"c1737"</definedName>
    <definedName name="IQ_EPS_GW_EST_BOTTOM_UP" hidden="1">"c5491"</definedName>
    <definedName name="IQ_EPS_GW_EST_BOTTOM_UP_REUT" hidden="1">"c5499"</definedName>
    <definedName name="IQ_EPS_GW_EST_REUT" hidden="1">"c5389"</definedName>
    <definedName name="IQ_EPS_GW_GUIDANCE" hidden="1">"c4372"</definedName>
    <definedName name="IQ_EPS_GW_HIGH_EST" hidden="1">"c1739"</definedName>
    <definedName name="IQ_EPS_GW_HIGH_EST_REUT" hidden="1">"c5391"</definedName>
    <definedName name="IQ_EPS_GW_HIGH_GUIDANCE" hidden="1">"c4373"</definedName>
    <definedName name="IQ_EPS_GW_LOW_EST" hidden="1">"c1740"</definedName>
    <definedName name="IQ_EPS_GW_LOW_EST_REUT" hidden="1">"c5392"</definedName>
    <definedName name="IQ_EPS_GW_LOW_GUIDANCE" hidden="1">"c4206"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BOTTOM_UP" hidden="1">"c5490"</definedName>
    <definedName name="IQ_EPS_NORM_EST_BOTTOM_UP_REUT" hidden="1">"c5498"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_ACT_OR_EST_REUT" hidden="1">"c5470"</definedName>
    <definedName name="IQ_EPS_REPORTED_EST" hidden="1">"c1744"</definedName>
    <definedName name="IQ_EPS_REPORTED_EST_BOTTOM_UP" hidden="1">"c5492"</definedName>
    <definedName name="IQ_EPS_REPORTED_EST_BOTTOM_UP_REUT" hidden="1">"c5500"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EST" hidden="1">"c4375"</definedName>
    <definedName name="IQ_EPS_SBC_GUIDANCE" hidden="1">"c4377"</definedName>
    <definedName name="IQ_EPS_SBC_GW_ACT_OR_EST" hidden="1">"c4380"</definedName>
    <definedName name="IQ_EPS_SBC_GW_EST" hidden="1">"c4379"</definedName>
    <definedName name="IQ_EPS_SBC_GW_GUIDANCE" hidden="1">"c4381"</definedName>
    <definedName name="IQ_EPS_SBC_GW_HIGH_EST" hidden="1">"c4382"</definedName>
    <definedName name="IQ_EPS_SBC_GW_HIGH_GUIDANCE" hidden="1">"c4189"</definedName>
    <definedName name="IQ_EPS_SBC_GW_LOW_EST" hidden="1">"c4383"</definedName>
    <definedName name="IQ_EPS_SBC_GW_LOW_GUIDANCE" hidden="1">"c4229"</definedName>
    <definedName name="IQ_EPS_SBC_GW_MEDIAN_EST" hidden="1">"c4384"</definedName>
    <definedName name="IQ_EPS_SBC_GW_NUM_EST" hidden="1">"c4385"</definedName>
    <definedName name="IQ_EPS_SBC_GW_STDDEV_EST" hidden="1">"c4386"</definedName>
    <definedName name="IQ_EPS_SBC_HIGH_EST" hidden="1">"c4388"</definedName>
    <definedName name="IQ_EPS_SBC_HIGH_GUIDANCE" hidden="1">"c4188"</definedName>
    <definedName name="IQ_EPS_SBC_LOW_EST" hidden="1">"c4389"</definedName>
    <definedName name="IQ_EPS_SBC_LOW_GUIDANCE" hidden="1">"c4228"</definedName>
    <definedName name="IQ_EPS_SBC_MEDIAN_EST" hidden="1">"c4390"</definedName>
    <definedName name="IQ_EPS_SBC_NUM_EST" hidden="1">"c4391"</definedName>
    <definedName name="IQ_EPS_SBC_STDDEV_EST" hidden="1">"c4392"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BV_REUT" hidden="1">"c5409"</definedName>
    <definedName name="IQ_EST_ACT_BV_SHARE" hidden="1">"c3549"</definedName>
    <definedName name="IQ_EST_ACT_BV_SHARE_REUT" hidden="1">"c5445"</definedName>
    <definedName name="IQ_EST_ACT_CAPEX" hidden="1">"c3546"</definedName>
    <definedName name="IQ_EST_ACT_CAPEX_REUT" hidden="1">"c3975"</definedName>
    <definedName name="IQ_EST_ACT_CASH_FLOW" hidden="1">"c4394"</definedName>
    <definedName name="IQ_EST_ACT_CASH_OPER" hidden="1">"c4395"</definedName>
    <definedName name="IQ_EST_ACT_CFPS" hidden="1">"c1673"</definedName>
    <definedName name="IQ_EST_ACT_CFPS_REUT" hidden="1">"c3850"</definedName>
    <definedName name="IQ_EST_ACT_DISTRIBUTABLE_CASH" hidden="1">"c4396"</definedName>
    <definedName name="IQ_EST_ACT_DISTRIBUTABLE_CASH_SHARE" hidden="1">"c4397"</definedName>
    <definedName name="IQ_EST_ACT_DPS" hidden="1">"c1680"</definedName>
    <definedName name="IQ_EST_ACT_DPS_REUT" hidden="1">"c3857"</definedName>
    <definedName name="IQ_EST_ACT_EBIT" hidden="1">"c1687"</definedName>
    <definedName name="IQ_EST_ACT_EBIT_GW" hidden="1">"c4398"</definedName>
    <definedName name="IQ_EST_ACT_EBIT_REUT" hidden="1">"c5339"</definedName>
    <definedName name="IQ_EST_ACT_EBIT_SBC" hidden="1">"c4399"</definedName>
    <definedName name="IQ_EST_ACT_EBIT_SBC_GW" hidden="1">"c4400"</definedName>
    <definedName name="IQ_EST_ACT_EBITDA" hidden="1">"c1664"</definedName>
    <definedName name="IQ_EST_ACT_EBITDA_REUT" hidden="1">"c3836"</definedName>
    <definedName name="IQ_EST_ACT_EBITDA_SBC" hidden="1">"c4401"</definedName>
    <definedName name="IQ_EST_ACT_EBT_SBC" hidden="1">"c4402"</definedName>
    <definedName name="IQ_EST_ACT_EBT_SBC_GW" hidden="1">"c4403"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EPS_REUT" hidden="1">"c5457"</definedName>
    <definedName name="IQ_EST_ACT_EPS_SBC" hidden="1">"c4404"</definedName>
    <definedName name="IQ_EST_ACT_EPS_SBC_GW" hidden="1">"c4405"</definedName>
    <definedName name="IQ_EST_ACT_FFO" hidden="1">"c1666"</definedName>
    <definedName name="IQ_EST_ACT_FFO_ADJ" hidden="1">"c4406"</definedName>
    <definedName name="IQ_EST_ACT_FFO_REUT" hidden="1">"c3843"</definedName>
    <definedName name="IQ_EST_ACT_FFO_SHARE" hidden="1">"c4407"</definedName>
    <definedName name="IQ_EST_ACT_GROSS_MARGIN" hidden="1">"c5553"</definedName>
    <definedName name="IQ_EST_ACT_MAINT_CAPEX" hidden="1">"c4408"</definedName>
    <definedName name="IQ_EST_ACT_NAV" hidden="1">"c1757"</definedName>
    <definedName name="IQ_EST_ACT_NET_DEBT" hidden="1">"c3545"</definedName>
    <definedName name="IQ_EST_ACT_NET_DEBT_REUT" hidden="1">"c5446"</definedName>
    <definedName name="IQ_EST_ACT_NI" hidden="1">"c1722"</definedName>
    <definedName name="IQ_EST_ACT_NI_GW" hidden="1">"c1729"</definedName>
    <definedName name="IQ_EST_ACT_NI_GW_REUT" hidden="1">"c5381"</definedName>
    <definedName name="IQ_EST_ACT_NI_REPORTED" hidden="1">"c1736"</definedName>
    <definedName name="IQ_EST_ACT_NI_REPORTED_REUT" hidden="1">"c5388"</definedName>
    <definedName name="IQ_EST_ACT_NI_REUT" hidden="1">"c5374"</definedName>
    <definedName name="IQ_EST_ACT_NI_SBC" hidden="1">"c4409"</definedName>
    <definedName name="IQ_EST_ACT_NI_SBC_GW" hidden="1">"c4410"</definedName>
    <definedName name="IQ_EST_ACT_OPER_INC" hidden="1">"c1694"</definedName>
    <definedName name="IQ_EST_ACT_OPER_INC_REUT" hidden="1">"c5346"</definedName>
    <definedName name="IQ_EST_ACT_PRETAX_GW_INC" hidden="1">"c1708"</definedName>
    <definedName name="IQ_EST_ACT_PRETAX_GW_INC_REUT" hidden="1">"c5360"</definedName>
    <definedName name="IQ_EST_ACT_PRETAX_INC" hidden="1">"c1701"</definedName>
    <definedName name="IQ_EST_ACT_PRETAX_INC_REUT" hidden="1">"c5353"</definedName>
    <definedName name="IQ_EST_ACT_PRETAX_REPORT_INC" hidden="1">"c1715"</definedName>
    <definedName name="IQ_EST_ACT_PRETAX_REPORT_INC_REUT" hidden="1">"c5367"</definedName>
    <definedName name="IQ_EST_ACT_RECURRING_PROFIT" hidden="1">"c4411"</definedName>
    <definedName name="IQ_EST_ACT_RECURRING_PROFIT_SHARE" hidden="1">"c4412"</definedName>
    <definedName name="IQ_EST_ACT_RETURN_ASSETS" hidden="1">"c3547"</definedName>
    <definedName name="IQ_EST_ACT_RETURN_ASSETS_REUT" hidden="1">"c3996"</definedName>
    <definedName name="IQ_EST_ACT_RETURN_EQUITY" hidden="1">"c3548"</definedName>
    <definedName name="IQ_EST_ACT_RETURN_EQUITY_REUT" hidden="1">"c3989"</definedName>
    <definedName name="IQ_EST_ACT_REV" hidden="1">"c2113"</definedName>
    <definedName name="IQ_EST_ACT_REV_REUT" hidden="1">"c3835"</definedName>
    <definedName name="IQ_EST_BV_DIFF_REUT" hidden="1">"c5433"</definedName>
    <definedName name="IQ_EST_BV_SHARE_DIFF" hidden="1">"c4147"</definedName>
    <definedName name="IQ_EST_BV_SHARE_SURPRISE_PERCENT" hidden="1">"c4148"</definedName>
    <definedName name="IQ_EST_BV_SURPRISE_PERCENT_REUT" hidden="1">"c5434"</definedName>
    <definedName name="IQ_EST_CAPEX_DIFF" hidden="1">"c4149"</definedName>
    <definedName name="IQ_EST_CAPEX_GROWTH_1YR" hidden="1">"c3588"</definedName>
    <definedName name="IQ_EST_CAPEX_GROWTH_1YR_REUT" hidden="1">"c5447"</definedName>
    <definedName name="IQ_EST_CAPEX_GROWTH_2YR" hidden="1">"c3589"</definedName>
    <definedName name="IQ_EST_CAPEX_GROWTH_2YR_REUT" hidden="1">"c5448"</definedName>
    <definedName name="IQ_EST_CAPEX_GROWTH_Q_1YR" hidden="1">"c3590"</definedName>
    <definedName name="IQ_EST_CAPEX_GROWTH_Q_1YR_REUT" hidden="1">"c5449"</definedName>
    <definedName name="IQ_EST_CAPEX_SEQ_GROWTH_Q" hidden="1">"c3591"</definedName>
    <definedName name="IQ_EST_CAPEX_SEQ_GROWTH_Q_REUT" hidden="1">"c5450"</definedName>
    <definedName name="IQ_EST_CAPEX_SURPRISE_PERCENT" hidden="1">"c4151"</definedName>
    <definedName name="IQ_EST_CASH_FLOW_DIFF" hidden="1">"c4152"</definedName>
    <definedName name="IQ_EST_CASH_FLOW_SURPRISE_PERCENT" hidden="1">"c4161"</definedName>
    <definedName name="IQ_EST_CASH_OPER_DIFF" hidden="1">"c4162"</definedName>
    <definedName name="IQ_EST_CASH_OPER_SURPRISE_PERCENT" hidden="1">"c4248"</definedName>
    <definedName name="IQ_EST_CFPS_DIFF" hidden="1">"c1871"</definedName>
    <definedName name="IQ_EST_CFPS_DIFF_REUT" hidden="1">"c3892"</definedName>
    <definedName name="IQ_EST_CFPS_GROWTH_1YR" hidden="1">"c1774"</definedName>
    <definedName name="IQ_EST_CFPS_GROWTH_1YR_REUT" hidden="1">"c3878"</definedName>
    <definedName name="IQ_EST_CFPS_GROWTH_2YR" hidden="1">"c1775"</definedName>
    <definedName name="IQ_EST_CFPS_GROWTH_2YR_REUT" hidden="1">"c3879"</definedName>
    <definedName name="IQ_EST_CFPS_GROWTH_Q_1YR" hidden="1">"c1776"</definedName>
    <definedName name="IQ_EST_CFPS_GROWTH_Q_1YR_REUT" hidden="1">"c3880"</definedName>
    <definedName name="IQ_EST_CFPS_SEQ_GROWTH_Q" hidden="1">"c1777"</definedName>
    <definedName name="IQ_EST_CFPS_SEQ_GROWTH_Q_REUT" hidden="1">"c3881"</definedName>
    <definedName name="IQ_EST_CFPS_SURPRISE_PERCENT" hidden="1">"c1872"</definedName>
    <definedName name="IQ_EST_CFPS_SURPRISE_PERCENT_REUT" hidden="1">"c3893"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ISTRIBUTABLE_CASH_DIFF" hidden="1">"c4276"</definedName>
    <definedName name="IQ_EST_DISTRIBUTABLE_CASH_GROWTH_1YR" hidden="1">"c4413"</definedName>
    <definedName name="IQ_EST_DISTRIBUTABLE_CASH_GROWTH_2YR" hidden="1">"c4414"</definedName>
    <definedName name="IQ_EST_DISTRIBUTABLE_CASH_GROWTH_Q_1YR" hidden="1">"c4415"</definedName>
    <definedName name="IQ_EST_DISTRIBUTABLE_CASH_SEQ_GROWTH_Q" hidden="1">"c4416"</definedName>
    <definedName name="IQ_EST_DISTRIBUTABLE_CASH_SHARE_DIFF" hidden="1">"c4284"</definedName>
    <definedName name="IQ_EST_DISTRIBUTABLE_CASH_SHARE_GROWTH_1YR" hidden="1">"c4417"</definedName>
    <definedName name="IQ_EST_DISTRIBUTABLE_CASH_SHARE_GROWTH_2YR" hidden="1">"c4418"</definedName>
    <definedName name="IQ_EST_DISTRIBUTABLE_CASH_SHARE_GROWTH_Q_1YR" hidden="1">"c4419"</definedName>
    <definedName name="IQ_EST_DISTRIBUTABLE_CASH_SHARE_SEQ_GROWTH_Q" hidden="1">"c4420"</definedName>
    <definedName name="IQ_EST_DISTRIBUTABLE_CASH_SHARE_SURPRISE_PERCENT" hidden="1">"c4293"</definedName>
    <definedName name="IQ_EST_DISTRIBUTABLE_CASH_SURPRISE_PERCENT" hidden="1">"c4295"</definedName>
    <definedName name="IQ_EST_DPS_DIFF" hidden="1">"c1873"</definedName>
    <definedName name="IQ_EST_DPS_DIFF_REUT" hidden="1">"c3894"</definedName>
    <definedName name="IQ_EST_DPS_GROWTH_1YR" hidden="1">"c1778"</definedName>
    <definedName name="IQ_EST_DPS_GROWTH_1YR_REUT" hidden="1">"c3882"</definedName>
    <definedName name="IQ_EST_DPS_GROWTH_2YR" hidden="1">"c1779"</definedName>
    <definedName name="IQ_EST_DPS_GROWTH_2YR_REUT" hidden="1">"c3883"</definedName>
    <definedName name="IQ_EST_DPS_GROWTH_Q_1YR" hidden="1">"c1780"</definedName>
    <definedName name="IQ_EST_DPS_GROWTH_Q_1YR_REUT" hidden="1">"c3884"</definedName>
    <definedName name="IQ_EST_DPS_SEQ_GROWTH_Q" hidden="1">"c1781"</definedName>
    <definedName name="IQ_EST_DPS_SEQ_GROWTH_Q_REUT" hidden="1">"c3885"</definedName>
    <definedName name="IQ_EST_DPS_SURPRISE_PERCENT" hidden="1">"c1874"</definedName>
    <definedName name="IQ_EST_DPS_SURPRISE_PERCENT_REUT" hidden="1">"c3895"</definedName>
    <definedName name="IQ_EST_EBIT_DIFF" hidden="1">"c1875"</definedName>
    <definedName name="IQ_EST_EBIT_DIFF_REUT" hidden="1">"c5413"</definedName>
    <definedName name="IQ_EST_EBIT_GW_DIFF" hidden="1">"c4304"</definedName>
    <definedName name="IQ_EST_EBIT_GW_SURPRISE_PERCENT" hidden="1">"c4313"</definedName>
    <definedName name="IQ_EST_EBIT_SBC_DIFF" hidden="1">"c4314"</definedName>
    <definedName name="IQ_EST_EBIT_SBC_GW_DIFF" hidden="1">"c4318"</definedName>
    <definedName name="IQ_EST_EBIT_SBC_GW_SURPRISE_PERCENT" hidden="1">"c4327"</definedName>
    <definedName name="IQ_EST_EBIT_SBC_SURPRISE_PERCENT" hidden="1">"c4333"</definedName>
    <definedName name="IQ_EST_EBIT_SURPRISE_PERCENT" hidden="1">"c1876"</definedName>
    <definedName name="IQ_EST_EBIT_SURPRISE_PERCENT_REUT" hidden="1">"c5414"</definedName>
    <definedName name="IQ_EST_EBITDA_DIFF" hidden="1">"c1867"</definedName>
    <definedName name="IQ_EST_EBITDA_DIFF_REUT" hidden="1">"c3888"</definedName>
    <definedName name="IQ_EST_EBITDA_GROWTH_1YR" hidden="1">"c1766"</definedName>
    <definedName name="IQ_EST_EBITDA_GROWTH_1YR_REUT" hidden="1">"c3864"</definedName>
    <definedName name="IQ_EST_EBITDA_GROWTH_2YR" hidden="1">"c1767"</definedName>
    <definedName name="IQ_EST_EBITDA_GROWTH_2YR_REUT" hidden="1">"c3865"</definedName>
    <definedName name="IQ_EST_EBITDA_GROWTH_Q_1YR" hidden="1">"c1768"</definedName>
    <definedName name="IQ_EST_EBITDA_GROWTH_Q_1YR_REUT" hidden="1">"c3866"</definedName>
    <definedName name="IQ_EST_EBITDA_SBC_DIFF" hidden="1">"c4335"</definedName>
    <definedName name="IQ_EST_EBITDA_SBC_SURPRISE_PERCENT" hidden="1">"c4344"</definedName>
    <definedName name="IQ_EST_EBITDA_SEQ_GROWTH_Q" hidden="1">"c1769"</definedName>
    <definedName name="IQ_EST_EBITDA_SEQ_GROWTH_Q_REUT" hidden="1">"c3867"</definedName>
    <definedName name="IQ_EST_EBITDA_SURPRISE_PERCENT" hidden="1">"c1868"</definedName>
    <definedName name="IQ_EST_EBITDA_SURPRISE_PERCENT_REUT" hidden="1">"c3889"</definedName>
    <definedName name="IQ_EST_EBT_SBC_DIFF" hidden="1">"c4348"</definedName>
    <definedName name="IQ_EST_EBT_SBC_GW_DIFF" hidden="1">"c4352"</definedName>
    <definedName name="IQ_EST_EBT_SBC_GW_SURPRISE_PERCENT" hidden="1">"c4361"</definedName>
    <definedName name="IQ_EST_EBT_SBC_SURPRISE_PERCENT" hidden="1">"c4367"</definedName>
    <definedName name="IQ_EST_EPS_DIFF" hidden="1">"c1864"</definedName>
    <definedName name="IQ_EST_EPS_DIFF_REUT" hidden="1">"c5458"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2YR_REUT" hidden="1">"c3858"</definedName>
    <definedName name="IQ_EST_EPS_GROWTH_5YR" hidden="1">"c1655"</definedName>
    <definedName name="IQ_EST_EPS_GROWTH_5YR_BOTTOM_UP" hidden="1">"c5487"</definedName>
    <definedName name="IQ_EST_EPS_GROWTH_5YR_BOTTOM_UP_REUT" hidden="1">"c5495"</definedName>
    <definedName name="IQ_EST_EPS_GROWTH_5YR_HIGH" hidden="1">"c1657"</definedName>
    <definedName name="IQ_EST_EPS_GROWTH_5YR_HIGH_REUT" hidden="1">"c5322"</definedName>
    <definedName name="IQ_EST_EPS_GROWTH_5YR_LOW" hidden="1">"c1658"</definedName>
    <definedName name="IQ_EST_EPS_GROWTH_5YR_LOW_REUT" hidden="1">"c5323"</definedName>
    <definedName name="IQ_EST_EPS_GROWTH_5YR_MEDIAN" hidden="1">"c1656"</definedName>
    <definedName name="IQ_EST_EPS_GROWTH_5YR_MEDIAN_REUT" hidden="1">"c5321"</definedName>
    <definedName name="IQ_EST_EPS_GROWTH_5YR_NUM" hidden="1">"c1659"</definedName>
    <definedName name="IQ_EST_EPS_GROWTH_5YR_NUM_REUT" hidden="1">"c5324"</definedName>
    <definedName name="IQ_EST_EPS_GROWTH_5YR_REUT" hidden="1">"c3633"</definedName>
    <definedName name="IQ_EST_EPS_GROWTH_5YR_STDDEV" hidden="1">"c1660"</definedName>
    <definedName name="IQ_EST_EPS_GROWTH_5YR_STDDEV_REUT" hidden="1">"c5325"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BC_DIFF" hidden="1">"c4374"</definedName>
    <definedName name="IQ_EST_EPS_SBC_GW_DIFF" hidden="1">"c4378"</definedName>
    <definedName name="IQ_EST_EPS_SBC_GW_SURPRISE_PERCENT" hidden="1">"c4387"</definedName>
    <definedName name="IQ_EST_EPS_SBC_SURPRISE_PERCENT" hidden="1">"c4393"</definedName>
    <definedName name="IQ_EST_EPS_SEQ_GROWTH_Q" hidden="1">"c1764"</definedName>
    <definedName name="IQ_EST_EPS_SEQ_GROWTH_Q_REUT" hidden="1">"c3859"</definedName>
    <definedName name="IQ_EST_EPS_SURPRISE_PERCENT" hidden="1">"c1635"</definedName>
    <definedName name="IQ_EST_EPS_SURPRISE_PERCENT_REUT" hidden="1">"c5459"</definedName>
    <definedName name="IQ_EST_FFO_ADJ_DIFF" hidden="1">"c4433"</definedName>
    <definedName name="IQ_EST_FFO_ADJ_GROWTH_1YR" hidden="1">"c4421"</definedName>
    <definedName name="IQ_EST_FFO_ADJ_GROWTH_2YR" hidden="1">"c4422"</definedName>
    <definedName name="IQ_EST_FFO_ADJ_GROWTH_Q_1YR" hidden="1">"c4423"</definedName>
    <definedName name="IQ_EST_FFO_ADJ_SEQ_GROWTH_Q" hidden="1">"c4424"</definedName>
    <definedName name="IQ_EST_FFO_ADJ_SURPRISE_PERCENT" hidden="1">"c4442"</definedName>
    <definedName name="IQ_EST_FFO_DIFF" hidden="1">"c1869"</definedName>
    <definedName name="IQ_EST_FFO_DIFF_REUT" hidden="1">"c3890"</definedName>
    <definedName name="IQ_EST_FFO_GROWTH_1YR" hidden="1">"c1770"</definedName>
    <definedName name="IQ_EST_FFO_GROWTH_1YR_REUT" hidden="1">"c3874"</definedName>
    <definedName name="IQ_EST_FFO_GROWTH_2YR" hidden="1">"c1771"</definedName>
    <definedName name="IQ_EST_FFO_GROWTH_2YR_REUT" hidden="1">"c3875"</definedName>
    <definedName name="IQ_EST_FFO_GROWTH_Q_1YR" hidden="1">"c1772"</definedName>
    <definedName name="IQ_EST_FFO_GROWTH_Q_1YR_REUT" hidden="1">"c3876"</definedName>
    <definedName name="IQ_EST_FFO_SEQ_GROWTH_Q" hidden="1">"c1773"</definedName>
    <definedName name="IQ_EST_FFO_SEQ_GROWTH_Q_REUT" hidden="1">"c3877"</definedName>
    <definedName name="IQ_EST_FFO_SHARE_DIFF" hidden="1">"c4444"</definedName>
    <definedName name="IQ_EST_FFO_SHARE_GROWTH_1YR" hidden="1">"c4425"</definedName>
    <definedName name="IQ_EST_FFO_SHARE_GROWTH_2YR" hidden="1">"c4426"</definedName>
    <definedName name="IQ_EST_FFO_SHARE_GROWTH_Q_1YR" hidden="1">"c4427"</definedName>
    <definedName name="IQ_EST_FFO_SHARE_SEQ_GROWTH_Q" hidden="1">"c4428"</definedName>
    <definedName name="IQ_EST_FFO_SHARE_SURPRISE_PERCENT" hidden="1">"c4453"</definedName>
    <definedName name="IQ_EST_FFO_SURPRISE_PERCENT" hidden="1">"c1870"</definedName>
    <definedName name="IQ_EST_FFO_SURPRISE_PERCENT_REUT" hidden="1">"c3891"</definedName>
    <definedName name="IQ_EST_FOOTNOTE" hidden="1">"c4540"</definedName>
    <definedName name="IQ_EST_FOOTNOTE_REUT" hidden="1">"c5478"</definedName>
    <definedName name="IQ_EST_MAINT_CAPEX_DIFF" hidden="1">"c4456"</definedName>
    <definedName name="IQ_EST_MAINT_CAPEX_GROWTH_1YR" hidden="1">"c4429"</definedName>
    <definedName name="IQ_EST_MAINT_CAPEX_GROWTH_2YR" hidden="1">"c4430"</definedName>
    <definedName name="IQ_EST_MAINT_CAPEX_GROWTH_Q_1YR" hidden="1">"c4431"</definedName>
    <definedName name="IQ_EST_MAINT_CAPEX_SEQ_GROWTH_Q" hidden="1">"c4432"</definedName>
    <definedName name="IQ_EST_MAINT_CAPEX_SURPRISE_PERCENT" hidden="1">"c4465"</definedName>
    <definedName name="IQ_EST_NAV_DIFF" hidden="1">"c1895"</definedName>
    <definedName name="IQ_EST_NAV_SURPRISE_PERCENT" hidden="1">"c1896"</definedName>
    <definedName name="IQ_EST_NET_DEBT_DIFF" hidden="1">"c4466"</definedName>
    <definedName name="IQ_EST_NET_DEBT_SURPRISE_PERCENT" hidden="1">"c4468"</definedName>
    <definedName name="IQ_EST_NI_DIFF" hidden="1">"c1885"</definedName>
    <definedName name="IQ_EST_NI_DIFF_REUT" hidden="1">"c5423"</definedName>
    <definedName name="IQ_EST_NI_GW_DIFF" hidden="1">"c1887"</definedName>
    <definedName name="IQ_EST_NI_GW_DIFF_REUT" hidden="1">"c5425"</definedName>
    <definedName name="IQ_EST_NI_GW_SURPRISE_PERCENT" hidden="1">"c1888"</definedName>
    <definedName name="IQ_EST_NI_GW_SURPRISE_PERCENT_REUT" hidden="1">"c5426"</definedName>
    <definedName name="IQ_EST_NI_REPORT_DIFF" hidden="1">"c1889"</definedName>
    <definedName name="IQ_EST_NI_REPORT_DIFF_REUT" hidden="1">"c5427"</definedName>
    <definedName name="IQ_EST_NI_REPORT_SURPRISE_PERCENT" hidden="1">"c1890"</definedName>
    <definedName name="IQ_EST_NI_REPORT_SURPRISE_PERCENT_REUT" hidden="1">"c5428"</definedName>
    <definedName name="IQ_EST_NI_SBC_DIFF" hidden="1">"c4472"</definedName>
    <definedName name="IQ_EST_NI_SBC_GW_DIFF" hidden="1">"c4476"</definedName>
    <definedName name="IQ_EST_NI_SBC_GW_SURPRISE_PERCENT" hidden="1">"c4485"</definedName>
    <definedName name="IQ_EST_NI_SBC_SURPRISE_PERCENT" hidden="1">"c4491"</definedName>
    <definedName name="IQ_EST_NI_SURPRISE_PERCENT" hidden="1">"c1886"</definedName>
    <definedName name="IQ_EST_NI_SURPRISE_PERCENT_REUT" hidden="1">"c5424"</definedName>
    <definedName name="IQ_EST_NUM_BUY" hidden="1">"c1759"</definedName>
    <definedName name="IQ_EST_NUM_BUY_REUT" hidden="1">"c3869"</definedName>
    <definedName name="IQ_EST_NUM_HOLD" hidden="1">"c1761"</definedName>
    <definedName name="IQ_EST_NUM_HOLD_REUT" hidden="1">"c3871"</definedName>
    <definedName name="IQ_EST_NUM_NO_OPINION" hidden="1">"c1758"</definedName>
    <definedName name="IQ_EST_NUM_NO_OPINION_REUT" hidden="1">"c3868"</definedName>
    <definedName name="IQ_EST_NUM_OUTPERFORM" hidden="1">"c1760"</definedName>
    <definedName name="IQ_EST_NUM_OUTPERFORM_REUT" hidden="1">"c3870"</definedName>
    <definedName name="IQ_EST_NUM_SELL" hidden="1">"c1763"</definedName>
    <definedName name="IQ_EST_NUM_SELL_REUT" hidden="1">"c3873"</definedName>
    <definedName name="IQ_EST_NUM_UNDERPERFORM" hidden="1">"c1762"</definedName>
    <definedName name="IQ_EST_NUM_UNDERPERFORM_REUT" hidden="1">"c3872"</definedName>
    <definedName name="IQ_EST_OPER_INC_DIFF" hidden="1">"c1877"</definedName>
    <definedName name="IQ_EST_OPER_INC_DIFF_REUT" hidden="1">"c5415"</definedName>
    <definedName name="IQ_EST_OPER_INC_SURPRISE_PERCENT" hidden="1">"c1878"</definedName>
    <definedName name="IQ_EST_OPER_INC_SURPRISE_PERCENT_REUT" hidden="1">"c5416"</definedName>
    <definedName name="IQ_EST_PRE_TAX_DIFF" hidden="1">"c1879"</definedName>
    <definedName name="IQ_EST_PRE_TAX_DIFF_REUT" hidden="1">"c5417"</definedName>
    <definedName name="IQ_EST_PRE_TAX_GW_DIFF" hidden="1">"c1881"</definedName>
    <definedName name="IQ_EST_PRE_TAX_GW_DIFF_REUT" hidden="1">"c5419"</definedName>
    <definedName name="IQ_EST_PRE_TAX_GW_SURPRISE_PERCENT" hidden="1">"c1882"</definedName>
    <definedName name="IQ_EST_PRE_TAX_GW_SURPRISE_PERCENT_REUT" hidden="1">"c5420"</definedName>
    <definedName name="IQ_EST_PRE_TAX_REPORT_DIFF" hidden="1">"c1883"</definedName>
    <definedName name="IQ_EST_PRE_TAX_REPORT_DIFF_REUT" hidden="1">"c5421"</definedName>
    <definedName name="IQ_EST_PRE_TAX_REPORT_SURPRISE_PERCENT" hidden="1">"c1884"</definedName>
    <definedName name="IQ_EST_PRE_TAX_REPORT_SURPRISE_PERCENT_REUT" hidden="1">"c5422"</definedName>
    <definedName name="IQ_EST_PRE_TAX_SURPRISE_PERCENT" hidden="1">"c1880"</definedName>
    <definedName name="IQ_EST_PRE_TAX_SURPRISE_PERCENT_REUT" hidden="1">"c5418"</definedName>
    <definedName name="IQ_EST_RECURRING_PROFIT_SHARE_DIFF" hidden="1">"c4505"</definedName>
    <definedName name="IQ_EST_RECURRING_PROFIT_SHARE_SURPRISE_PERCENT" hidden="1">"c4515"</definedName>
    <definedName name="IQ_EST_REV_DIFF" hidden="1">"c1865"</definedName>
    <definedName name="IQ_EST_REV_DIFF_REUT" hidden="1">"c3886"</definedName>
    <definedName name="IQ_EST_REV_GROWTH_1YR" hidden="1">"c1638"</definedName>
    <definedName name="IQ_EST_REV_GROWTH_1YR_REUT" hidden="1">"c3860"</definedName>
    <definedName name="IQ_EST_REV_GROWTH_2YR" hidden="1">"c1639"</definedName>
    <definedName name="IQ_EST_REV_GROWTH_2YR_REUT" hidden="1">"c3861"</definedName>
    <definedName name="IQ_EST_REV_GROWTH_Q_1YR" hidden="1">"c1640"</definedName>
    <definedName name="IQ_EST_REV_GROWTH_Q_1YR_REUT" hidden="1">"c3862"</definedName>
    <definedName name="IQ_EST_REV_SEQ_GROWTH_Q" hidden="1">"c1765"</definedName>
    <definedName name="IQ_EST_REV_SEQ_GROWTH_Q_REUT" hidden="1">"c3863"</definedName>
    <definedName name="IQ_EST_REV_SURPRISE_PERCENT" hidden="1">"c1866"</definedName>
    <definedName name="IQ_EST_REV_SURPRISE_PERCENT_REUT" hidden="1">"c3887"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ADJ_EST" hidden="1">"c4434"</definedName>
    <definedName name="IQ_FFO_ADJ_GUIDANCE" hidden="1">"c4436"</definedName>
    <definedName name="IQ_FFO_ADJ_HIGH_EST" hidden="1">"c4437"</definedName>
    <definedName name="IQ_FFO_ADJ_HIGH_GUIDANCE" hidden="1">"c4202"</definedName>
    <definedName name="IQ_FFO_ADJ_LOW_EST" hidden="1">"c4438"</definedName>
    <definedName name="IQ_FFO_ADJ_LOW_GUIDANCE" hidden="1">"c4242"</definedName>
    <definedName name="IQ_FFO_ADJ_MEDIAN_EST" hidden="1">"c4439"</definedName>
    <definedName name="IQ_FFO_ADJ_NUM_EST" hidden="1">"c4440"</definedName>
    <definedName name="IQ_FFO_ADJ_STDDEV_EST" hidden="1">"c4441"</definedName>
    <definedName name="IQ_FFO_EST" hidden="1">"c418"</definedName>
    <definedName name="IQ_FFO_EST_REUT" hidden="1">"c3837"</definedName>
    <definedName name="IQ_FFO_GUIDANCE" hidden="1">"c4443"</definedName>
    <definedName name="IQ_FFO_HIGH_EST" hidden="1">"c419"</definedName>
    <definedName name="IQ_FFO_HIGH_EST_REUT" hidden="1">"c3839"</definedName>
    <definedName name="IQ_FFO_HIGH_GUIDANCE" hidden="1">"c4184"</definedName>
    <definedName name="IQ_FFO_LOW_EST" hidden="1">"c420"</definedName>
    <definedName name="IQ_FFO_LOW_EST_REUT" hidden="1">"c3840"</definedName>
    <definedName name="IQ_FFO_LOW_GUIDANCE" hidden="1">"c4224"</definedName>
    <definedName name="IQ_FFO_MEDIAN_EST" hidden="1">"c1665"</definedName>
    <definedName name="IQ_FFO_MEDIAN_EST_REUT" hidden="1">"c3838"</definedName>
    <definedName name="IQ_FFO_NUM_EST" hidden="1">"c421"</definedName>
    <definedName name="IQ_FFO_NUM_EST_REUT" hidden="1">"c3841"</definedName>
    <definedName name="IQ_FFO_PAYOUT_RATIO" hidden="1">"c3492"</definedName>
    <definedName name="IQ_FFO_SHARE_ACT_OR_EST" hidden="1">"c4446"</definedName>
    <definedName name="IQ_FFO_SHARE_EST" hidden="1">"c4445"</definedName>
    <definedName name="IQ_FFO_SHARE_GUIDANCE" hidden="1">"c4447"</definedName>
    <definedName name="IQ_FFO_SHARE_HIGH_EST" hidden="1">"c4448"</definedName>
    <definedName name="IQ_FFO_SHARE_HIGH_GUIDANCE" hidden="1">"c4203"</definedName>
    <definedName name="IQ_FFO_SHARE_LOW_EST" hidden="1">"c4449"</definedName>
    <definedName name="IQ_FFO_SHARE_LOW_GUIDANCE" hidden="1">"c4243"</definedName>
    <definedName name="IQ_FFO_SHARE_MEDIAN_EST" hidden="1">"c4450"</definedName>
    <definedName name="IQ_FFO_SHARE_NUM_EST" hidden="1">"c4451"</definedName>
    <definedName name="IQ_FFO_SHARE_STDDEV_EST" hidden="1">"c4452"</definedName>
    <definedName name="IQ_FFO_STDDEV_EST" hidden="1">"c422"</definedName>
    <definedName name="IQ_FFO_STDDEV_EST_REUT" hidden="1">"c3842"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MARGIN_ACT_OR_EST" hidden="1">"c5554"</definedName>
    <definedName name="IQ_GROSS_MARGIN_EST" hidden="1">"c5547"</definedName>
    <definedName name="IQ_GROSS_MARGIN_HIGH_EST" hidden="1">"c5549"</definedName>
    <definedName name="IQ_GROSS_MARGIN_LOW_EST" hidden="1">"c5550"</definedName>
    <definedName name="IQ_GROSS_MARGIN_MEDIAN_EST" hidden="1">"c5548"</definedName>
    <definedName name="IQ_GROSS_MARGIN_NUM_EST" hidden="1">"c5551"</definedName>
    <definedName name="IQ_GROSS_MARGIN_STDDEV_EST" hidden="1">"c5552"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CAPEX_EST" hidden="1">"c4457"</definedName>
    <definedName name="IQ_MAINT_CAPEX_GUIDANCE" hidden="1">"c4459"</definedName>
    <definedName name="IQ_MAINT_CAPEX_HIGH_EST" hidden="1">"c4460"</definedName>
    <definedName name="IQ_MAINT_CAPEX_HIGH_GUIDANCE" hidden="1">"c4197"</definedName>
    <definedName name="IQ_MAINT_CAPEX_LOW_EST" hidden="1">"c4461"</definedName>
    <definedName name="IQ_MAINT_CAPEX_LOW_GUIDANCE" hidden="1">"c4237"</definedName>
    <definedName name="IQ_MAINT_CAPEX_MEDIAN_EST" hidden="1">"c4462"</definedName>
    <definedName name="IQ_MAINT_CAPEX_NUM_EST" hidden="1">"c4463"</definedName>
    <definedName name="IQ_MAINT_CAPEX_STDDEV_EST" hidden="1">"c4464"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REUT" hidden="1">"c5473"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REUT" hidden="1">"c3976"</definedName>
    <definedName name="IQ_NET_DEBT_GUIDANCE" hidden="1">"c4467"</definedName>
    <definedName name="IQ_NET_DEBT_HIGH_EST" hidden="1">"c3518"</definedName>
    <definedName name="IQ_NET_DEBT_HIGH_EST_REUT" hidden="1">"c3978"</definedName>
    <definedName name="IQ_NET_DEBT_HIGH_GUIDANCE" hidden="1">"c4181"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REUT" hidden="1">"c3979"</definedName>
    <definedName name="IQ_NET_DEBT_LOW_GUIDANCE" hidden="1">"c4221"</definedName>
    <definedName name="IQ_NET_DEBT_MEDIAN_EST" hidden="1">"c3520"</definedName>
    <definedName name="IQ_NET_DEBT_MEDIAN_EST_REUT" hidden="1">"c3977"</definedName>
    <definedName name="IQ_NET_DEBT_NUM_EST" hidden="1">"c3515"</definedName>
    <definedName name="IQ_NET_DEBT_NUM_EST_REUT" hidden="1">"c3980"</definedName>
    <definedName name="IQ_NET_DEBT_STDDEV_EST" hidden="1">"c3516"</definedName>
    <definedName name="IQ_NET_DEBT_STDDEV_EST_REUT" hidden="1">"c3981"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REUT" hidden="1">"c5468"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EST_REUT" hidden="1">"c5368"</definedName>
    <definedName name="IQ_NI_GAAP_GUIDANCE" hidden="1">"c4470"</definedName>
    <definedName name="IQ_NI_GAAP_HIGH_GUIDANCE" hidden="1">"c4177"</definedName>
    <definedName name="IQ_NI_GAAP_LOW_GUIDANCE" hidden="1">"c4217"</definedName>
    <definedName name="IQ_NI_GUIDANCE" hidden="1">"c4469"</definedName>
    <definedName name="IQ_NI_GW_EST" hidden="1">"c1723"</definedName>
    <definedName name="IQ_NI_GW_EST_REUT" hidden="1">"c5375"</definedName>
    <definedName name="IQ_NI_GW_GUIDANCE" hidden="1">"c4471"</definedName>
    <definedName name="IQ_NI_GW_HIGH_EST" hidden="1">"c1725"</definedName>
    <definedName name="IQ_NI_GW_HIGH_EST_REUT" hidden="1">"c5377"</definedName>
    <definedName name="IQ_NI_GW_HIGH_GUIDANCE" hidden="1">"c4178"</definedName>
    <definedName name="IQ_NI_GW_LOW_EST" hidden="1">"c1726"</definedName>
    <definedName name="IQ_NI_GW_LOW_EST_REUT" hidden="1">"c5378"</definedName>
    <definedName name="IQ_NI_GW_LOW_GUIDANCE" hidden="1">"c4218"</definedName>
    <definedName name="IQ_NI_GW_MEDIAN_EST" hidden="1">"c1724"</definedName>
    <definedName name="IQ_NI_GW_MEDIAN_EST_REUT" hidden="1">"c5376"</definedName>
    <definedName name="IQ_NI_GW_NUM_EST" hidden="1">"c1727"</definedName>
    <definedName name="IQ_NI_GW_NUM_EST_REUT" hidden="1">"c5379"</definedName>
    <definedName name="IQ_NI_GW_STDDEV_EST" hidden="1">"c1728"</definedName>
    <definedName name="IQ_NI_GW_STDDEV_EST_REUT" hidden="1">"c5380"</definedName>
    <definedName name="IQ_NI_HIGH_EST" hidden="1">"c1718"</definedName>
    <definedName name="IQ_NI_HIGH_EST_REUT" hidden="1">"c5370"</definedName>
    <definedName name="IQ_NI_HIGH_GUIDANCE" hidden="1">"c4176"</definedName>
    <definedName name="IQ_NI_LOW_EST" hidden="1">"c1719"</definedName>
    <definedName name="IQ_NI_LOW_EST_REUT" hidden="1">"c5371"</definedName>
    <definedName name="IQ_NI_LOW_GUIDANCE" hidden="1">"c4216"</definedName>
    <definedName name="IQ_NI_MARGIN" hidden="1">"c794"</definedName>
    <definedName name="IQ_NI_MEDIAN_EST" hidden="1">"c1717"</definedName>
    <definedName name="IQ_NI_MEDIAN_EST_REUT" hidden="1">"c5369"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REUT" hidden="1">"c5372"</definedName>
    <definedName name="IQ_NI_REPORTED_EST" hidden="1">"c1730"</definedName>
    <definedName name="IQ_NI_REPORTED_EST_REUT" hidden="1">"c5382"</definedName>
    <definedName name="IQ_NI_REPORTED_HIGH_EST" hidden="1">"c1732"</definedName>
    <definedName name="IQ_NI_REPORTED_HIGH_EST_REUT" hidden="1">"c5384"</definedName>
    <definedName name="IQ_NI_REPORTED_LOW_EST" hidden="1">"c1733"</definedName>
    <definedName name="IQ_NI_REPORTED_LOW_EST_REUT" hidden="1">"c5385"</definedName>
    <definedName name="IQ_NI_REPORTED_MEDIAN_EST" hidden="1">"c1731"</definedName>
    <definedName name="IQ_NI_REPORTED_MEDIAN_EST_REUT" hidden="1">"c5383"</definedName>
    <definedName name="IQ_NI_REPORTED_NUM_EST" hidden="1">"c1734"</definedName>
    <definedName name="IQ_NI_REPORTED_NUM_EST_REUT" hidden="1">"c5386"</definedName>
    <definedName name="IQ_NI_REPORTED_STDDEV_EST" hidden="1">"c1735"</definedName>
    <definedName name="IQ_NI_REPORTED_STDDEV_EST_REUT" hidden="1">"c5387"</definedName>
    <definedName name="IQ_NI_SBC_ACT_OR_EST" hidden="1">"c4474"</definedName>
    <definedName name="IQ_NI_SBC_EST" hidden="1">"c4473"</definedName>
    <definedName name="IQ_NI_SBC_GUIDANCE" hidden="1">"c4475"</definedName>
    <definedName name="IQ_NI_SBC_GW_ACT_OR_EST" hidden="1">"c4478"</definedName>
    <definedName name="IQ_NI_SBC_GW_EST" hidden="1">"c4477"</definedName>
    <definedName name="IQ_NI_SBC_GW_GUIDANCE" hidden="1">"c4479"</definedName>
    <definedName name="IQ_NI_SBC_GW_HIGH_EST" hidden="1">"c4480"</definedName>
    <definedName name="IQ_NI_SBC_GW_HIGH_GUIDANCE" hidden="1">"c4187"</definedName>
    <definedName name="IQ_NI_SBC_GW_LOW_EST" hidden="1">"c4481"</definedName>
    <definedName name="IQ_NI_SBC_GW_LOW_GUIDANCE" hidden="1">"c4227"</definedName>
    <definedName name="IQ_NI_SBC_GW_MEDIAN_EST" hidden="1">"c4482"</definedName>
    <definedName name="IQ_NI_SBC_GW_NUM_EST" hidden="1">"c4483"</definedName>
    <definedName name="IQ_NI_SBC_GW_STDDEV_EST" hidden="1">"c4484"</definedName>
    <definedName name="IQ_NI_SBC_HIGH_EST" hidden="1">"c4486"</definedName>
    <definedName name="IQ_NI_SBC_HIGH_GUIDANCE" hidden="1">"c4186"</definedName>
    <definedName name="IQ_NI_SBC_LOW_EST" hidden="1">"c4487"</definedName>
    <definedName name="IQ_NI_SBC_LOW_GUIDANCE" hidden="1">"c4226"</definedName>
    <definedName name="IQ_NI_SBC_MEDIAN_EST" hidden="1">"c4488"</definedName>
    <definedName name="IQ_NI_SBC_NUM_EST" hidden="1">"c4489"</definedName>
    <definedName name="IQ_NI_SBC_STDDEV_EST" hidden="1">"c4490"</definedName>
    <definedName name="IQ_NI_SFAS" hidden="1">"c795"</definedName>
    <definedName name="IQ_NI_STDDEV_EST" hidden="1">"c1721"</definedName>
    <definedName name="IQ_NI_STDDEV_EST_REUT" hidden="1">"c5373"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ACT_OR_EST_REUT" hidden="1">"c5466"</definedName>
    <definedName name="IQ_OPER_INC_BR" hidden="1">"c850"</definedName>
    <definedName name="IQ_OPER_INC_EST" hidden="1">"c1688"</definedName>
    <definedName name="IQ_OPER_INC_EST_REUT" hidden="1">"c5340"</definedName>
    <definedName name="IQ_OPER_INC_FIN" hidden="1">"c851"</definedName>
    <definedName name="IQ_OPER_INC_HIGH_EST" hidden="1">"c1690"</definedName>
    <definedName name="IQ_OPER_INC_HIGH_EST_REUT" hidden="1">"c5342"</definedName>
    <definedName name="IQ_OPER_INC_INS" hidden="1">"c852"</definedName>
    <definedName name="IQ_OPER_INC_LOW_EST" hidden="1">"c1691"</definedName>
    <definedName name="IQ_OPER_INC_LOW_EST_REUT" hidden="1">"c5343"</definedName>
    <definedName name="IQ_OPER_INC_MARGIN" hidden="1">"c1448"</definedName>
    <definedName name="IQ_OPER_INC_MEDIAN_EST" hidden="1">"c1689"</definedName>
    <definedName name="IQ_OPER_INC_MEDIAN_EST_REUT" hidden="1">"c5341"</definedName>
    <definedName name="IQ_OPER_INC_NUM_EST" hidden="1">"c1692"</definedName>
    <definedName name="IQ_OPER_INC_NUM_EST_REUT" hidden="1">"c5344"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REUT" hidden="1">"c5345"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REUT" hidden="1">"c3959"</definedName>
    <definedName name="IQ_PERCENT_CHANGE_EST_5YR_GROWTH_RATE_18MONTHS" hidden="1">"c1853"</definedName>
    <definedName name="IQ_PERCENT_CHANGE_EST_5YR_GROWTH_RATE_18MONTHS_REUT" hidden="1">"c3960"</definedName>
    <definedName name="IQ_PERCENT_CHANGE_EST_5YR_GROWTH_RATE_3MONTHS" hidden="1">"c1849"</definedName>
    <definedName name="IQ_PERCENT_CHANGE_EST_5YR_GROWTH_RATE_3MONTHS_REUT" hidden="1">"c3956"</definedName>
    <definedName name="IQ_PERCENT_CHANGE_EST_5YR_GROWTH_RATE_6MONTHS" hidden="1">"c1850"</definedName>
    <definedName name="IQ_PERCENT_CHANGE_EST_5YR_GROWTH_RATE_6MONTHS_REUT" hidden="1">"c3957"</definedName>
    <definedName name="IQ_PERCENT_CHANGE_EST_5YR_GROWTH_RATE_9MONTHS" hidden="1">"c1851"</definedName>
    <definedName name="IQ_PERCENT_CHANGE_EST_5YR_GROWTH_RATE_9MONTHS_REUT" hidden="1">"c3958"</definedName>
    <definedName name="IQ_PERCENT_CHANGE_EST_5YR_GROWTH_RATE_DAY" hidden="1">"c1846"</definedName>
    <definedName name="IQ_PERCENT_CHANGE_EST_5YR_GROWTH_RATE_DAY_REUT" hidden="1">"c3954"</definedName>
    <definedName name="IQ_PERCENT_CHANGE_EST_5YR_GROWTH_RATE_MONTH" hidden="1">"c1848"</definedName>
    <definedName name="IQ_PERCENT_CHANGE_EST_5YR_GROWTH_RATE_MONTH_REUT" hidden="1">"c3955"</definedName>
    <definedName name="IQ_PERCENT_CHANGE_EST_5YR_GROWTH_RATE_WEEK" hidden="1">"c1847"</definedName>
    <definedName name="IQ_PERCENT_CHANGE_EST_5YR_GROWTH_RATE_WEEK_REUT" hidden="1">"c5435"</definedName>
    <definedName name="IQ_PERCENT_CHANGE_EST_CFPS_12MONTHS" hidden="1">"c1812"</definedName>
    <definedName name="IQ_PERCENT_CHANGE_EST_CFPS_12MONTHS_REUT" hidden="1">"c3924"</definedName>
    <definedName name="IQ_PERCENT_CHANGE_EST_CFPS_18MONTHS" hidden="1">"c1813"</definedName>
    <definedName name="IQ_PERCENT_CHANGE_EST_CFPS_18MONTHS_REUT" hidden="1">"c3925"</definedName>
    <definedName name="IQ_PERCENT_CHANGE_EST_CFPS_3MONTHS" hidden="1">"c1809"</definedName>
    <definedName name="IQ_PERCENT_CHANGE_EST_CFPS_3MONTHS_REUT" hidden="1">"c3921"</definedName>
    <definedName name="IQ_PERCENT_CHANGE_EST_CFPS_6MONTHS" hidden="1">"c1810"</definedName>
    <definedName name="IQ_PERCENT_CHANGE_EST_CFPS_6MONTHS_REUT" hidden="1">"c3922"</definedName>
    <definedName name="IQ_PERCENT_CHANGE_EST_CFPS_9MONTHS" hidden="1">"c1811"</definedName>
    <definedName name="IQ_PERCENT_CHANGE_EST_CFPS_9MONTHS_REUT" hidden="1">"c3923"</definedName>
    <definedName name="IQ_PERCENT_CHANGE_EST_CFPS_DAY" hidden="1">"c1806"</definedName>
    <definedName name="IQ_PERCENT_CHANGE_EST_CFPS_DAY_REUT" hidden="1">"c3919"</definedName>
    <definedName name="IQ_PERCENT_CHANGE_EST_CFPS_MONTH" hidden="1">"c1808"</definedName>
    <definedName name="IQ_PERCENT_CHANGE_EST_CFPS_MONTH_REUT" hidden="1">"c3920"</definedName>
    <definedName name="IQ_PERCENT_CHANGE_EST_CFPS_WEEK" hidden="1">"c1807"</definedName>
    <definedName name="IQ_PERCENT_CHANGE_EST_CFPS_WEEK_REUT" hidden="1">"c3962"</definedName>
    <definedName name="IQ_PERCENT_CHANGE_EST_DPS_12MONTHS" hidden="1">"c1820"</definedName>
    <definedName name="IQ_PERCENT_CHANGE_EST_DPS_12MONTHS_REUT" hidden="1">"c3931"</definedName>
    <definedName name="IQ_PERCENT_CHANGE_EST_DPS_18MONTHS" hidden="1">"c1821"</definedName>
    <definedName name="IQ_PERCENT_CHANGE_EST_DPS_18MONTHS_REUT" hidden="1">"c3932"</definedName>
    <definedName name="IQ_PERCENT_CHANGE_EST_DPS_3MONTHS" hidden="1">"c1817"</definedName>
    <definedName name="IQ_PERCENT_CHANGE_EST_DPS_3MONTHS_REUT" hidden="1">"c3928"</definedName>
    <definedName name="IQ_PERCENT_CHANGE_EST_DPS_6MONTHS" hidden="1">"c1818"</definedName>
    <definedName name="IQ_PERCENT_CHANGE_EST_DPS_6MONTHS_REUT" hidden="1">"c3929"</definedName>
    <definedName name="IQ_PERCENT_CHANGE_EST_DPS_9MONTHS" hidden="1">"c1819"</definedName>
    <definedName name="IQ_PERCENT_CHANGE_EST_DPS_9MONTHS_REUT" hidden="1">"c3930"</definedName>
    <definedName name="IQ_PERCENT_CHANGE_EST_DPS_DAY" hidden="1">"c1814"</definedName>
    <definedName name="IQ_PERCENT_CHANGE_EST_DPS_DAY_REUT" hidden="1">"c3926"</definedName>
    <definedName name="IQ_PERCENT_CHANGE_EST_DPS_MONTH" hidden="1">"c1816"</definedName>
    <definedName name="IQ_PERCENT_CHANGE_EST_DPS_MONTH_REUT" hidden="1">"c3927"</definedName>
    <definedName name="IQ_PERCENT_CHANGE_EST_DPS_WEEK" hidden="1">"c1815"</definedName>
    <definedName name="IQ_PERCENT_CHANGE_EST_DPS_WEEK_REUT" hidden="1">"c3963"</definedName>
    <definedName name="IQ_PERCENT_CHANGE_EST_EBITDA_12MONTHS" hidden="1">"c1804"</definedName>
    <definedName name="IQ_PERCENT_CHANGE_EST_EBITDA_12MONTHS_REUT" hidden="1">"c3917"</definedName>
    <definedName name="IQ_PERCENT_CHANGE_EST_EBITDA_18MONTHS" hidden="1">"c1805"</definedName>
    <definedName name="IQ_PERCENT_CHANGE_EST_EBITDA_18MONTHS_REUT" hidden="1">"c3918"</definedName>
    <definedName name="IQ_PERCENT_CHANGE_EST_EBITDA_3MONTHS" hidden="1">"c1801"</definedName>
    <definedName name="IQ_PERCENT_CHANGE_EST_EBITDA_3MONTHS_REUT" hidden="1">"c3914"</definedName>
    <definedName name="IQ_PERCENT_CHANGE_EST_EBITDA_6MONTHS" hidden="1">"c1802"</definedName>
    <definedName name="IQ_PERCENT_CHANGE_EST_EBITDA_6MONTHS_REUT" hidden="1">"c3915"</definedName>
    <definedName name="IQ_PERCENT_CHANGE_EST_EBITDA_9MONTHS" hidden="1">"c1803"</definedName>
    <definedName name="IQ_PERCENT_CHANGE_EST_EBITDA_9MONTHS_REUT" hidden="1">"c3916"</definedName>
    <definedName name="IQ_PERCENT_CHANGE_EST_EBITDA_DAY" hidden="1">"c1798"</definedName>
    <definedName name="IQ_PERCENT_CHANGE_EST_EBITDA_DAY_REUT" hidden="1">"c3912"</definedName>
    <definedName name="IQ_PERCENT_CHANGE_EST_EBITDA_MONTH" hidden="1">"c1800"</definedName>
    <definedName name="IQ_PERCENT_CHANGE_EST_EBITDA_MONTH_REUT" hidden="1">"c3913"</definedName>
    <definedName name="IQ_PERCENT_CHANGE_EST_EBITDA_WEEK" hidden="1">"c1799"</definedName>
    <definedName name="IQ_PERCENT_CHANGE_EST_EBITDA_WEEK_REUT" hidden="1">"c3961"</definedName>
    <definedName name="IQ_PERCENT_CHANGE_EST_EPS_12MONTHS" hidden="1">"c1788"</definedName>
    <definedName name="IQ_PERCENT_CHANGE_EST_EPS_12MONTHS_REUT" hidden="1">"c3902"</definedName>
    <definedName name="IQ_PERCENT_CHANGE_EST_EPS_18MONTHS" hidden="1">"c1789"</definedName>
    <definedName name="IQ_PERCENT_CHANGE_EST_EPS_18MONTHS_REUT" hidden="1">"c3903"</definedName>
    <definedName name="IQ_PERCENT_CHANGE_EST_EPS_3MONTHS" hidden="1">"c1785"</definedName>
    <definedName name="IQ_PERCENT_CHANGE_EST_EPS_3MONTHS_REUT" hidden="1">"c3899"</definedName>
    <definedName name="IQ_PERCENT_CHANGE_EST_EPS_6MONTHS" hidden="1">"c1786"</definedName>
    <definedName name="IQ_PERCENT_CHANGE_EST_EPS_6MONTHS_REUT" hidden="1">"c3900"</definedName>
    <definedName name="IQ_PERCENT_CHANGE_EST_EPS_9MONTHS" hidden="1">"c1787"</definedName>
    <definedName name="IQ_PERCENT_CHANGE_EST_EPS_9MONTHS_REUT" hidden="1">"c3901"</definedName>
    <definedName name="IQ_PERCENT_CHANGE_EST_EPS_DAY" hidden="1">"c1782"</definedName>
    <definedName name="IQ_PERCENT_CHANGE_EST_EPS_DAY_REUT" hidden="1">"c3896"</definedName>
    <definedName name="IQ_PERCENT_CHANGE_EST_EPS_MONTH" hidden="1">"c1784"</definedName>
    <definedName name="IQ_PERCENT_CHANGE_EST_EPS_MONTH_REUT" hidden="1">"c3898"</definedName>
    <definedName name="IQ_PERCENT_CHANGE_EST_EPS_WEEK" hidden="1">"c1783"</definedName>
    <definedName name="IQ_PERCENT_CHANGE_EST_EPS_WEEK_REUT" hidden="1">"c3897"</definedName>
    <definedName name="IQ_PERCENT_CHANGE_EST_FFO_12MONTHS" hidden="1">"c1828"</definedName>
    <definedName name="IQ_PERCENT_CHANGE_EST_FFO_12MONTHS_REUT" hidden="1">"c3938"</definedName>
    <definedName name="IQ_PERCENT_CHANGE_EST_FFO_18MONTHS" hidden="1">"c1829"</definedName>
    <definedName name="IQ_PERCENT_CHANGE_EST_FFO_18MONTHS_REUT" hidden="1">"c3939"</definedName>
    <definedName name="IQ_PERCENT_CHANGE_EST_FFO_3MONTHS" hidden="1">"c1825"</definedName>
    <definedName name="IQ_PERCENT_CHANGE_EST_FFO_3MONTHS_REUT" hidden="1">"c3935"</definedName>
    <definedName name="IQ_PERCENT_CHANGE_EST_FFO_6MONTHS" hidden="1">"c1826"</definedName>
    <definedName name="IQ_PERCENT_CHANGE_EST_FFO_6MONTHS_REUT" hidden="1">"c3936"</definedName>
    <definedName name="IQ_PERCENT_CHANGE_EST_FFO_9MONTHS" hidden="1">"c1827"</definedName>
    <definedName name="IQ_PERCENT_CHANGE_EST_FFO_9MONTHS_REUT" hidden="1">"c3937"</definedName>
    <definedName name="IQ_PERCENT_CHANGE_EST_FFO_DAY" hidden="1">"c1822"</definedName>
    <definedName name="IQ_PERCENT_CHANGE_EST_FFO_DAY_REUT" hidden="1">"c3933"</definedName>
    <definedName name="IQ_PERCENT_CHANGE_EST_FFO_MONTH" hidden="1">"c1824"</definedName>
    <definedName name="IQ_PERCENT_CHANGE_EST_FFO_MONTH_REUT" hidden="1">"c3934"</definedName>
    <definedName name="IQ_PERCENT_CHANGE_EST_FFO_WEEK" hidden="1">"c1823"</definedName>
    <definedName name="IQ_PERCENT_CHANGE_EST_FFO_WEEK_REUT" hidden="1">"c3964"</definedName>
    <definedName name="IQ_PERCENT_CHANGE_EST_PRICE_TARGET_12MONTHS" hidden="1">"c1844"</definedName>
    <definedName name="IQ_PERCENT_CHANGE_EST_PRICE_TARGET_12MONTHS_REUT" hidden="1">"c3952"</definedName>
    <definedName name="IQ_PERCENT_CHANGE_EST_PRICE_TARGET_18MONTHS" hidden="1">"c1845"</definedName>
    <definedName name="IQ_PERCENT_CHANGE_EST_PRICE_TARGET_18MONTHS_REUT" hidden="1">"c3953"</definedName>
    <definedName name="IQ_PERCENT_CHANGE_EST_PRICE_TARGET_3MONTHS" hidden="1">"c1841"</definedName>
    <definedName name="IQ_PERCENT_CHANGE_EST_PRICE_TARGET_3MONTHS_REUT" hidden="1">"c3949"</definedName>
    <definedName name="IQ_PERCENT_CHANGE_EST_PRICE_TARGET_6MONTHS" hidden="1">"c1842"</definedName>
    <definedName name="IQ_PERCENT_CHANGE_EST_PRICE_TARGET_6MONTHS_REUT" hidden="1">"c3950"</definedName>
    <definedName name="IQ_PERCENT_CHANGE_EST_PRICE_TARGET_9MONTHS" hidden="1">"c1843"</definedName>
    <definedName name="IQ_PERCENT_CHANGE_EST_PRICE_TARGET_9MONTHS_REUT" hidden="1">"c3951"</definedName>
    <definedName name="IQ_PERCENT_CHANGE_EST_PRICE_TARGET_DAY" hidden="1">"c1838"</definedName>
    <definedName name="IQ_PERCENT_CHANGE_EST_PRICE_TARGET_DAY_REUT" hidden="1">"c3947"</definedName>
    <definedName name="IQ_PERCENT_CHANGE_EST_PRICE_TARGET_MONTH" hidden="1">"c1840"</definedName>
    <definedName name="IQ_PERCENT_CHANGE_EST_PRICE_TARGET_MONTH_REUT" hidden="1">"c3948"</definedName>
    <definedName name="IQ_PERCENT_CHANGE_EST_PRICE_TARGET_WEEK" hidden="1">"c1839"</definedName>
    <definedName name="IQ_PERCENT_CHANGE_EST_PRICE_TARGET_WEEK_REUT" hidden="1">"c3967"</definedName>
    <definedName name="IQ_PERCENT_CHANGE_EST_RECO_12MONTHS" hidden="1">"c1836"</definedName>
    <definedName name="IQ_PERCENT_CHANGE_EST_RECO_12MONTHS_REUT" hidden="1">"c3945"</definedName>
    <definedName name="IQ_PERCENT_CHANGE_EST_RECO_18MONTHS" hidden="1">"c1837"</definedName>
    <definedName name="IQ_PERCENT_CHANGE_EST_RECO_18MONTHS_REUT" hidden="1">"c3946"</definedName>
    <definedName name="IQ_PERCENT_CHANGE_EST_RECO_3MONTHS" hidden="1">"c1833"</definedName>
    <definedName name="IQ_PERCENT_CHANGE_EST_RECO_3MONTHS_REUT" hidden="1">"c3942"</definedName>
    <definedName name="IQ_PERCENT_CHANGE_EST_RECO_6MONTHS" hidden="1">"c1834"</definedName>
    <definedName name="IQ_PERCENT_CHANGE_EST_RECO_6MONTHS_REUT" hidden="1">"c3943"</definedName>
    <definedName name="IQ_PERCENT_CHANGE_EST_RECO_9MONTHS" hidden="1">"c1835"</definedName>
    <definedName name="IQ_PERCENT_CHANGE_EST_RECO_9MONTHS_REUT" hidden="1">"c3944"</definedName>
    <definedName name="IQ_PERCENT_CHANGE_EST_RECO_DAY" hidden="1">"c1830"</definedName>
    <definedName name="IQ_PERCENT_CHANGE_EST_RECO_DAY_REUT" hidden="1">"c3940"</definedName>
    <definedName name="IQ_PERCENT_CHANGE_EST_RECO_MONTH" hidden="1">"c1832"</definedName>
    <definedName name="IQ_PERCENT_CHANGE_EST_RECO_MONTH_REUT" hidden="1">"c3941"</definedName>
    <definedName name="IQ_PERCENT_CHANGE_EST_RECO_WEEK" hidden="1">"c1831"</definedName>
    <definedName name="IQ_PERCENT_CHANGE_EST_RECO_WEEK_REUT" hidden="1">"c3965"</definedName>
    <definedName name="IQ_PERCENT_CHANGE_EST_REV_12MONTHS" hidden="1">"c1796"</definedName>
    <definedName name="IQ_PERCENT_CHANGE_EST_REV_12MONTHS_REUT" hidden="1">"c3910"</definedName>
    <definedName name="IQ_PERCENT_CHANGE_EST_REV_18MONTHS" hidden="1">"c1797"</definedName>
    <definedName name="IQ_PERCENT_CHANGE_EST_REV_18MONTHS_REUT" hidden="1">"c3911"</definedName>
    <definedName name="IQ_PERCENT_CHANGE_EST_REV_3MONTHS" hidden="1">"c1793"</definedName>
    <definedName name="IQ_PERCENT_CHANGE_EST_REV_3MONTHS_REUT" hidden="1">"c3907"</definedName>
    <definedName name="IQ_PERCENT_CHANGE_EST_REV_6MONTHS" hidden="1">"c1794"</definedName>
    <definedName name="IQ_PERCENT_CHANGE_EST_REV_6MONTHS_REUT" hidden="1">"c3908"</definedName>
    <definedName name="IQ_PERCENT_CHANGE_EST_REV_9MONTHS" hidden="1">"c1795"</definedName>
    <definedName name="IQ_PERCENT_CHANGE_EST_REV_9MONTHS_REUT" hidden="1">"c3909"</definedName>
    <definedName name="IQ_PERCENT_CHANGE_EST_REV_DAY" hidden="1">"c1790"</definedName>
    <definedName name="IQ_PERCENT_CHANGE_EST_REV_DAY_REUT" hidden="1">"c3904"</definedName>
    <definedName name="IQ_PERCENT_CHANGE_EST_REV_MONTH" hidden="1">"c1792"</definedName>
    <definedName name="IQ_PERCENT_CHANGE_EST_REV_MONTH_REUT" hidden="1">"c3906"</definedName>
    <definedName name="IQ_PERCENT_CHANGE_EST_REV_WEEK" hidden="1">"c1791"</definedName>
    <definedName name="IQ_PERCENT_CHANGE_EST_REV_WEEK_REUT" hidden="1">"c3905"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REUT" hidden="1">"c3968"</definedName>
    <definedName name="IQ_PRE_OPEN_COST" hidden="1">"c1040"</definedName>
    <definedName name="IQ_PRE_TAX_ACT_OR_EST" hidden="1">"c2221"</definedName>
    <definedName name="IQ_PRE_TAX_ACT_OR_EST_REUT" hidden="1">"c5467"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EST_REUT" hidden="1">"c5354"</definedName>
    <definedName name="IQ_PRETAX_GW_INC_HIGH_EST" hidden="1">"c1704"</definedName>
    <definedName name="IQ_PRETAX_GW_INC_HIGH_EST_REUT" hidden="1">"c5356"</definedName>
    <definedName name="IQ_PRETAX_GW_INC_LOW_EST" hidden="1">"c1705"</definedName>
    <definedName name="IQ_PRETAX_GW_INC_LOW_EST_REUT" hidden="1">"c5357"</definedName>
    <definedName name="IQ_PRETAX_GW_INC_MEDIAN_EST" hidden="1">"c1703"</definedName>
    <definedName name="IQ_PRETAX_GW_INC_MEDIAN_EST_REUT" hidden="1">"c5355"</definedName>
    <definedName name="IQ_PRETAX_GW_INC_NUM_EST" hidden="1">"c1706"</definedName>
    <definedName name="IQ_PRETAX_GW_INC_NUM_EST_REUT" hidden="1">"c5358"</definedName>
    <definedName name="IQ_PRETAX_GW_INC_STDDEV_EST" hidden="1">"c1707"</definedName>
    <definedName name="IQ_PRETAX_GW_INC_STDDEV_EST_REUT" hidden="1">"c5359"</definedName>
    <definedName name="IQ_PRETAX_INC_EST" hidden="1">"c1695"</definedName>
    <definedName name="IQ_PRETAX_INC_EST_REUT" hidden="1">"c5347"</definedName>
    <definedName name="IQ_PRETAX_INC_HIGH_EST" hidden="1">"c1697"</definedName>
    <definedName name="IQ_PRETAX_INC_HIGH_EST_REUT" hidden="1">"c5349"</definedName>
    <definedName name="IQ_PRETAX_INC_LOW_EST" hidden="1">"c1698"</definedName>
    <definedName name="IQ_PRETAX_INC_LOW_EST_REUT" hidden="1">"c5350"</definedName>
    <definedName name="IQ_PRETAX_INC_MEDIAN_EST" hidden="1">"c1696"</definedName>
    <definedName name="IQ_PRETAX_INC_MEDIAN_EST_REUT" hidden="1">"c5348"</definedName>
    <definedName name="IQ_PRETAX_INC_NUM_EST" hidden="1">"c1699"</definedName>
    <definedName name="IQ_PRETAX_INC_NUM_EST_REUT" hidden="1">"c5351"</definedName>
    <definedName name="IQ_PRETAX_INC_STDDEV_EST" hidden="1">"c1700"</definedName>
    <definedName name="IQ_PRETAX_INC_STDDEV_EST_REUT" hidden="1">"c5352"</definedName>
    <definedName name="IQ_PRETAX_REPORT_INC_EST" hidden="1">"c1709"</definedName>
    <definedName name="IQ_PRETAX_REPORT_INC_EST_REUT" hidden="1">"c5361"</definedName>
    <definedName name="IQ_PRETAX_REPORT_INC_HIGH_EST" hidden="1">"c1711"</definedName>
    <definedName name="IQ_PRETAX_REPORT_INC_HIGH_EST_REUT" hidden="1">"c5363"</definedName>
    <definedName name="IQ_PRETAX_REPORT_INC_LOW_EST" hidden="1">"c1712"</definedName>
    <definedName name="IQ_PRETAX_REPORT_INC_LOW_EST_REUT" hidden="1">"c5364"</definedName>
    <definedName name="IQ_PRETAX_REPORT_INC_MEDIAN_EST" hidden="1">"c1710"</definedName>
    <definedName name="IQ_PRETAX_REPORT_INC_MEDIAN_EST_REUT" hidden="1">"c5362"</definedName>
    <definedName name="IQ_PRETAX_REPORT_INC_NUM_EST" hidden="1">"c1713"</definedName>
    <definedName name="IQ_PRETAX_REPORT_INC_NUM_EST_REUT" hidden="1">"c5365"</definedName>
    <definedName name="IQ_PRETAX_REPORT_INC_STDDEV_EST" hidden="1">"c1714"</definedName>
    <definedName name="IQ_PRETAX_REPORT_INC_STDDEV_EST_REUT" hidden="1">"c5366"</definedName>
    <definedName name="IQ_PRICE_CFPS_FWD" hidden="1">"c2237"</definedName>
    <definedName name="IQ_PRICE_CFPS_FWD_REUT" hidden="1">"c4053"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BOTTOM_UP" hidden="1">"c5486"</definedName>
    <definedName name="IQ_PRICE_TARGET_BOTTOM_UP_REUT" hidden="1">"c5494"</definedName>
    <definedName name="IQ_PRICE_TARGET_REUT" hidden="1">"c3631"</definedName>
    <definedName name="IQ_PRICE_VOLATILITY_EST" hidden="1">"c4492"</definedName>
    <definedName name="IQ_PRICE_VOLATILITY_HIGH" hidden="1">"c4493"</definedName>
    <definedName name="IQ_PRICE_VOLATILITY_LOW" hidden="1">"c4494"</definedName>
    <definedName name="IQ_PRICE_VOLATILITY_MEDIAN" hidden="1">"c4495"</definedName>
    <definedName name="IQ_PRICE_VOLATILITY_NUM" hidden="1">"c4496"</definedName>
    <definedName name="IQ_PRICE_VOLATILITY_STDDEV" hidden="1">"c4497"</definedName>
    <definedName name="IQ_PRICEDATE" hidden="1">"c1069"</definedName>
    <definedName name="IQ_PRICING_DATE" hidden="1">"c1613"</definedName>
    <definedName name="IQ_PRIMARY_EPS_TYPE" hidden="1">"c4498"</definedName>
    <definedName name="IQ_PRIMARY_EPS_TYPE_REUT" hidden="1">"c5481"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EST" hidden="1">"c4499"</definedName>
    <definedName name="IQ_RECURRING_PROFIT_GUIDANCE" hidden="1">"c4500"</definedName>
    <definedName name="IQ_RECURRING_PROFIT_HIGH_EST" hidden="1">"c4501"</definedName>
    <definedName name="IQ_RECURRING_PROFIT_HIGH_GUIDANCE" hidden="1">"c4179"</definedName>
    <definedName name="IQ_RECURRING_PROFIT_LOW_EST" hidden="1">"c4502"</definedName>
    <definedName name="IQ_RECURRING_PROFIT_LOW_GUIDANCE" hidden="1">"c4219"</definedName>
    <definedName name="IQ_RECURRING_PROFIT_MEDIAN_EST" hidden="1">"c4503"</definedName>
    <definedName name="IQ_RECURRING_PROFIT_NUM_EST" hidden="1">"c4504"</definedName>
    <definedName name="IQ_RECURRING_PROFIT_SHARE_ACT_OR_EST" hidden="1">"c4508"</definedName>
    <definedName name="IQ_RECURRING_PROFIT_SHARE_EST" hidden="1">"c4506"</definedName>
    <definedName name="IQ_RECURRING_PROFIT_SHARE_GUIDANCE" hidden="1">"c4509"</definedName>
    <definedName name="IQ_RECURRING_PROFIT_SHARE_HIGH_EST" hidden="1">"c4510"</definedName>
    <definedName name="IQ_RECURRING_PROFIT_SHARE_HIGH_GUIDANCE" hidden="1">"c4200"</definedName>
    <definedName name="IQ_RECURRING_PROFIT_SHARE_LOW_EST" hidden="1">"c4511"</definedName>
    <definedName name="IQ_RECURRING_PROFIT_SHARE_LOW_GUIDANCE" hidden="1">"c4240"</definedName>
    <definedName name="IQ_RECURRING_PROFIT_SHARE_MEDIAN_EST" hidden="1">"c4512"</definedName>
    <definedName name="IQ_RECURRING_PROFIT_SHARE_NUM_EST" hidden="1">"c4513"</definedName>
    <definedName name="IQ_RECURRING_PROFIT_SHARE_STDDEV_EST" hidden="1">"c4514"</definedName>
    <definedName name="IQ_RECURRING_PROFIT_STDDEV_EST" hidden="1">"c4516"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ACT_OR_EST" hidden="1">"c3585"</definedName>
    <definedName name="IQ_RETURN_ASSETS_ACT_OR_EST_REUT" hidden="1">"c5475"</definedName>
    <definedName name="IQ_RETURN_ASSETS_BANK" hidden="1">"c1114"</definedName>
    <definedName name="IQ_RETURN_ASSETS_BROK" hidden="1">"c1115"</definedName>
    <definedName name="IQ_RETURN_ASSETS_EST" hidden="1">"c3529"</definedName>
    <definedName name="IQ_RETURN_ASSETS_EST_REUT" hidden="1">"c3990"</definedName>
    <definedName name="IQ_RETURN_ASSETS_FS" hidden="1">"c1116"</definedName>
    <definedName name="IQ_RETURN_ASSETS_GUIDANCE" hidden="1">"c4517"</definedName>
    <definedName name="IQ_RETURN_ASSETS_HIGH_EST" hidden="1">"c3530"</definedName>
    <definedName name="IQ_RETURN_ASSETS_HIGH_EST_REUT" hidden="1">"c3992"</definedName>
    <definedName name="IQ_RETURN_ASSETS_HIGH_GUIDANCE" hidden="1">"c4183"</definedName>
    <definedName name="IQ_RETURN_ASSETS_LOW_EST" hidden="1">"c3531"</definedName>
    <definedName name="IQ_RETURN_ASSETS_LOW_EST_REUT" hidden="1">"c3993"</definedName>
    <definedName name="IQ_RETURN_ASSETS_LOW_GUIDANCE" hidden="1">"c4223"</definedName>
    <definedName name="IQ_RETURN_ASSETS_MEDIAN_EST" hidden="1">"c3532"</definedName>
    <definedName name="IQ_RETURN_ASSETS_MEDIAN_EST_REUT" hidden="1">"c3991"</definedName>
    <definedName name="IQ_RETURN_ASSETS_NUM_EST" hidden="1">"c3527"</definedName>
    <definedName name="IQ_RETURN_ASSETS_NUM_EST_REUT" hidden="1">"c3994"</definedName>
    <definedName name="IQ_RETURN_ASSETS_STDDEV_EST" hidden="1">"c3528"</definedName>
    <definedName name="IQ_RETURN_ASSETS_STDDEV_EST_REUT" hidden="1">"c3995"</definedName>
    <definedName name="IQ_RETURN_CAPITAL" hidden="1">"c1117"</definedName>
    <definedName name="IQ_RETURN_EQUITY" hidden="1">"c1118"</definedName>
    <definedName name="IQ_RETURN_EQUITY_ACT_OR_EST" hidden="1">"c3586"</definedName>
    <definedName name="IQ_RETURN_EQUITY_ACT_OR_EST_REUT" hidden="1">"c5476"</definedName>
    <definedName name="IQ_RETURN_EQUITY_BANK" hidden="1">"c1119"</definedName>
    <definedName name="IQ_RETURN_EQUITY_BROK" hidden="1">"c1120"</definedName>
    <definedName name="IQ_RETURN_EQUITY_EST" hidden="1">"c3535"</definedName>
    <definedName name="IQ_RETURN_EQUITY_EST_REUT" hidden="1">"c3983"</definedName>
    <definedName name="IQ_RETURN_EQUITY_FS" hidden="1">"c1121"</definedName>
    <definedName name="IQ_RETURN_EQUITY_GUIDANCE" hidden="1">"c4518"</definedName>
    <definedName name="IQ_RETURN_EQUITY_HIGH_EST" hidden="1">"c3536"</definedName>
    <definedName name="IQ_RETURN_EQUITY_HIGH_EST_REUT" hidden="1">"c3985"</definedName>
    <definedName name="IQ_RETURN_EQUITY_HIGH_GUIDANCE" hidden="1">"c4182"</definedName>
    <definedName name="IQ_RETURN_EQUITY_LOW_EST" hidden="1">"c3537"</definedName>
    <definedName name="IQ_RETURN_EQUITY_LOW_EST_REUT" hidden="1">"c3986"</definedName>
    <definedName name="IQ_RETURN_EQUITY_LOW_GUIDANCE" hidden="1">"c4222"</definedName>
    <definedName name="IQ_RETURN_EQUITY_MEDIAN_EST" hidden="1">"c3538"</definedName>
    <definedName name="IQ_RETURN_EQUITY_MEDIAN_EST_REUT" hidden="1">"c3984"</definedName>
    <definedName name="IQ_RETURN_EQUITY_NUM_EST" hidden="1">"c3533"</definedName>
    <definedName name="IQ_RETURN_EQUITY_NUM_EST_REUT" hidden="1">"c3987"</definedName>
    <definedName name="IQ_RETURN_EQUITY_STDDEV_EST" hidden="1">"c3534"</definedName>
    <definedName name="IQ_RETURN_EQUITY_STDDEV_EST_REUT" hidden="1">"c3988"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ACT_OR_EST_REUT" hidden="1">"c5461"</definedName>
    <definedName name="IQ_REVENUE_EST" hidden="1">"c1126"</definedName>
    <definedName name="IQ_REVENUE_EST_BOTTOM_UP" hidden="1">"c5488"</definedName>
    <definedName name="IQ_REVENUE_EST_BOTTOM_UP_REUT" hidden="1">"c5496"</definedName>
    <definedName name="IQ_REVENUE_EST_REUT" hidden="1">"c3634"</definedName>
    <definedName name="IQ_REVENUE_GUIDANCE" hidden="1">"c4519"</definedName>
    <definedName name="IQ_REVENUE_HIGH_EST" hidden="1">"c1127"</definedName>
    <definedName name="IQ_REVENUE_HIGH_EST_REUT" hidden="1">"c3636"</definedName>
    <definedName name="IQ_REVENUE_HIGH_GUIDANCE" hidden="1">"c4169"</definedName>
    <definedName name="IQ_REVENUE_LOW_EST" hidden="1">"c1128"</definedName>
    <definedName name="IQ_REVENUE_LOW_EST_REUT" hidden="1">"c3637"</definedName>
    <definedName name="IQ_REVENUE_LOW_GUIDANCE" hidden="1">"c4209"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_BANK" hidden="1">"c2637"</definedName>
    <definedName name="IQ_SP_BANK_ACTION" hidden="1">"c2636"</definedName>
    <definedName name="IQ_SP_BANK_DATE" hidden="1">"c2635"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GA" hidden="1">"c2993"</definedName>
    <definedName name="IQ_STOCK_BASED_HIGH_EST" hidden="1">"c4521"</definedName>
    <definedName name="IQ_STOCK_BASED_LOW_EST" hidden="1">"c4522"</definedName>
    <definedName name="IQ_STOCK_BASED_MEDIAN_EST" hidden="1">"c4523"</definedName>
    <definedName name="IQ_STOCK_BASED_NUM_EST" hidden="1">"c4524"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_FWD_REUT" hidden="1">"c4054"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EST" hidden="1">"c4526"</definedName>
    <definedName name="IQ_TEV_HIGH_EST" hidden="1">"c4527"</definedName>
    <definedName name="IQ_TEV_LOW_EST" hidden="1">"c4528"</definedName>
    <definedName name="IQ_TEV_MEDIAN_EST" hidden="1">"c4529"</definedName>
    <definedName name="IQ_TEV_NUM_EST" hidden="1">"c4530"</definedName>
    <definedName name="IQ_TEV_STDDEV_EST" hidden="1">"c4531"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XCL_FIN" hidden="1">"c2937"</definedName>
    <definedName name="IQ_TOTAL_DEBT_GUIDANCE" hidden="1">"c4533"</definedName>
    <definedName name="IQ_TOTAL_DEBT_HIGH_EST" hidden="1">"c4534"</definedName>
    <definedName name="IQ_TOTAL_DEBT_HIGH_GUIDANCE" hidden="1">"c4196"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GUIDANCE" hidden="1">"c4236"</definedName>
    <definedName name="IQ_TOTAL_DEBT_MEDIAN_EST" hidden="1">"c4536"</definedName>
    <definedName name="IQ_TOTAL_DEBT_NUM_EST" hidden="1">"c4537"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TDDEV_EST" hidden="1">"c4538"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S" localSheetId="6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IS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IsColHidden" hidden="1">FALSE</definedName>
    <definedName name="IsLTMColHidden" hidden="1">FALSE</definedName>
    <definedName name="J" localSheetId="21" hidden="1">#REF!</definedName>
    <definedName name="J" localSheetId="12" hidden="1">#REF!</definedName>
    <definedName name="J" localSheetId="13" hidden="1">#REF!</definedName>
    <definedName name="J" localSheetId="14" hidden="1">#REF!</definedName>
    <definedName name="J" localSheetId="16" hidden="1">#REF!</definedName>
    <definedName name="J" localSheetId="15" hidden="1">#REF!</definedName>
    <definedName name="J" localSheetId="17" hidden="1">#REF!</definedName>
    <definedName name="J" localSheetId="11" hidden="1">#REF!</definedName>
    <definedName name="J" localSheetId="10" hidden="1">#REF!</definedName>
    <definedName name="J" localSheetId="22" hidden="1">#REF!</definedName>
    <definedName name="J" localSheetId="24" hidden="1">#REF!</definedName>
    <definedName name="J" localSheetId="23" hidden="1">#REF!</definedName>
    <definedName name="J" localSheetId="20" hidden="1">#REF!</definedName>
    <definedName name="J" localSheetId="19" hidden="1">#REF!</definedName>
    <definedName name="J" localSheetId="26" hidden="1">#REF!</definedName>
    <definedName name="J" localSheetId="27" hidden="1">#REF!</definedName>
    <definedName name="J" localSheetId="25" hidden="1">#REF!</definedName>
    <definedName name="J" localSheetId="7" hidden="1">#REF!</definedName>
    <definedName name="J" localSheetId="4" hidden="1">#REF!</definedName>
    <definedName name="J" localSheetId="5" hidden="1">#REF!</definedName>
    <definedName name="J" localSheetId="2" hidden="1">#REF!</definedName>
    <definedName name="J" localSheetId="3" hidden="1">#REF!</definedName>
    <definedName name="J" hidden="1">#REF!</definedName>
    <definedName name="Jan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Jan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jjjj" localSheetId="6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jjjj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JUJU" localSheetId="6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JUJU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KDFJA" localSheetId="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KDFJA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kf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kf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kjkhjkh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kjkhjkh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este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este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imcount" hidden="1">1</definedName>
    <definedName name="ll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l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Marcio_1" localSheetId="21" hidden="1">'20-10_ET_PTSF'!Header1-1 &amp; "." &amp; MAX(1,COUNTA(INDEX(#REF!,MATCH('20-10_ET_PTSF'!Header1-1,#REF!,FALSE)):#REF!))</definedName>
    <definedName name="Marcio_1" localSheetId="12" hidden="1">'20-13_fg_ATS'!Header1-1 &amp; "." &amp; MAX(1,COUNTA(INDEX(#REF!,MATCH('20-13_fg_ATS'!Header1-1,#REF!,FALSE)):#REF!))</definedName>
    <definedName name="Marcio_1" localSheetId="13" hidden="1">'20-14_fg_PTSF'!Header1-1 &amp; "." &amp; MAX(1,COUNTA(INDEX(#REF!,MATCH('20-14_fg_PTSF'!Header1-1,#REF!,FALSE)):#REF!))</definedName>
    <definedName name="Marcio_1" localSheetId="14" hidden="1">'20-15_Et_ATS'!Header1-1 &amp; "." &amp; MAX(1,COUNTA(INDEX(#REF!,MATCH('20-15_Et_ATS'!Header1-1,#REF!,FALSE)):#REF!))</definedName>
    <definedName name="Marcio_1" localSheetId="16" hidden="1">'20-16_ET&amp;RV_PTSF'!Header1-1 &amp; "." &amp; MAX(1,COUNTA(INDEX(#REF!,MATCH('20-16_ET&amp;RV_PTSF'!Header1-1,#REF!,FALSE)):#REF!))</definedName>
    <definedName name="Marcio_1" localSheetId="15" hidden="1">'20-17_ER_ATS'!Header1-1 &amp; "." &amp; MAX(1,COUNTA(INDEX(#REF!,MATCH('20-17_ER_ATS'!Header1-1,#REF!,FALSE)):#REF!))</definedName>
    <definedName name="Marcio_1" localSheetId="17" hidden="1">'20-18_ETC_ATS'!Header1-1 &amp; "." &amp; MAX(1,COUNTA(INDEX(#REF!,MATCH('20-18_ETC_ATS'!Header1-1,#REF!,FALSE)):#REF!))</definedName>
    <definedName name="Marcio_1" localSheetId="11" hidden="1">'20-19_fnp_ATS'!Header1-1 &amp; "." &amp; MAX(1,COUNTA(INDEX(#REF!,MATCH('20-19_fnp_ATS'!Header1-1,#REF!,FALSE)):#REF!))</definedName>
    <definedName name="Marcio_1" localSheetId="10" hidden="1">'20-20_fnp_PTSF'!Header1-1 &amp; "." &amp; MAX(1,COUNTA(INDEX(#REF!,MATCH('20-20_fnp_PTSF'!Header1-1,#REF!,FALSE)):#REF!))</definedName>
    <definedName name="Marcio_1" localSheetId="22" hidden="1">'20-7_FG_ATS'!Header1-1 &amp; "." &amp; MAX(1,COUNTA(INDEX(#REF!,MATCH('20-7_FG_ATS'!Header1-1,#REF!,FALSE)):#REF!))</definedName>
    <definedName name="Marcio_1" localSheetId="24" hidden="1">'20-7_FG_ATS_2D'!Header1-1 &amp; "." &amp; MAX(1,COUNTA(INDEX(#REF!,MATCH('20-7_FG_ATS_2D'!Header1-1,#REF!,FALSE)):#REF!))</definedName>
    <definedName name="Marcio_1" localSheetId="23" hidden="1">'20-8_FG_PTSF'!Header1-1 &amp; "." &amp; MAX(1,COUNTA(INDEX(#REF!,MATCH('20-8_FG_PTSF'!Header1-1,#REF!,FALSE)):#REF!))</definedName>
    <definedName name="Marcio_1" localSheetId="20" hidden="1">'20-9_ER_ATS'!Header1-1 &amp; "." &amp; MAX(1,COUNTA(INDEX(#REF!,MATCH('20-9_ER_ATS'!Header1-1,#REF!,FALSE)):#REF!))</definedName>
    <definedName name="Marcio_1" localSheetId="19" hidden="1">'20-9_ET_ATS'!Header1-1 &amp; "." &amp; MAX(1,COUNTA(INDEX(#REF!,MATCH('20-9_ET_ATS'!Header1-1,#REF!,FALSE)):#REF!))</definedName>
    <definedName name="Marcio_1" localSheetId="26" hidden="1">'21-10_ER_Up'!Header1-1 &amp; "." &amp; MAX(1,COUNTA(INDEX(#REF!,MATCH('21-10_ER_Up'!Header1-1,#REF!,FALSE)):#REF!))</definedName>
    <definedName name="Marcio_1" localSheetId="27" hidden="1">'21-11_ET_Down'!Header1-1 &amp; "." &amp; MAX(1,COUNTA(INDEX(#REF!,MATCH('21-11_ET_Down'!Header1-1,#REF!,FALSE)):#REF!))</definedName>
    <definedName name="Marcio_1" localSheetId="25" hidden="1">'21-9_ET_UP'!Header1-1 &amp; "." &amp; MAX(1,COUNTA(INDEX(#REF!,MATCH('21-9_ET_UP'!Header1-1,#REF!,FALSE)):#REF!))</definedName>
    <definedName name="Marcio_1" localSheetId="28" hidden="1">'Análise_SAVED '!Header1-1 &amp; "." &amp; MAX(1,COUNTA(INDEX(#REF!,MATCH('Análise_SAVED '!Header1-1,#REF!,FALSE)):#REF!))</definedName>
    <definedName name="Marcio_1" localSheetId="6" hidden="1">[0]!Header1-1 &amp; "." &amp; MAX(1,COUNTA(INDEX(#REF!,MATCH([0]!Header1-1,#REF!,FALSE)):#REF!))</definedName>
    <definedName name="Marcio_1" localSheetId="7" hidden="1">'HCM2010'!Header1-1 &amp; "." &amp; MAX(1,COUNTA(INDEX(#REF!,MATCH('HCM2010'!Header1-1,#REF!,FALSE)):#REF!))</definedName>
    <definedName name="Marcio_1" localSheetId="4" hidden="1">'MULTILANE HIGHWAY'!Header1-1 &amp; "." &amp; MAX(1,COUNTA(INDEX(#REF!,MATCH('MULTILANE HIGHWAY'!Header1-1,#REF!,FALSE)):#REF!))</definedName>
    <definedName name="Marcio_1" localSheetId="5" hidden="1">'MULTILANE HIGHWAY_SPECIAL GRADE'!Header1-1 &amp; "." &amp; MAX(1,COUNTA(INDEX(#REF!,MATCH('MULTILANE HIGHWAY_SPECIAL GRADE'!Header1-1,#REF!,FALSE)):#REF!))</definedName>
    <definedName name="Marcio_1" localSheetId="2" hidden="1">'TWO LANE HIGHWAY'!Header1-1 &amp; "." &amp; MAX(1,COUNTA(INDEX(#REF!,MATCH('TWO LANE HIGHWAY'!Header1-1,#REF!,FALSE)):#REF!))</definedName>
    <definedName name="Marcio_1" localSheetId="3" hidden="1">'TWO LANE HIGHWAY_SPECIAL GRADE'!Header1-1 &amp; "." &amp; MAX(1,COUNTA(INDEX(#REF!,MATCH('TWO LANE HIGHWAY_SPECIAL GRADE'!Header1-1,#REF!,FALSE)):#REF!))</definedName>
    <definedName name="Marcio_1" hidden="1">[0]!Header1-1 &amp; "." &amp; MAX(1,COUNTA(INDEX(#REF!,MATCH([0]!Header1-1,#REF!,FALSE)):#REF!))</definedName>
    <definedName name="Marcio_2" localSheetId="21" hidden="1">'20-10_ET_PTSF'!Header1-1 &amp; "." &amp; MAX(1,COUNTA(INDEX(#REF!,MATCH('20-10_ET_PTSF'!Header1-1,#REF!,FALSE)):#REF!))</definedName>
    <definedName name="Marcio_2" localSheetId="12" hidden="1">'20-13_fg_ATS'!Header1-1 &amp; "." &amp; MAX(1,COUNTA(INDEX(#REF!,MATCH('20-13_fg_ATS'!Header1-1,#REF!,FALSE)):#REF!))</definedName>
    <definedName name="Marcio_2" localSheetId="13" hidden="1">'20-14_fg_PTSF'!Header1-1 &amp; "." &amp; MAX(1,COUNTA(INDEX(#REF!,MATCH('20-14_fg_PTSF'!Header1-1,#REF!,FALSE)):#REF!))</definedName>
    <definedName name="Marcio_2" localSheetId="14" hidden="1">'20-15_Et_ATS'!Header1-1 &amp; "." &amp; MAX(1,COUNTA(INDEX(#REF!,MATCH('20-15_Et_ATS'!Header1-1,#REF!,FALSE)):#REF!))</definedName>
    <definedName name="Marcio_2" localSheetId="16" hidden="1">'20-16_ET&amp;RV_PTSF'!Header1-1 &amp; "." &amp; MAX(1,COUNTA(INDEX(#REF!,MATCH('20-16_ET&amp;RV_PTSF'!Header1-1,#REF!,FALSE)):#REF!))</definedName>
    <definedName name="Marcio_2" localSheetId="15" hidden="1">'20-17_ER_ATS'!Header1-1 &amp; "." &amp; MAX(1,COUNTA(INDEX(#REF!,MATCH('20-17_ER_ATS'!Header1-1,#REF!,FALSE)):#REF!))</definedName>
    <definedName name="Marcio_2" localSheetId="17" hidden="1">'20-18_ETC_ATS'!Header1-1 &amp; "." &amp; MAX(1,COUNTA(INDEX(#REF!,MATCH('20-18_ETC_ATS'!Header1-1,#REF!,FALSE)):#REF!))</definedName>
    <definedName name="Marcio_2" localSheetId="11" hidden="1">'20-19_fnp_ATS'!Header1-1 &amp; "." &amp; MAX(1,COUNTA(INDEX(#REF!,MATCH('20-19_fnp_ATS'!Header1-1,#REF!,FALSE)):#REF!))</definedName>
    <definedName name="Marcio_2" localSheetId="10" hidden="1">'20-20_fnp_PTSF'!Header1-1 &amp; "." &amp; MAX(1,COUNTA(INDEX(#REF!,MATCH('20-20_fnp_PTSF'!Header1-1,#REF!,FALSE)):#REF!))</definedName>
    <definedName name="Marcio_2" localSheetId="22" hidden="1">'20-7_FG_ATS'!Header1-1 &amp; "." &amp; MAX(1,COUNTA(INDEX(#REF!,MATCH('20-7_FG_ATS'!Header1-1,#REF!,FALSE)):#REF!))</definedName>
    <definedName name="Marcio_2" localSheetId="24" hidden="1">'20-7_FG_ATS_2D'!Header1-1 &amp; "." &amp; MAX(1,COUNTA(INDEX(#REF!,MATCH('20-7_FG_ATS_2D'!Header1-1,#REF!,FALSE)):#REF!))</definedName>
    <definedName name="Marcio_2" localSheetId="23" hidden="1">'20-8_FG_PTSF'!Header1-1 &amp; "." &amp; MAX(1,COUNTA(INDEX(#REF!,MATCH('20-8_FG_PTSF'!Header1-1,#REF!,FALSE)):#REF!))</definedName>
    <definedName name="Marcio_2" localSheetId="20" hidden="1">'20-9_ER_ATS'!Header1-1 &amp; "." &amp; MAX(1,COUNTA(INDEX(#REF!,MATCH('20-9_ER_ATS'!Header1-1,#REF!,FALSE)):#REF!))</definedName>
    <definedName name="Marcio_2" localSheetId="19" hidden="1">'20-9_ET_ATS'!Header1-1 &amp; "." &amp; MAX(1,COUNTA(INDEX(#REF!,MATCH('20-9_ET_ATS'!Header1-1,#REF!,FALSE)):#REF!))</definedName>
    <definedName name="Marcio_2" localSheetId="26" hidden="1">'21-10_ER_Up'!Header1-1 &amp; "." &amp; MAX(1,COUNTA(INDEX(#REF!,MATCH('21-10_ER_Up'!Header1-1,#REF!,FALSE)):#REF!))</definedName>
    <definedName name="Marcio_2" localSheetId="27" hidden="1">'21-11_ET_Down'!Header1-1 &amp; "." &amp; MAX(1,COUNTA(INDEX(#REF!,MATCH('21-11_ET_Down'!Header1-1,#REF!,FALSE)):#REF!))</definedName>
    <definedName name="Marcio_2" localSheetId="25" hidden="1">'21-9_ET_UP'!Header1-1 &amp; "." &amp; MAX(1,COUNTA(INDEX(#REF!,MATCH('21-9_ET_UP'!Header1-1,#REF!,FALSE)):#REF!))</definedName>
    <definedName name="Marcio_2" localSheetId="28" hidden="1">'Análise_SAVED '!Header1-1 &amp; "." &amp; MAX(1,COUNTA(INDEX(#REF!,MATCH('Análise_SAVED '!Header1-1,#REF!,FALSE)):#REF!))</definedName>
    <definedName name="Marcio_2" localSheetId="6" hidden="1">[0]!Header1-1 &amp; "." &amp; MAX(1,COUNTA(INDEX(#REF!,MATCH([0]!Header1-1,#REF!,FALSE)):#REF!))</definedName>
    <definedName name="Marcio_2" localSheetId="7" hidden="1">'HCM2010'!Header1-1 &amp; "." &amp; MAX(1,COUNTA(INDEX(#REF!,MATCH('HCM2010'!Header1-1,#REF!,FALSE)):#REF!))</definedName>
    <definedName name="Marcio_2" localSheetId="4" hidden="1">'MULTILANE HIGHWAY'!Header1-1 &amp; "." &amp; MAX(1,COUNTA(INDEX(#REF!,MATCH('MULTILANE HIGHWAY'!Header1-1,#REF!,FALSE)):#REF!))</definedName>
    <definedName name="Marcio_2" localSheetId="5" hidden="1">'MULTILANE HIGHWAY_SPECIAL GRADE'!Header1-1 &amp; "." &amp; MAX(1,COUNTA(INDEX(#REF!,MATCH('MULTILANE HIGHWAY_SPECIAL GRADE'!Header1-1,#REF!,FALSE)):#REF!))</definedName>
    <definedName name="Marcio_2" localSheetId="2" hidden="1">'TWO LANE HIGHWAY'!Header1-1 &amp; "." &amp; MAX(1,COUNTA(INDEX(#REF!,MATCH('TWO LANE HIGHWAY'!Header1-1,#REF!,FALSE)):#REF!))</definedName>
    <definedName name="Marcio_2" localSheetId="3" hidden="1">'TWO LANE HIGHWAY_SPECIAL GRADE'!Header1-1 &amp; "." &amp; MAX(1,COUNTA(INDEX(#REF!,MATCH('TWO LANE HIGHWAY_SPECIAL GRADE'!Header1-1,#REF!,FALSE)):#REF!))</definedName>
    <definedName name="Marcio_2" hidden="1">[0]!Header1-1 &amp; "." &amp; MAX(1,COUNTA(INDEX(#REF!,MATCH([0]!Header1-1,#REF!,FALSE)):#REF!))</definedName>
    <definedName name="Marcio_3" localSheetId="21" hidden="1">'20-10_ET_PTSF'!Header1-1 &amp; "." &amp; MAX(1,COUNTA(INDEX(#REF!,MATCH('20-10_ET_PTSF'!Header1-1,#REF!,FALSE)):#REF!))</definedName>
    <definedName name="Marcio_3" localSheetId="12" hidden="1">'20-13_fg_ATS'!Header1-1 &amp; "." &amp; MAX(1,COUNTA(INDEX(#REF!,MATCH('20-13_fg_ATS'!Header1-1,#REF!,FALSE)):#REF!))</definedName>
    <definedName name="Marcio_3" localSheetId="13" hidden="1">'20-14_fg_PTSF'!Header1-1 &amp; "." &amp; MAX(1,COUNTA(INDEX(#REF!,MATCH('20-14_fg_PTSF'!Header1-1,#REF!,FALSE)):#REF!))</definedName>
    <definedName name="Marcio_3" localSheetId="14" hidden="1">'20-15_Et_ATS'!Header1-1 &amp; "." &amp; MAX(1,COUNTA(INDEX(#REF!,MATCH('20-15_Et_ATS'!Header1-1,#REF!,FALSE)):#REF!))</definedName>
    <definedName name="Marcio_3" localSheetId="16" hidden="1">'20-16_ET&amp;RV_PTSF'!Header1-1 &amp; "." &amp; MAX(1,COUNTA(INDEX(#REF!,MATCH('20-16_ET&amp;RV_PTSF'!Header1-1,#REF!,FALSE)):#REF!))</definedName>
    <definedName name="Marcio_3" localSheetId="15" hidden="1">'20-17_ER_ATS'!Header1-1 &amp; "." &amp; MAX(1,COUNTA(INDEX(#REF!,MATCH('20-17_ER_ATS'!Header1-1,#REF!,FALSE)):#REF!))</definedName>
    <definedName name="Marcio_3" localSheetId="17" hidden="1">'20-18_ETC_ATS'!Header1-1 &amp; "." &amp; MAX(1,COUNTA(INDEX(#REF!,MATCH('20-18_ETC_ATS'!Header1-1,#REF!,FALSE)):#REF!))</definedName>
    <definedName name="Marcio_3" localSheetId="11" hidden="1">'20-19_fnp_ATS'!Header1-1 &amp; "." &amp; MAX(1,COUNTA(INDEX(#REF!,MATCH('20-19_fnp_ATS'!Header1-1,#REF!,FALSE)):#REF!))</definedName>
    <definedName name="Marcio_3" localSheetId="10" hidden="1">'20-20_fnp_PTSF'!Header1-1 &amp; "." &amp; MAX(1,COUNTA(INDEX(#REF!,MATCH('20-20_fnp_PTSF'!Header1-1,#REF!,FALSE)):#REF!))</definedName>
    <definedName name="Marcio_3" localSheetId="22" hidden="1">'20-7_FG_ATS'!Header1-1 &amp; "." &amp; MAX(1,COUNTA(INDEX(#REF!,MATCH('20-7_FG_ATS'!Header1-1,#REF!,FALSE)):#REF!))</definedName>
    <definedName name="Marcio_3" localSheetId="24" hidden="1">'20-7_FG_ATS_2D'!Header1-1 &amp; "." &amp; MAX(1,COUNTA(INDEX(#REF!,MATCH('20-7_FG_ATS_2D'!Header1-1,#REF!,FALSE)):#REF!))</definedName>
    <definedName name="Marcio_3" localSheetId="23" hidden="1">'20-8_FG_PTSF'!Header1-1 &amp; "." &amp; MAX(1,COUNTA(INDEX(#REF!,MATCH('20-8_FG_PTSF'!Header1-1,#REF!,FALSE)):#REF!))</definedName>
    <definedName name="Marcio_3" localSheetId="20" hidden="1">'20-9_ER_ATS'!Header1-1 &amp; "." &amp; MAX(1,COUNTA(INDEX(#REF!,MATCH('20-9_ER_ATS'!Header1-1,#REF!,FALSE)):#REF!))</definedName>
    <definedName name="Marcio_3" localSheetId="19" hidden="1">'20-9_ET_ATS'!Header1-1 &amp; "." &amp; MAX(1,COUNTA(INDEX(#REF!,MATCH('20-9_ET_ATS'!Header1-1,#REF!,FALSE)):#REF!))</definedName>
    <definedName name="Marcio_3" localSheetId="26" hidden="1">'21-10_ER_Up'!Header1-1 &amp; "." &amp; MAX(1,COUNTA(INDEX(#REF!,MATCH('21-10_ER_Up'!Header1-1,#REF!,FALSE)):#REF!))</definedName>
    <definedName name="Marcio_3" localSheetId="27" hidden="1">'21-11_ET_Down'!Header1-1 &amp; "." &amp; MAX(1,COUNTA(INDEX(#REF!,MATCH('21-11_ET_Down'!Header1-1,#REF!,FALSE)):#REF!))</definedName>
    <definedName name="Marcio_3" localSheetId="25" hidden="1">'21-9_ET_UP'!Header1-1 &amp; "." &amp; MAX(1,COUNTA(INDEX(#REF!,MATCH('21-9_ET_UP'!Header1-1,#REF!,FALSE)):#REF!))</definedName>
    <definedName name="Marcio_3" localSheetId="28" hidden="1">'Análise_SAVED '!Header1-1 &amp; "." &amp; MAX(1,COUNTA(INDEX(#REF!,MATCH('Análise_SAVED '!Header1-1,#REF!,FALSE)):#REF!))</definedName>
    <definedName name="Marcio_3" localSheetId="6" hidden="1">[0]!Header1-1 &amp; "." &amp; MAX(1,COUNTA(INDEX(#REF!,MATCH([0]!Header1-1,#REF!,FALSE)):#REF!))</definedName>
    <definedName name="Marcio_3" localSheetId="7" hidden="1">'HCM2010'!Header1-1 &amp; "." &amp; MAX(1,COUNTA(INDEX(#REF!,MATCH('HCM2010'!Header1-1,#REF!,FALSE)):#REF!))</definedName>
    <definedName name="Marcio_3" localSheetId="4" hidden="1">'MULTILANE HIGHWAY'!Header1-1 &amp; "." &amp; MAX(1,COUNTA(INDEX(#REF!,MATCH('MULTILANE HIGHWAY'!Header1-1,#REF!,FALSE)):#REF!))</definedName>
    <definedName name="Marcio_3" localSheetId="5" hidden="1">'MULTILANE HIGHWAY_SPECIAL GRADE'!Header1-1 &amp; "." &amp; MAX(1,COUNTA(INDEX(#REF!,MATCH('MULTILANE HIGHWAY_SPECIAL GRADE'!Header1-1,#REF!,FALSE)):#REF!))</definedName>
    <definedName name="Marcio_3" localSheetId="2" hidden="1">'TWO LANE HIGHWAY'!Header1-1 &amp; "." &amp; MAX(1,COUNTA(INDEX(#REF!,MATCH('TWO LANE HIGHWAY'!Header1-1,#REF!,FALSE)):#REF!))</definedName>
    <definedName name="Marcio_3" localSheetId="3" hidden="1">'TWO LANE HIGHWAY_SPECIAL GRADE'!Header1-1 &amp; "." &amp; MAX(1,COUNTA(INDEX(#REF!,MATCH('TWO LANE HIGHWAY_SPECIAL GRADE'!Header1-1,#REF!,FALSE)):#REF!))</definedName>
    <definedName name="Marcio_3" hidden="1">[0]!Header1-1 &amp; "." &amp; MAX(1,COUNTA(INDEX(#REF!,MATCH([0]!Header1-1,#REF!,FALSE)):#REF!))</definedName>
    <definedName name="Marcio_4" localSheetId="21" hidden="1">'20-10_ET_PTSF'!Header1-1 &amp; "." &amp; MAX(1,COUNTA(INDEX(#REF!,MATCH('20-10_ET_PTSF'!Header1-1,#REF!,FALSE)):#REF!))</definedName>
    <definedName name="Marcio_4" localSheetId="12" hidden="1">'20-13_fg_ATS'!Header1-1 &amp; "." &amp; MAX(1,COUNTA(INDEX(#REF!,MATCH('20-13_fg_ATS'!Header1-1,#REF!,FALSE)):#REF!))</definedName>
    <definedName name="Marcio_4" localSheetId="13" hidden="1">'20-14_fg_PTSF'!Header1-1 &amp; "." &amp; MAX(1,COUNTA(INDEX(#REF!,MATCH('20-14_fg_PTSF'!Header1-1,#REF!,FALSE)):#REF!))</definedName>
    <definedName name="Marcio_4" localSheetId="14" hidden="1">'20-15_Et_ATS'!Header1-1 &amp; "." &amp; MAX(1,COUNTA(INDEX(#REF!,MATCH('20-15_Et_ATS'!Header1-1,#REF!,FALSE)):#REF!))</definedName>
    <definedName name="Marcio_4" localSheetId="16" hidden="1">'20-16_ET&amp;RV_PTSF'!Header1-1 &amp; "." &amp; MAX(1,COUNTA(INDEX(#REF!,MATCH('20-16_ET&amp;RV_PTSF'!Header1-1,#REF!,FALSE)):#REF!))</definedName>
    <definedName name="Marcio_4" localSheetId="15" hidden="1">'20-17_ER_ATS'!Header1-1 &amp; "." &amp; MAX(1,COUNTA(INDEX(#REF!,MATCH('20-17_ER_ATS'!Header1-1,#REF!,FALSE)):#REF!))</definedName>
    <definedName name="Marcio_4" localSheetId="17" hidden="1">'20-18_ETC_ATS'!Header1-1 &amp; "." &amp; MAX(1,COUNTA(INDEX(#REF!,MATCH('20-18_ETC_ATS'!Header1-1,#REF!,FALSE)):#REF!))</definedName>
    <definedName name="Marcio_4" localSheetId="11" hidden="1">'20-19_fnp_ATS'!Header1-1 &amp; "." &amp; MAX(1,COUNTA(INDEX(#REF!,MATCH('20-19_fnp_ATS'!Header1-1,#REF!,FALSE)):#REF!))</definedName>
    <definedName name="Marcio_4" localSheetId="10" hidden="1">'20-20_fnp_PTSF'!Header1-1 &amp; "." &amp; MAX(1,COUNTA(INDEX(#REF!,MATCH('20-20_fnp_PTSF'!Header1-1,#REF!,FALSE)):#REF!))</definedName>
    <definedName name="Marcio_4" localSheetId="22" hidden="1">'20-7_FG_ATS'!Header1-1 &amp; "." &amp; MAX(1,COUNTA(INDEX(#REF!,MATCH('20-7_FG_ATS'!Header1-1,#REF!,FALSE)):#REF!))</definedName>
    <definedName name="Marcio_4" localSheetId="24" hidden="1">'20-7_FG_ATS_2D'!Header1-1 &amp; "." &amp; MAX(1,COUNTA(INDEX(#REF!,MATCH('20-7_FG_ATS_2D'!Header1-1,#REF!,FALSE)):#REF!))</definedName>
    <definedName name="Marcio_4" localSheetId="23" hidden="1">'20-8_FG_PTSF'!Header1-1 &amp; "." &amp; MAX(1,COUNTA(INDEX(#REF!,MATCH('20-8_FG_PTSF'!Header1-1,#REF!,FALSE)):#REF!))</definedName>
    <definedName name="Marcio_4" localSheetId="20" hidden="1">'20-9_ER_ATS'!Header1-1 &amp; "." &amp; MAX(1,COUNTA(INDEX(#REF!,MATCH('20-9_ER_ATS'!Header1-1,#REF!,FALSE)):#REF!))</definedName>
    <definedName name="Marcio_4" localSheetId="19" hidden="1">'20-9_ET_ATS'!Header1-1 &amp; "." &amp; MAX(1,COUNTA(INDEX(#REF!,MATCH('20-9_ET_ATS'!Header1-1,#REF!,FALSE)):#REF!))</definedName>
    <definedName name="Marcio_4" localSheetId="26" hidden="1">'21-10_ER_Up'!Header1-1 &amp; "." &amp; MAX(1,COUNTA(INDEX(#REF!,MATCH('21-10_ER_Up'!Header1-1,#REF!,FALSE)):#REF!))</definedName>
    <definedName name="Marcio_4" localSheetId="27" hidden="1">'21-11_ET_Down'!Header1-1 &amp; "." &amp; MAX(1,COUNTA(INDEX(#REF!,MATCH('21-11_ET_Down'!Header1-1,#REF!,FALSE)):#REF!))</definedName>
    <definedName name="Marcio_4" localSheetId="25" hidden="1">'21-9_ET_UP'!Header1-1 &amp; "." &amp; MAX(1,COUNTA(INDEX(#REF!,MATCH('21-9_ET_UP'!Header1-1,#REF!,FALSE)):#REF!))</definedName>
    <definedName name="Marcio_4" localSheetId="28" hidden="1">'Análise_SAVED '!Header1-1 &amp; "." &amp; MAX(1,COUNTA(INDEX(#REF!,MATCH('Análise_SAVED '!Header1-1,#REF!,FALSE)):#REF!))</definedName>
    <definedName name="Marcio_4" localSheetId="6" hidden="1">[0]!Header1-1 &amp; "." &amp; MAX(1,COUNTA(INDEX(#REF!,MATCH([0]!Header1-1,#REF!,FALSE)):#REF!))</definedName>
    <definedName name="Marcio_4" localSheetId="7" hidden="1">'HCM2010'!Header1-1 &amp; "." &amp; MAX(1,COUNTA(INDEX(#REF!,MATCH('HCM2010'!Header1-1,#REF!,FALSE)):#REF!))</definedName>
    <definedName name="Marcio_4" localSheetId="4" hidden="1">'MULTILANE HIGHWAY'!Header1-1 &amp; "." &amp; MAX(1,COUNTA(INDEX(#REF!,MATCH('MULTILANE HIGHWAY'!Header1-1,#REF!,FALSE)):#REF!))</definedName>
    <definedName name="Marcio_4" localSheetId="5" hidden="1">'MULTILANE HIGHWAY_SPECIAL GRADE'!Header1-1 &amp; "." &amp; MAX(1,COUNTA(INDEX(#REF!,MATCH('MULTILANE HIGHWAY_SPECIAL GRADE'!Header1-1,#REF!,FALSE)):#REF!))</definedName>
    <definedName name="Marcio_4" localSheetId="2" hidden="1">'TWO LANE HIGHWAY'!Header1-1 &amp; "." &amp; MAX(1,COUNTA(INDEX(#REF!,MATCH('TWO LANE HIGHWAY'!Header1-1,#REF!,FALSE)):#REF!))</definedName>
    <definedName name="Marcio_4" localSheetId="3" hidden="1">'TWO LANE HIGHWAY_SPECIAL GRADE'!Header1-1 &amp; "." &amp; MAX(1,COUNTA(INDEX(#REF!,MATCH('TWO LANE HIGHWAY_SPECIAL GRADE'!Header1-1,#REF!,FALSE)):#REF!))</definedName>
    <definedName name="Marcio_4" hidden="1">[0]!Header1-1 &amp; "." &amp; MAX(1,COUNTA(INDEX(#REF!,MATCH([0]!Header1-1,#REF!,FALSE)):#REF!))</definedName>
    <definedName name="Marcio_5" localSheetId="21" hidden="1">'20-10_ET_PTSF'!Header1-1 &amp; "." &amp; MAX(1,COUNTA(INDEX(#REF!,MATCH('20-10_ET_PTSF'!Header1-1,#REF!,FALSE)):#REF!))</definedName>
    <definedName name="Marcio_5" localSheetId="12" hidden="1">'20-13_fg_ATS'!Header1-1 &amp; "." &amp; MAX(1,COUNTA(INDEX(#REF!,MATCH('20-13_fg_ATS'!Header1-1,#REF!,FALSE)):#REF!))</definedName>
    <definedName name="Marcio_5" localSheetId="13" hidden="1">'20-14_fg_PTSF'!Header1-1 &amp; "." &amp; MAX(1,COUNTA(INDEX(#REF!,MATCH('20-14_fg_PTSF'!Header1-1,#REF!,FALSE)):#REF!))</definedName>
    <definedName name="Marcio_5" localSheetId="14" hidden="1">'20-15_Et_ATS'!Header1-1 &amp; "." &amp; MAX(1,COUNTA(INDEX(#REF!,MATCH('20-15_Et_ATS'!Header1-1,#REF!,FALSE)):#REF!))</definedName>
    <definedName name="Marcio_5" localSheetId="16" hidden="1">'20-16_ET&amp;RV_PTSF'!Header1-1 &amp; "." &amp; MAX(1,COUNTA(INDEX(#REF!,MATCH('20-16_ET&amp;RV_PTSF'!Header1-1,#REF!,FALSE)):#REF!))</definedName>
    <definedName name="Marcio_5" localSheetId="15" hidden="1">'20-17_ER_ATS'!Header1-1 &amp; "." &amp; MAX(1,COUNTA(INDEX(#REF!,MATCH('20-17_ER_ATS'!Header1-1,#REF!,FALSE)):#REF!))</definedName>
    <definedName name="Marcio_5" localSheetId="17" hidden="1">'20-18_ETC_ATS'!Header1-1 &amp; "." &amp; MAX(1,COUNTA(INDEX(#REF!,MATCH('20-18_ETC_ATS'!Header1-1,#REF!,FALSE)):#REF!))</definedName>
    <definedName name="Marcio_5" localSheetId="11" hidden="1">'20-19_fnp_ATS'!Header1-1 &amp; "." &amp; MAX(1,COUNTA(INDEX(#REF!,MATCH('20-19_fnp_ATS'!Header1-1,#REF!,FALSE)):#REF!))</definedName>
    <definedName name="Marcio_5" localSheetId="10" hidden="1">'20-20_fnp_PTSF'!Header1-1 &amp; "." &amp; MAX(1,COUNTA(INDEX(#REF!,MATCH('20-20_fnp_PTSF'!Header1-1,#REF!,FALSE)):#REF!))</definedName>
    <definedName name="Marcio_5" localSheetId="22" hidden="1">'20-7_FG_ATS'!Header1-1 &amp; "." &amp; MAX(1,COUNTA(INDEX(#REF!,MATCH('20-7_FG_ATS'!Header1-1,#REF!,FALSE)):#REF!))</definedName>
    <definedName name="Marcio_5" localSheetId="24" hidden="1">'20-7_FG_ATS_2D'!Header1-1 &amp; "." &amp; MAX(1,COUNTA(INDEX(#REF!,MATCH('20-7_FG_ATS_2D'!Header1-1,#REF!,FALSE)):#REF!))</definedName>
    <definedName name="Marcio_5" localSheetId="23" hidden="1">'20-8_FG_PTSF'!Header1-1 &amp; "." &amp; MAX(1,COUNTA(INDEX(#REF!,MATCH('20-8_FG_PTSF'!Header1-1,#REF!,FALSE)):#REF!))</definedName>
    <definedName name="Marcio_5" localSheetId="20" hidden="1">'20-9_ER_ATS'!Header1-1 &amp; "." &amp; MAX(1,COUNTA(INDEX(#REF!,MATCH('20-9_ER_ATS'!Header1-1,#REF!,FALSE)):#REF!))</definedName>
    <definedName name="Marcio_5" localSheetId="19" hidden="1">'20-9_ET_ATS'!Header1-1 &amp; "." &amp; MAX(1,COUNTA(INDEX(#REF!,MATCH('20-9_ET_ATS'!Header1-1,#REF!,FALSE)):#REF!))</definedName>
    <definedName name="Marcio_5" localSheetId="26" hidden="1">'21-10_ER_Up'!Header1-1 &amp; "." &amp; MAX(1,COUNTA(INDEX(#REF!,MATCH('21-10_ER_Up'!Header1-1,#REF!,FALSE)):#REF!))</definedName>
    <definedName name="Marcio_5" localSheetId="27" hidden="1">'21-11_ET_Down'!Header1-1 &amp; "." &amp; MAX(1,COUNTA(INDEX(#REF!,MATCH('21-11_ET_Down'!Header1-1,#REF!,FALSE)):#REF!))</definedName>
    <definedName name="Marcio_5" localSheetId="25" hidden="1">'21-9_ET_UP'!Header1-1 &amp; "." &amp; MAX(1,COUNTA(INDEX(#REF!,MATCH('21-9_ET_UP'!Header1-1,#REF!,FALSE)):#REF!))</definedName>
    <definedName name="Marcio_5" localSheetId="28" hidden="1">'Análise_SAVED '!Header1-1 &amp; "." &amp; MAX(1,COUNTA(INDEX(#REF!,MATCH('Análise_SAVED '!Header1-1,#REF!,FALSE)):#REF!))</definedName>
    <definedName name="Marcio_5" localSheetId="6" hidden="1">[0]!Header1-1 &amp; "." &amp; MAX(1,COUNTA(INDEX(#REF!,MATCH([0]!Header1-1,#REF!,FALSE)):#REF!))</definedName>
    <definedName name="Marcio_5" localSheetId="7" hidden="1">'HCM2010'!Header1-1 &amp; "." &amp; MAX(1,COUNTA(INDEX(#REF!,MATCH('HCM2010'!Header1-1,#REF!,FALSE)):#REF!))</definedName>
    <definedName name="Marcio_5" localSheetId="4" hidden="1">'MULTILANE HIGHWAY'!Header1-1 &amp; "." &amp; MAX(1,COUNTA(INDEX(#REF!,MATCH('MULTILANE HIGHWAY'!Header1-1,#REF!,FALSE)):#REF!))</definedName>
    <definedName name="Marcio_5" localSheetId="5" hidden="1">'MULTILANE HIGHWAY_SPECIAL GRADE'!Header1-1 &amp; "." &amp; MAX(1,COUNTA(INDEX(#REF!,MATCH('MULTILANE HIGHWAY_SPECIAL GRADE'!Header1-1,#REF!,FALSE)):#REF!))</definedName>
    <definedName name="Marcio_5" localSheetId="2" hidden="1">'TWO LANE HIGHWAY'!Header1-1 &amp; "." &amp; MAX(1,COUNTA(INDEX(#REF!,MATCH('TWO LANE HIGHWAY'!Header1-1,#REF!,FALSE)):#REF!))</definedName>
    <definedName name="Marcio_5" localSheetId="3" hidden="1">'TWO LANE HIGHWAY_SPECIAL GRADE'!Header1-1 &amp; "." &amp; MAX(1,COUNTA(INDEX(#REF!,MATCH('TWO LANE HIGHWAY_SPECIAL GRADE'!Header1-1,#REF!,FALSE)):#REF!))</definedName>
    <definedName name="Marcio_5" hidden="1">[0]!Header1-1 &amp; "." &amp; MAX(1,COUNTA(INDEX(#REF!,MATCH([0]!Header1-1,#REF!,FALSE)):#REF!))</definedName>
    <definedName name="mASTER" localSheetId="6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mASTER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merito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merito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mmmmm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mmmmm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nOVO" localSheetId="6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nOVO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novo_nome" localSheetId="6" hidden="1">{#N/A,#N/A,FALSE,"31 - Balanço";#N/A,#N/A,FALSE,"41 - Resultado";#N/A,#N/A,FALSE,"51 - Fluxo de Caixa"}</definedName>
    <definedName name="novo_nome" hidden="1">{#N/A,#N/A,FALSE,"31 - Balanço";#N/A,#N/A,FALSE,"41 - Resultado";#N/A,#N/A,FALSE,"51 - Fluxo de Caixa"}</definedName>
    <definedName name="OA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A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rçado_2011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Orçado_201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origen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rige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Pal_Workbook_GUID" hidden="1">"FCTILZC3LXQUCG6AIJP4NTMK"</definedName>
    <definedName name="plan" localSheetId="21" hidden="1">#REF!</definedName>
    <definedName name="plan" localSheetId="12" hidden="1">#REF!</definedName>
    <definedName name="plan" localSheetId="13" hidden="1">#REF!</definedName>
    <definedName name="plan" localSheetId="14" hidden="1">#REF!</definedName>
    <definedName name="plan" localSheetId="16" hidden="1">#REF!</definedName>
    <definedName name="plan" localSheetId="15" hidden="1">#REF!</definedName>
    <definedName name="plan" localSheetId="17" hidden="1">#REF!</definedName>
    <definedName name="plan" localSheetId="11" hidden="1">#REF!</definedName>
    <definedName name="plan" localSheetId="10" hidden="1">#REF!</definedName>
    <definedName name="plan" localSheetId="22" hidden="1">#REF!</definedName>
    <definedName name="plan" localSheetId="24" hidden="1">#REF!</definedName>
    <definedName name="plan" localSheetId="23" hidden="1">#REF!</definedName>
    <definedName name="plan" localSheetId="20" hidden="1">#REF!</definedName>
    <definedName name="plan" localSheetId="19" hidden="1">#REF!</definedName>
    <definedName name="plan" localSheetId="26" hidden="1">#REF!</definedName>
    <definedName name="plan" localSheetId="27" hidden="1">#REF!</definedName>
    <definedName name="plan" localSheetId="25" hidden="1">#REF!</definedName>
    <definedName name="plan" localSheetId="7" hidden="1">#REF!</definedName>
    <definedName name="plan" localSheetId="4" hidden="1">#REF!</definedName>
    <definedName name="plan" localSheetId="5" hidden="1">#REF!</definedName>
    <definedName name="plan" localSheetId="2" hidden="1">#REF!</definedName>
    <definedName name="plan" localSheetId="3" hidden="1">#REF!</definedName>
    <definedName name="plan" hidden="1">#REF!</definedName>
    <definedName name="Previsao" localSheetId="6" hidden="1">{"'Índice'!$A$1:$K$49"}</definedName>
    <definedName name="Previsao" hidden="1">{"'Índice'!$A$1:$K$49"}</definedName>
    <definedName name="q" localSheetId="6" hidden="1">{"'Índice'!$A$1:$K$49"}</definedName>
    <definedName name="q" hidden="1">{"'Índice'!$A$1:$K$49"}</definedName>
    <definedName name="qq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q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qq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q" localSheetId="6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qqqqqqqq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qqqqqqqqq" localSheetId="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qqqqqqqqq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qwewqadasfdytwyytryryrrt6hyyuiuokp0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wewqadasfdytwyytryryrrt6hyyuiuokp0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RangeChange" hidden="1">#N/A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2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rr" localSheetId="6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rrr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SAPBEXrevision" hidden="1">18</definedName>
    <definedName name="SAPBEXsysID" hidden="1">"B1P"</definedName>
    <definedName name="SAPBEXwbID" hidden="1">"4ZUOE77O1HF840EF45K3PLCV5"</definedName>
    <definedName name="sencount" hidden="1">1</definedName>
    <definedName name="sheet1" localSheetId="21" hidden="1">'20-10_ET_PTSF'!Header1-1 &amp; "." &amp; MAX(1,COUNTA(INDEX(#REF!,MATCH('20-10_ET_PTSF'!Header1-1,#REF!,FALSE)):#REF!))</definedName>
    <definedName name="sheet1" localSheetId="12" hidden="1">'20-13_fg_ATS'!Header1-1 &amp; "." &amp; MAX(1,COUNTA(INDEX(#REF!,MATCH('20-13_fg_ATS'!Header1-1,#REF!,FALSE)):#REF!))</definedName>
    <definedName name="sheet1" localSheetId="13" hidden="1">'20-14_fg_PTSF'!Header1-1 &amp; "." &amp; MAX(1,COUNTA(INDEX(#REF!,MATCH('20-14_fg_PTSF'!Header1-1,#REF!,FALSE)):#REF!))</definedName>
    <definedName name="sheet1" localSheetId="14" hidden="1">'20-15_Et_ATS'!Header1-1 &amp; "." &amp; MAX(1,COUNTA(INDEX(#REF!,MATCH('20-15_Et_ATS'!Header1-1,#REF!,FALSE)):#REF!))</definedName>
    <definedName name="sheet1" localSheetId="16" hidden="1">'20-16_ET&amp;RV_PTSF'!Header1-1 &amp; "." &amp; MAX(1,COUNTA(INDEX(#REF!,MATCH('20-16_ET&amp;RV_PTSF'!Header1-1,#REF!,FALSE)):#REF!))</definedName>
    <definedName name="sheet1" localSheetId="15" hidden="1">'20-17_ER_ATS'!Header1-1 &amp; "." &amp; MAX(1,COUNTA(INDEX(#REF!,MATCH('20-17_ER_ATS'!Header1-1,#REF!,FALSE)):#REF!))</definedName>
    <definedName name="sheet1" localSheetId="17" hidden="1">'20-18_ETC_ATS'!Header1-1 &amp; "." &amp; MAX(1,COUNTA(INDEX(#REF!,MATCH('20-18_ETC_ATS'!Header1-1,#REF!,FALSE)):#REF!))</definedName>
    <definedName name="sheet1" localSheetId="11" hidden="1">'20-19_fnp_ATS'!Header1-1 &amp; "." &amp; MAX(1,COUNTA(INDEX(#REF!,MATCH('20-19_fnp_ATS'!Header1-1,#REF!,FALSE)):#REF!))</definedName>
    <definedName name="sheet1" localSheetId="10" hidden="1">'20-20_fnp_PTSF'!Header1-1 &amp; "." &amp; MAX(1,COUNTA(INDEX(#REF!,MATCH('20-20_fnp_PTSF'!Header1-1,#REF!,FALSE)):#REF!))</definedName>
    <definedName name="sheet1" localSheetId="22" hidden="1">'20-7_FG_ATS'!Header1-1 &amp; "." &amp; MAX(1,COUNTA(INDEX(#REF!,MATCH('20-7_FG_ATS'!Header1-1,#REF!,FALSE)):#REF!))</definedName>
    <definedName name="sheet1" localSheetId="24" hidden="1">'20-7_FG_ATS_2D'!Header1-1 &amp; "." &amp; MAX(1,COUNTA(INDEX(#REF!,MATCH('20-7_FG_ATS_2D'!Header1-1,#REF!,FALSE)):#REF!))</definedName>
    <definedName name="sheet1" localSheetId="23" hidden="1">'20-8_FG_PTSF'!Header1-1 &amp; "." &amp; MAX(1,COUNTA(INDEX(#REF!,MATCH('20-8_FG_PTSF'!Header1-1,#REF!,FALSE)):#REF!))</definedName>
    <definedName name="sheet1" localSheetId="20" hidden="1">'20-9_ER_ATS'!Header1-1 &amp; "." &amp; MAX(1,COUNTA(INDEX(#REF!,MATCH('20-9_ER_ATS'!Header1-1,#REF!,FALSE)):#REF!))</definedName>
    <definedName name="sheet1" localSheetId="19" hidden="1">'20-9_ET_ATS'!Header1-1 &amp; "." &amp; MAX(1,COUNTA(INDEX(#REF!,MATCH('20-9_ET_ATS'!Header1-1,#REF!,FALSE)):#REF!))</definedName>
    <definedName name="sheet1" localSheetId="26" hidden="1">'21-10_ER_Up'!Header1-1 &amp; "." &amp; MAX(1,COUNTA(INDEX(#REF!,MATCH('21-10_ER_Up'!Header1-1,#REF!,FALSE)):#REF!))</definedName>
    <definedName name="sheet1" localSheetId="27" hidden="1">'21-11_ET_Down'!Header1-1 &amp; "." &amp; MAX(1,COUNTA(INDEX(#REF!,MATCH('21-11_ET_Down'!Header1-1,#REF!,FALSE)):#REF!))</definedName>
    <definedName name="sheet1" localSheetId="25" hidden="1">'21-9_ET_UP'!Header1-1 &amp; "." &amp; MAX(1,COUNTA(INDEX(#REF!,MATCH('21-9_ET_UP'!Header1-1,#REF!,FALSE)):#REF!))</definedName>
    <definedName name="sheet1" localSheetId="28" hidden="1">'Análise_SAVED '!Header1-1 &amp; "." &amp; MAX(1,COUNTA(INDEX(#REF!,MATCH('Análise_SAVED '!Header1-1,#REF!,FALSE)):#REF!))</definedName>
    <definedName name="sheet1" localSheetId="6" hidden="1">[0]!Header1-1 &amp; "." &amp; MAX(1,COUNTA(INDEX(#REF!,MATCH([0]!Header1-1,#REF!,FALSE)):#REF!))</definedName>
    <definedName name="sheet1" localSheetId="7" hidden="1">'HCM2010'!Header1-1 &amp; "." &amp; MAX(1,COUNTA(INDEX(#REF!,MATCH('HCM2010'!Header1-1,#REF!,FALSE)):#REF!))</definedName>
    <definedName name="sheet1" localSheetId="4" hidden="1">'MULTILANE HIGHWAY'!Header1-1 &amp; "." &amp; MAX(1,COUNTA(INDEX(#REF!,MATCH('MULTILANE HIGHWAY'!Header1-1,#REF!,FALSE)):#REF!))</definedName>
    <definedName name="sheet1" localSheetId="5" hidden="1">'MULTILANE HIGHWAY_SPECIAL GRADE'!Header1-1 &amp; "." &amp; MAX(1,COUNTA(INDEX(#REF!,MATCH('MULTILANE HIGHWAY_SPECIAL GRADE'!Header1-1,#REF!,FALSE)):#REF!))</definedName>
    <definedName name="sheet1" localSheetId="2" hidden="1">'TWO LANE HIGHWAY'!Header1-1 &amp; "." &amp; MAX(1,COUNTA(INDEX(#REF!,MATCH('TWO LANE HIGHWAY'!Header1-1,#REF!,FALSE)):#REF!))</definedName>
    <definedName name="sheet1" localSheetId="3" hidden="1">'TWO LANE HIGHWAY_SPECIAL GRADE'!Header1-1 &amp; "." &amp; MAX(1,COUNTA(INDEX(#REF!,MATCH('TWO LANE HIGHWAY_SPECIAL GRADE'!Header1-1,#REF!,FALSE)):#REF!))</definedName>
    <definedName name="sheet1" hidden="1">[0]!Header1-1 &amp; "." &amp; MAX(1,COUNTA(INDEX(#REF!,MATCH([0]!Header1-1,#REF!,FALSE)):#REF!))</definedName>
    <definedName name="SLEVIN" localSheetId="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olver_adj" hidden="1">[6]Premissas!$Z$166,[6]Premissas!$Z$161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in" hidden="1">2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2</definedName>
    <definedName name="solver_rel2" hidden="1">3</definedName>
    <definedName name="solver_rhs2" hidden="1">0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19.66</definedName>
    <definedName name="ss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ss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temp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temp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testa" localSheetId="6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testa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teste" localSheetId="21" hidden="1">'20-10_ET_PTSF'!Header1-1 &amp; "." &amp; MAX(1,COUNTA(INDEX(#REF!,MATCH('20-10_ET_PTSF'!Header1-1,#REF!,FALSE)):#REF!))</definedName>
    <definedName name="teste" localSheetId="12" hidden="1">'20-13_fg_ATS'!Header1-1 &amp; "." &amp; MAX(1,COUNTA(INDEX(#REF!,MATCH('20-13_fg_ATS'!Header1-1,#REF!,FALSE)):#REF!))</definedName>
    <definedName name="teste" localSheetId="13" hidden="1">'20-14_fg_PTSF'!Header1-1 &amp; "." &amp; MAX(1,COUNTA(INDEX(#REF!,MATCH('20-14_fg_PTSF'!Header1-1,#REF!,FALSE)):#REF!))</definedName>
    <definedName name="teste" localSheetId="14" hidden="1">'20-15_Et_ATS'!Header1-1 &amp; "." &amp; MAX(1,COUNTA(INDEX(#REF!,MATCH('20-15_Et_ATS'!Header1-1,#REF!,FALSE)):#REF!))</definedName>
    <definedName name="teste" localSheetId="16" hidden="1">'20-16_ET&amp;RV_PTSF'!Header1-1 &amp; "." &amp; MAX(1,COUNTA(INDEX(#REF!,MATCH('20-16_ET&amp;RV_PTSF'!Header1-1,#REF!,FALSE)):#REF!))</definedName>
    <definedName name="teste" localSheetId="15" hidden="1">'20-17_ER_ATS'!Header1-1 &amp; "." &amp; MAX(1,COUNTA(INDEX(#REF!,MATCH('20-17_ER_ATS'!Header1-1,#REF!,FALSE)):#REF!))</definedName>
    <definedName name="teste" localSheetId="17" hidden="1">'20-18_ETC_ATS'!Header1-1 &amp; "." &amp; MAX(1,COUNTA(INDEX(#REF!,MATCH('20-18_ETC_ATS'!Header1-1,#REF!,FALSE)):#REF!))</definedName>
    <definedName name="teste" localSheetId="11" hidden="1">'20-19_fnp_ATS'!Header1-1 &amp; "." &amp; MAX(1,COUNTA(INDEX(#REF!,MATCH('20-19_fnp_ATS'!Header1-1,#REF!,FALSE)):#REF!))</definedName>
    <definedName name="teste" localSheetId="10" hidden="1">'20-20_fnp_PTSF'!Header1-1 &amp; "." &amp; MAX(1,COUNTA(INDEX(#REF!,MATCH('20-20_fnp_PTSF'!Header1-1,#REF!,FALSE)):#REF!))</definedName>
    <definedName name="teste" localSheetId="22" hidden="1">'20-7_FG_ATS'!Header1-1 &amp; "." &amp; MAX(1,COUNTA(INDEX(#REF!,MATCH('20-7_FG_ATS'!Header1-1,#REF!,FALSE)):#REF!))</definedName>
    <definedName name="teste" localSheetId="24" hidden="1">'20-7_FG_ATS_2D'!Header1-1 &amp; "." &amp; MAX(1,COUNTA(INDEX(#REF!,MATCH('20-7_FG_ATS_2D'!Header1-1,#REF!,FALSE)):#REF!))</definedName>
    <definedName name="teste" localSheetId="23" hidden="1">'20-8_FG_PTSF'!Header1-1 &amp; "." &amp; MAX(1,COUNTA(INDEX(#REF!,MATCH('20-8_FG_PTSF'!Header1-1,#REF!,FALSE)):#REF!))</definedName>
    <definedName name="teste" localSheetId="20" hidden="1">'20-9_ER_ATS'!Header1-1 &amp; "." &amp; MAX(1,COUNTA(INDEX(#REF!,MATCH('20-9_ER_ATS'!Header1-1,#REF!,FALSE)):#REF!))</definedName>
    <definedName name="teste" localSheetId="19" hidden="1">'20-9_ET_ATS'!Header1-1 &amp; "." &amp; MAX(1,COUNTA(INDEX(#REF!,MATCH('20-9_ET_ATS'!Header1-1,#REF!,FALSE)):#REF!))</definedName>
    <definedName name="teste" localSheetId="26" hidden="1">'21-10_ER_Up'!Header1-1 &amp; "." &amp; MAX(1,COUNTA(INDEX(#REF!,MATCH('21-10_ER_Up'!Header1-1,#REF!,FALSE)):#REF!))</definedName>
    <definedName name="teste" localSheetId="27" hidden="1">'21-11_ET_Down'!Header1-1 &amp; "." &amp; MAX(1,COUNTA(INDEX(#REF!,MATCH('21-11_ET_Down'!Header1-1,#REF!,FALSE)):#REF!))</definedName>
    <definedName name="teste" localSheetId="25" hidden="1">'21-9_ET_UP'!Header1-1 &amp; "." &amp; MAX(1,COUNTA(INDEX(#REF!,MATCH('21-9_ET_UP'!Header1-1,#REF!,FALSE)):#REF!))</definedName>
    <definedName name="teste" localSheetId="28" hidden="1">'Análise_SAVED '!Header1-1 &amp; "." &amp; MAX(1,COUNTA(INDEX(#REF!,MATCH('Análise_SAVED '!Header1-1,#REF!,FALSE)):#REF!))</definedName>
    <definedName name="teste" localSheetId="6" hidden="1">[0]!Header1-1 &amp; "." &amp; MAX(1,COUNTA(INDEX(#REF!,MATCH([0]!Header1-1,#REF!,FALSE)):#REF!))</definedName>
    <definedName name="teste" localSheetId="7" hidden="1">'HCM2010'!Header1-1 &amp; "." &amp; MAX(1,COUNTA(INDEX(#REF!,MATCH('HCM2010'!Header1-1,#REF!,FALSE)):#REF!))</definedName>
    <definedName name="teste" localSheetId="4" hidden="1">'MULTILANE HIGHWAY'!Header1-1 &amp; "." &amp; MAX(1,COUNTA(INDEX(#REF!,MATCH('MULTILANE HIGHWAY'!Header1-1,#REF!,FALSE)):#REF!))</definedName>
    <definedName name="teste" localSheetId="5" hidden="1">'MULTILANE HIGHWAY_SPECIAL GRADE'!Header1-1 &amp; "." &amp; MAX(1,COUNTA(INDEX(#REF!,MATCH('MULTILANE HIGHWAY_SPECIAL GRADE'!Header1-1,#REF!,FALSE)):#REF!))</definedName>
    <definedName name="teste" localSheetId="2" hidden="1">'TWO LANE HIGHWAY'!Header1-1 &amp; "." &amp; MAX(1,COUNTA(INDEX(#REF!,MATCH('TWO LANE HIGHWAY'!Header1-1,#REF!,FALSE)):#REF!))</definedName>
    <definedName name="teste" localSheetId="3" hidden="1">'TWO LANE HIGHWAY_SPECIAL GRADE'!Header1-1 &amp; "." &amp; MAX(1,COUNTA(INDEX(#REF!,MATCH('TWO LANE HIGHWAY_SPECIAL GRADE'!Header1-1,#REF!,FALSE)):#REF!))</definedName>
    <definedName name="teste" hidden="1">[0]!Header1-1 &amp; "." &amp; MAX(1,COUNTA(INDEX(#REF!,MATCH([0]!Header1-1,#REF!,FALSE)):#REF!))</definedName>
    <definedName name="TextRefCopyRangeCount" hidden="1">15</definedName>
    <definedName name="toto" localSheetId="6" hidden="1">{"'Database'!$A$1:$F$130"}</definedName>
    <definedName name="toto" hidden="1">{"'Database'!$A$1:$F$130"}</definedName>
    <definedName name="tøv" localSheetId="6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tøv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TT_value" localSheetId="12">'20-13_fg_ATS'!$T:$T</definedName>
    <definedName name="TT_value" localSheetId="13">'20-14_fg_PTSF'!$T:$T</definedName>
    <definedName name="TT_value" localSheetId="14">'20-15_Et_ATS'!$T:$T</definedName>
    <definedName name="TT_value" localSheetId="16">'20-16_ET&amp;RV_PTSF'!$T:$T</definedName>
    <definedName name="TT_value" localSheetId="15">'20-17_ER_ATS'!$T:$T</definedName>
    <definedName name="TT_value" localSheetId="11">'20-19_fnp_ATS'!$T:$T</definedName>
    <definedName name="TT_value" localSheetId="10">'20-20_fnp_PTSF'!$T:$T</definedName>
    <definedName name="TT_value" localSheetId="26">'21-10_ER_Up'!$T:$T</definedName>
    <definedName name="TT_value" localSheetId="27">'21-11_ET_Down'!$T:$T</definedName>
    <definedName name="TT_value" localSheetId="25">'21-9_ET_UP'!$T:$T</definedName>
    <definedName name="TT_value">FDNP!$T:$T</definedName>
    <definedName name="UBB_UTEJF" localSheetId="6" hidden="1">{#N/A,#N/A,FALSE,"ANEXO3 99 ERA";#N/A,#N/A,FALSE,"ANEXO3 99 UBÁ2";#N/A,#N/A,FALSE,"ANEXO3 99 DTU";#N/A,#N/A,FALSE,"ANEXO3 99 RDR";#N/A,#N/A,FALSE,"ANEXO3 99 UBÁ4";#N/A,#N/A,FALSE,"ANEXO3 99 UBÁ6"}</definedName>
    <definedName name="UBB_UTEJF" hidden="1">{#N/A,#N/A,FALSE,"ANEXO3 99 ERA";#N/A,#N/A,FALSE,"ANEXO3 99 UBÁ2";#N/A,#N/A,FALSE,"ANEXO3 99 DTU";#N/A,#N/A,FALSE,"ANEXO3 99 RDR";#N/A,#N/A,FALSE,"ANEXO3 99 UBÁ4";#N/A,#N/A,FALSE,"ANEXO3 99 UBÁ6"}</definedName>
    <definedName name="veiculo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veiculo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er" localSheetId="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er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N" localSheetId="6" hidden="1">{#N/A,#N/A,FALSE,"31 - Balanço";#N/A,#N/A,FALSE,"41 - Resultado";#N/A,#N/A,FALSE,"51 - Fluxo de Caixa"}</definedName>
    <definedName name="WN" hidden="1">{#N/A,#N/A,FALSE,"31 - Balanço";#N/A,#N/A,FALSE,"41 - Resultado";#N/A,#N/A,FALSE,"51 - Fluxo de Caixa"}</definedName>
    <definedName name="wrn.Acquisition_matrix." localSheetId="6" hidden="1">{"Acq_matrix",#N/A,FALSE,"Acquisition Matrix"}</definedName>
    <definedName name="wrn.Acquisition_matrix." hidden="1">{"Acq_matrix",#N/A,FALSE,"Acquisition Matrix"}</definedName>
    <definedName name="wrn.Aging._.and._.Trend._.Analysis." localSheetId="6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kerr" localSheetId="6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kerr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kerRGI96." localSheetId="6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kerRGI96.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LAN." localSheetId="6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l." localSheetId="6" hidden="1">{#N/A,#N/A,FALSE,"cpt"}</definedName>
    <definedName name="wrn.all." hidden="1">{#N/A,#N/A,FALSE,"cpt"}</definedName>
    <definedName name="wrn.ALLE._.ÅRSKJEMAER." localSheetId="6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wrn.ALLE._.ÅRSKJEMAER.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wrn.ANEXO0300." localSheetId="6" hidden="1">{#N/A,#N/A,FALSE,"ANEXO3 00 GDV";#N/A,#N/A,FALSE,"ANEXO3 00 GCM";#N/A,#N/A,FALSE,"ANEXO3 00  UBÁ6";#N/A,#N/A,FALSE,"ANEXO3 00 CJI";#N/A,#N/A,FALSE,"ANEXO3 00 UBÁ4";#N/A,#N/A,FALSE,"ANEXO3 00 UBÁ5";#N/A,#N/A,FALSE,"ANEXO3 00 UBÁ7";#N/A,#N/A,FALSE,"ANEXO3 00 VRB1"}</definedName>
    <definedName name="wrn.ANEXO0300." hidden="1">{#N/A,#N/A,FALSE,"ANEXO3 00 GDV";#N/A,#N/A,FALSE,"ANEXO3 00 GCM";#N/A,#N/A,FALSE,"ANEXO3 00  UBÁ6";#N/A,#N/A,FALSE,"ANEXO3 00 CJI";#N/A,#N/A,FALSE,"ANEXO3 00 UBÁ4";#N/A,#N/A,FALSE,"ANEXO3 00 UBÁ5";#N/A,#N/A,FALSE,"ANEXO3 00 UBÁ7";#N/A,#N/A,FALSE,"ANEXO3 00 VRB1"}</definedName>
    <definedName name="wrn.ANEXO0399." localSheetId="6" hidden="1">{#N/A,#N/A,FALSE,"ANEXO3 99 ERA";#N/A,#N/A,FALSE,"ANEXO3 99 UBÁ2";#N/A,#N/A,FALSE,"ANEXO3 99 DTU";#N/A,#N/A,FALSE,"ANEXO3 99 RDR";#N/A,#N/A,FALSE,"ANEXO3 99 UBÁ4";#N/A,#N/A,FALSE,"ANEXO3 99 UBÁ6"}</definedName>
    <definedName name="wrn.ANEXO0399." hidden="1">{#N/A,#N/A,FALSE,"ANEXO3 99 ERA";#N/A,#N/A,FALSE,"ANEXO3 99 UBÁ2";#N/A,#N/A,FALSE,"ANEXO3 99 DTU";#N/A,#N/A,FALSE,"ANEXO3 99 RDR";#N/A,#N/A,FALSE,"ANEXO3 99 UBÁ4";#N/A,#N/A,FALSE,"ANEXO3 99 UBÁ6"}</definedName>
    <definedName name="wrn.ANNUAL._.ACCOUNTS._.FORM." localSheetId="6" hidden="1">{#N/A,#N/A,FALSE,"FORM 6.1 ";#N/A,#N/A,FALSE,"FORM 6.2";#N/A,#N/A,FALSE,"FORM 6.3";#N/A,#N/A,FALSE,"FORM 6.4";#N/A,#N/A,FALSE,"FORM 6.5";#N/A,#N/A,FALSE,"FORM 6.6 ";#N/A,#N/A,FALSE,"FORM 6.7 ";#N/A,#N/A,FALSE,"FORM 6.8 ";#N/A,#N/A,FALSE,"FORM 6.9";#N/A,#N/A,FALSE,"FORM 6.10 ";#N/A,#N/A,FALSE,"FORM 6.11 ";#N/A,#N/A,FALSE,"FORM 6.12 ";#N/A,#N/A,FALSE,"FORM 6.13 ";#N/A,#N/A,FALSE,"FORM 6.14";#N/A,#N/A,FALSE,"FORM 6.15 ";#N/A,#N/A,FALSE,"FORM 6.16 ";#N/A,#N/A,FALSE,"FORM 6.17 ";#N/A,#N/A,FALSE,"FORM 6.18 ";#N/A,#N/A,FALSE,"FORM 6.19 ";#N/A,#N/A,FALSE,"FORM 6.20 ";#N/A,#N/A,FALSE,"FORM 6.21";#N/A,#N/A,FALSE,"FORM 6.22 ";#N/A,#N/A,FALSE,"FORM 6.23 ";#N/A,#N/A,FALSE,"FORM 6.24 ";#N/A,#N/A,FALSE,"FORM 6.25";#N/A,#N/A,FALSE,"FORM 6.26 ";#N/A,#N/A,FALSE,"FORM 6.27";#N/A,#N/A,FALSE,"FORM 6.28 ";#N/A,#N/A,FALSE,"FORM 6.29";#N/A,#N/A,FALSE,"FORM 6.30";#N/A,#N/A,FALSE,"FORM 6.31"}</definedName>
    <definedName name="wrn.ANNUAL._.ACCOUNTS._.FORM." hidden="1">{#N/A,#N/A,FALSE,"FORM 6.1 ";#N/A,#N/A,FALSE,"FORM 6.2";#N/A,#N/A,FALSE,"FORM 6.3";#N/A,#N/A,FALSE,"FORM 6.4";#N/A,#N/A,FALSE,"FORM 6.5";#N/A,#N/A,FALSE,"FORM 6.6 ";#N/A,#N/A,FALSE,"FORM 6.7 ";#N/A,#N/A,FALSE,"FORM 6.8 ";#N/A,#N/A,FALSE,"FORM 6.9";#N/A,#N/A,FALSE,"FORM 6.10 ";#N/A,#N/A,FALSE,"FORM 6.11 ";#N/A,#N/A,FALSE,"FORM 6.12 ";#N/A,#N/A,FALSE,"FORM 6.13 ";#N/A,#N/A,FALSE,"FORM 6.14";#N/A,#N/A,FALSE,"FORM 6.15 ";#N/A,#N/A,FALSE,"FORM 6.16 ";#N/A,#N/A,FALSE,"FORM 6.17 ";#N/A,#N/A,FALSE,"FORM 6.18 ";#N/A,#N/A,FALSE,"FORM 6.19 ";#N/A,#N/A,FALSE,"FORM 6.20 ";#N/A,#N/A,FALSE,"FORM 6.21";#N/A,#N/A,FALSE,"FORM 6.22 ";#N/A,#N/A,FALSE,"FORM 6.23 ";#N/A,#N/A,FALSE,"FORM 6.24 ";#N/A,#N/A,FALSE,"FORM 6.25";#N/A,#N/A,FALSE,"FORM 6.26 ";#N/A,#N/A,FALSE,"FORM 6.27";#N/A,#N/A,FALSE,"FORM 6.28 ";#N/A,#N/A,FALSE,"FORM 6.29";#N/A,#N/A,FALSE,"FORM 6.30";#N/A,#N/A,FALSE,"FORM 6.31"}</definedName>
    <definedName name="wrn.aogt." localSheetId="6" hidden="1">{#N/A,#N/A,FALSE,"Res_Albatross";#N/A,#N/A,FALSE,"Bal_Albatross";#N/A,#N/A,FALSE,"Kont_Albatross";#N/A,#N/A,FALSE,"Note 1-5";#N/A,#N/A,FALSE,"Note 6-9";#N/A,#N/A,FALSE,"Bal_note10-14";#N/A,#N/A,FALSE,"Note 15-16";#N/A,#N/A,FALSE,"Note 17-19";#N/A,#N/A,FALSE,"Note 20-23";#N/A,#N/A,FALSE,"Nøkkeltall"}</definedName>
    <definedName name="wrn.aogt." hidden="1">{#N/A,#N/A,FALSE,"Res_Albatross";#N/A,#N/A,FALSE,"Bal_Albatross";#N/A,#N/A,FALSE,"Kont_Albatross";#N/A,#N/A,FALSE,"Note 1-5";#N/A,#N/A,FALSE,"Note 6-9";#N/A,#N/A,FALSE,"Bal_note10-14";#N/A,#N/A,FALSE,"Note 15-16";#N/A,#N/A,FALSE,"Note 17-19";#N/A,#N/A,FALSE,"Note 20-23";#N/A,#N/A,FALSE,"Nøkkeltall"}</definedName>
    <definedName name="wrn.AQUIROR._.DCF." localSheetId="6" hidden="1">{"AQUIRORDCF",#N/A,FALSE,"Merger consequences";"Acquirorassns",#N/A,FALSE,"Merger consequences"}</definedName>
    <definedName name="wrn.AQUIROR._.DCF." hidden="1">{"AQUIRORDCF",#N/A,FALSE,"Merger consequences";"Acquirorassns",#N/A,FALSE,"Merger consequences"}</definedName>
    <definedName name="wrn.Buildups." localSheetId="6" hidden="1">{"ACQ",#N/A,FALSE,"ACQUISITIONS";"ACQF",#N/A,FALSE,"ACQUISITIONS";"PF",#N/A,FALSE,"PROYECTOVILA";"PV",#N/A,FALSE,"PROYECTOVILA";"Fee Dev",#N/A,FALSE,"DEVELOPMENT GROWTH";"gd",#N/A,FALSE,"DEVELOPMENT GROWTH"}</definedName>
    <definedName name="wrn.Buildups." hidden="1">{"ACQ",#N/A,FALSE,"ACQUISITIONS";"ACQF",#N/A,FALSE,"ACQUISITIONS";"PF",#N/A,FALSE,"PROYECTOVILA";"PV",#N/A,FALSE,"PROYECTOVILA";"Fee Dev",#N/A,FALSE,"DEVELOPMENT GROWTH";"gd",#N/A,FALSE,"DEVELOPMENT GROWTH"}</definedName>
    <definedName name="wrn.Comparaison._.DMU." localSheetId="6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wrn.Comparaison._.DMU.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wrn.COMPCO." localSheetId="6" hidden="1">{"Page1",#N/A,FALSE,"CompCo";"Page2",#N/A,FALSE,"CompCo"}</definedName>
    <definedName name="wrn.COMPCO." hidden="1">{"Page1",#N/A,FALSE,"CompCo";"Page2",#N/A,FALSE,"CompCo"}</definedName>
    <definedName name="wrn.DCF_Terminal_Value_qchm." localSheetId="6" hidden="1">{"qchm_dcf",#N/A,FALSE,"QCHMDCF2";"qchm_terminal",#N/A,FALSE,"QCHMDCF2"}</definedName>
    <definedName name="wrn.DCF_Terminal_Value_qchm." hidden="1">{"qchm_dcf",#N/A,FALSE,"QCHMDCF2";"qchm_terminal",#N/A,FALSE,"QCHMDCF2"}</definedName>
    <definedName name="wrn.ddd" localSheetId="6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ddd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Demonstrações._.Financeiras." localSheetId="6" hidden="1">{#N/A,#N/A,FALSE,"31 - Balanço";#N/A,#N/A,FALSE,"41 - Resultado";#N/A,#N/A,FALSE,"51 - Fluxo de Caixa"}</definedName>
    <definedName name="wrn.Demonstrações._.Financeiras." hidden="1">{#N/A,#N/A,FALSE,"31 - Balanço";#N/A,#N/A,FALSE,"41 - Resultado";#N/A,#N/A,FALSE,"51 - Fluxo de Caixa"}</definedName>
    <definedName name="wrn.EKSKL.._.PM._.FORM." localSheetId="6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wrn.EKSKL.._.PM._.FORM.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wrn.EKSKL.._.PM._.SKJEMAER." localSheetId="6" hidden="1">{#N/A,#N/A,TRUE,"Skjema 6.5";#N/A,#N/A,TRUE,"Skjema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6.30";#N/A,#N/A,TRUE,"Skjema 6.31b"}</definedName>
    <definedName name="wrn.EKSKL.._.PM._.SKJEMAER." hidden="1">{#N/A,#N/A,TRUE,"Skjema 6.5";#N/A,#N/A,TRUE,"Skjema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6.30";#N/A,#N/A,TRUE,"Skjema 6.31b"}</definedName>
    <definedName name="wrn.Entire._.Model." localSheetId="6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stimation._.TP." localSheetId="6" hidden="1">{#N/A,#N/A,TRUE,"Recap";#N/A,#N/A,TRUE,"Comp taux";#N/A,#N/A,TRUE,"Deplaf";#N/A,#N/A,TRUE,"Siége";#N/A,#N/A,TRUE,"Saint Ouen";#N/A,#N/A,TRUE,"Ivry";#N/A,#N/A,TRUE,"Issy";#N/A,#N/A,TRUE,"VA"}</definedName>
    <definedName name="wrn.Estimation._.TP." hidden="1">{#N/A,#N/A,TRUE,"Recap";#N/A,#N/A,TRUE,"Comp taux";#N/A,#N/A,TRUE,"Deplaf";#N/A,#N/A,TRUE,"Siége";#N/A,#N/A,TRUE,"Saint Ouen";#N/A,#N/A,TRUE,"Ivry";#N/A,#N/A,TRUE,"Issy";#N/A,#N/A,TRUE,"VA"}</definedName>
    <definedName name="wrn.fff" localSheetId="6" hidden="1">{#N/A,#N/A,FALSE,"Res.regn.Aker a.s";#N/A,#N/A,FALSE,"Balanse3112.Aker a.s";#N/A,#N/A,FALSE,"Kont.anal.Aker a.s ";#N/A,#N/A,FALSE,"Noter 1-2.Aker a.s";#N/A,#N/A,FALSE,"Noter 3-7.Aker a.s";#N/A,#N/A,FALSE,"Rev.beretning 95"}</definedName>
    <definedName name="wrn.fff" hidden="1">{#N/A,#N/A,FALSE,"Res.regn.Aker a.s";#N/A,#N/A,FALSE,"Balanse3112.Aker a.s";#N/A,#N/A,FALSE,"Kont.anal.Aker a.s ";#N/A,#N/A,FALSE,"Noter 1-2.Aker a.s";#N/A,#N/A,FALSE,"Noter 3-7.Aker a.s";#N/A,#N/A,FALSE,"Rev.beretning 95"}</definedName>
    <definedName name="wrn.ffg" localSheetId="6" hidden="1">{#N/A,#N/A,FALSE,"REGNSKAPSUTDRAG DIVISJON";#N/A,#N/A,FALSE,"Nøkkeltall"}</definedName>
    <definedName name="wrn.ffg" hidden="1">{#N/A,#N/A,FALSE,"REGNSKAPSUTDRAG DIVISJON";#N/A,#N/A,FALSE,"Nøkkeltall"}</definedName>
    <definedName name="wrn.Financials_long." localSheetId="6" hidden="1">{"IS",#N/A,FALSE,"Financials2 (Expanded)";"bsa",#N/A,FALSE,"Financials2 (Expanded)";"BS",#N/A,FALSE,"Financials2 (Expanded)";"CF",#N/A,FALSE,"Financials2 (Expanded)"}</definedName>
    <definedName name="wrn.Financials_long." hidden="1">{"IS",#N/A,FALSE,"Financials2 (Expanded)";"bsa",#N/A,FALSE,"Financials2 (Expanded)";"BS",#N/A,FALSE,"Financials2 (Expanded)";"CF",#N/A,FALSE,"Financials2 (Expanded)"}</definedName>
    <definedName name="wrn.Full._.Monty." localSheetId="6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report." localSheetId="6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gleachår." localSheetId="6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gleachår.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holding." localSheetId="6" hidden="1">{#N/A,#N/A,FALSE,"forside";#N/A,#N/A,FALSE,"ResRegn.A-kons.";#N/A,#N/A,FALSE,"Bal3112.A-kons.";#N/A,#N/A,FALSE,"Kont.a.A-kons.";#N/A,#N/A,FALSE,"Note 4-10";#N/A,#N/A,FALSE,"Noter Balanse.A-kons.";#N/A,#N/A,FALSE,"Note 17-18.A-kons. ";#N/A,#N/A,FALSE,"Note 20-22.A-kons.";#N/A,#N/A,FALSE,"Note 23 A-kons.";#N/A,#N/A,FALSE,"Note 24-31.A-kons.";#N/A,#N/A,FALSE,"Nøkkeltall"}</definedName>
    <definedName name="wrn.holding." hidden="1">{#N/A,#N/A,FALSE,"forside";#N/A,#N/A,FALSE,"ResRegn.A-kons.";#N/A,#N/A,FALSE,"Bal3112.A-kons.";#N/A,#N/A,FALSE,"Kont.a.A-kons.";#N/A,#N/A,FALSE,"Note 4-10";#N/A,#N/A,FALSE,"Noter Balanse.A-kons.";#N/A,#N/A,FALSE,"Note 17-18.A-kons. ";#N/A,#N/A,FALSE,"Note 20-22.A-kons.";#N/A,#N/A,FALSE,"Note 23 A-kons.";#N/A,#N/A,FALSE,"Note 24-31.A-kons.";#N/A,#N/A,FALSE,"Nøkkeltall"}</definedName>
    <definedName name="wrn.impresión.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1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NT.._.MELLOMV." localSheetId="6" hidden="1">{#N/A,#N/A,FALSE,"Skjema 6.5"}</definedName>
    <definedName name="wrn.INT.._.MELLOMV." hidden="1">{#N/A,#N/A,FALSE,"Skjema 6.5"}</definedName>
    <definedName name="wrn.Model." localSheetId="6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wrn.Model.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wrn.Print." localSheetId="6" hidden="1">{"vi1",#N/A,FALSE,"Financial Statements";"vi2",#N/A,FALSE,"Financial Statements";#N/A,#N/A,FALSE,"DCF"}</definedName>
    <definedName name="wrn.Print." hidden="1">{"vi1",#N/A,FALSE,"Financial Statements";"vi2",#N/A,FALSE,"Financial Statements";#N/A,#N/A,FALSE,"DCF"}</definedName>
    <definedName name="wrn.Print._.Report." localSheetId="6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port.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All." localSheetId="6" hidden="1">{"PA1",#N/A,FALSE,"BORDMW";"pa2",#N/A,FALSE,"BORDMW";"PA3",#N/A,FALSE,"BORDMW";"PA4",#N/A,FALSE,"BORDMW"}</definedName>
    <definedName name="wrn.PrintAll." hidden="1">{"PA1",#N/A,FALSE,"BORDMW";"pa2",#N/A,FALSE,"BORDMW";"PA3",#N/A,FALSE,"BORDMW";"PA4",#N/A,FALSE,"BORDMW"}</definedName>
    <definedName name="wrn.Proforma._.1." localSheetId="6" hidden="1">{"side1",#N/A,FALSE,"ResRegn.A-kons.";"Side2",#N/A,FALSE,"Bal3112.A-kons."}</definedName>
    <definedName name="wrn.Proforma._.1." hidden="1">{"side1",#N/A,FALSE,"ResRegn.A-kons.";"Side2",#N/A,FALSE,"Bal3112.A-kons."}</definedName>
    <definedName name="wrn.reg" localSheetId="6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n95.xls." localSheetId="6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n95.xls.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nAker.xls." localSheetId="6" hidden="1">{#N/A,#N/A,FALSE,"Res.regn.Aker a.s";#N/A,#N/A,FALSE,"Balanse3112.Aker a.s";#N/A,#N/A,FALSE,"Kont.anal.Aker a.s ";#N/A,#N/A,FALSE,"Noter 1-2.Aker a.s";#N/A,#N/A,FALSE,"Noter 3-7.Aker a.s";#N/A,#N/A,FALSE,"Rev.beretning 95"}</definedName>
    <definedName name="wrn.RegnAker.xls." hidden="1">{#N/A,#N/A,FALSE,"Res.regn.Aker a.s";#N/A,#N/A,FALSE,"Balanse3112.Aker a.s";#N/A,#N/A,FALSE,"Kont.anal.Aker a.s ";#N/A,#N/A,FALSE,"Noter 1-2.Aker a.s";#N/A,#N/A,FALSE,"Noter 3-7.Aker a.s";#N/A,#N/A,FALSE,"Rev.beretning 95"}</definedName>
    <definedName name="wrn.sales." localSheetId="6" hidden="1">{"sales",#N/A,FALSE,"Sales";"sales existing",#N/A,FALSE,"Sales";"sales rd1",#N/A,FALSE,"Sales";"sales rd2",#N/A,FALSE,"Sales"}</definedName>
    <definedName name="wrn.sales." hidden="1">{"sales",#N/A,FALSE,"Sales";"sales existing",#N/A,FALSE,"Sales";"sales rd1",#N/A,FALSE,"Sales";"sales rd2",#N/A,FALSE,"Sales"}</definedName>
    <definedName name="wrn.SHORT." localSheetId="6" hidden="1">{"CREDIT STATISTICS",#N/A,FALSE,"STATS";"CF_AND_IS",#N/A,FALSE,"PLAN";"BALSHEET",#N/A,FALSE,"BALANCE SHEET"}</definedName>
    <definedName name="wrn.SHORT." hidden="1">{"CREDIT STATISTICS",#N/A,FALSE,"STATS";"CF_AND_IS",#N/A,FALSE,"PLAN";"BALSHEET",#N/A,FALSE,"BALANCE SHEET"}</definedName>
    <definedName name="wrn.SUMMARY." localSheetId="6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TARGET._.DCF." localSheetId="6" hidden="1">{"targetdcf",#N/A,FALSE,"Merger consequences";"TARGETASSU",#N/A,FALSE,"Merger consequences";"TERMINAL VALUE",#N/A,FALSE,"Merger consequences"}</definedName>
    <definedName name="wrn.TARGET._.DCF." hidden="1">{"targetdcf",#N/A,FALSE,"Merger consequences";"TARGETASSU",#N/A,FALSE,"Merger consequences";"TERMINAL VALUE",#N/A,FALSE,"Merger consequences"}</definedName>
    <definedName name="wrn.test" localSheetId="6" hidden="1">{"test",#N/A,FALSE,"ResRegn.A-kons.";"test",#N/A,FALSE,"Note11-12";"test1",#N/A,FALSE,"Note11-12"}</definedName>
    <definedName name="wrn.test" hidden="1">{"test",#N/A,FALSE,"ResRegn.A-kons.";"test",#N/A,FALSE,"Note11-12";"test1",#N/A,FALSE,"Note11-12"}</definedName>
    <definedName name="wrn.test2." localSheetId="6" hidden="1">{"test",#N/A,FALSE,"ResRegn.A-kons.";"test",#N/A,FALSE,"Note11-12";"test1",#N/A,FALSE,"Note11-12"}</definedName>
    <definedName name="wrn.test2." hidden="1">{"test",#N/A,FALSE,"ResRegn.A-kons.";"test",#N/A,FALSE,"Note11-12";"test1",#N/A,FALSE,"Note11-12"}</definedName>
    <definedName name="wrn.todo." localSheetId="6" hidden="1">{"Caja",#N/A,TRUE,"P&amp;G BG";"PyG",#N/A,TRUE,"P&amp;G BG";"Balance",#N/A,TRUE,"P&amp;G BG"}</definedName>
    <definedName name="wrn.todo." hidden="1">{"Caja",#N/A,TRUE,"P&amp;G BG";"PyG",#N/A,TRUE,"P&amp;G BG";"Balance",#N/A,TRUE,"P&amp;G BG"}</definedName>
    <definedName name="wrn.Utdr_div.xls." localSheetId="6" hidden="1">{#N/A,#N/A,FALSE,"REGNSKAPSUTDRAG DIVISJON";#N/A,#N/A,FALSE,"Nøkkeltall"}</definedName>
    <definedName name="wrn.Utdr_div.xls." hidden="1">{#N/A,#N/A,FALSE,"REGNSKAPSUTDRAG DIVISJON";#N/A,#N/A,FALSE,"Nøkkeltall"}</definedName>
    <definedName name="wrn.uuu" localSheetId="6" hidden="1">{"side1",#N/A,FALSE,"ResRegn.A-kons.";"Side2",#N/A,FALSE,"Bal3112.A-kons."}</definedName>
    <definedName name="wrn.uuu" hidden="1">{"side1",#N/A,FALSE,"ResRegn.A-kons.";"Side2",#N/A,FALSE,"Bal3112.A-kons."}</definedName>
    <definedName name="wrn.VENTAS.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1" localSheetId="6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Wacc." localSheetId="6" hidden="1">{"Area1",#N/A,FALSE,"OREWACC";"Area2",#N/A,FALSE,"OREWACC"}</definedName>
    <definedName name="wrn.Wacc." hidden="1">{"Area1",#N/A,FALSE,"OREWACC";"Area2",#N/A,FALSE,"OREWACC"}</definedName>
    <definedName name="wrn.Wright." localSheetId="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wrn.Wright.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wvu.Print_Todo." localSheetId="6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wvu.Print_Todo.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wvu.Socios._.95." localSheetId="6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vu.Socios._.95.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x" localSheetId="21">'20-10_ET_PTSF'!$C$3</definedName>
    <definedName name="x" localSheetId="17">'20-18_ETC_ATS'!$C$3</definedName>
    <definedName name="x" localSheetId="22">'20-7_FG_ATS'!$C$3</definedName>
    <definedName name="x" localSheetId="24">'20-7_FG_ATS_2D'!$C$3</definedName>
    <definedName name="x" localSheetId="23">'20-8_FG_PTSF'!$C$3</definedName>
    <definedName name="x" localSheetId="20">'20-9_ER_ATS'!$C$3</definedName>
    <definedName name="x" localSheetId="19">'20-9_ET_ATS'!$C$3</definedName>
    <definedName name="x">FNP!$C$3</definedName>
    <definedName name="x_1" localSheetId="21">'20-10_ET_PTSF'!$C$7</definedName>
    <definedName name="x_1" localSheetId="17">'20-18_ETC_ATS'!$C$7</definedName>
    <definedName name="x_1" localSheetId="22">'20-7_FG_ATS'!$C$7</definedName>
    <definedName name="x_1" localSheetId="24">'20-7_FG_ATS_2D'!$C$7</definedName>
    <definedName name="x_1" localSheetId="23">'20-8_FG_PTSF'!$C$7</definedName>
    <definedName name="x_1" localSheetId="20">'20-9_ER_ATS'!$C$7</definedName>
    <definedName name="x_1" localSheetId="19">'20-9_ET_ATS'!$C$7</definedName>
    <definedName name="x_1">FNP!$C$7</definedName>
    <definedName name="x_2" localSheetId="21">'20-10_ET_PTSF'!$C$8</definedName>
    <definedName name="x_2" localSheetId="17">'20-18_ETC_ATS'!$C$8</definedName>
    <definedName name="x_2" localSheetId="22">'20-7_FG_ATS'!$C$8</definedName>
    <definedName name="x_2" localSheetId="24">'20-7_FG_ATS_2D'!$C$8</definedName>
    <definedName name="x_2" localSheetId="23">'20-8_FG_PTSF'!$C$8</definedName>
    <definedName name="x_2" localSheetId="20">'20-9_ER_ATS'!$C$8</definedName>
    <definedName name="x_2" localSheetId="19">'20-9_ET_ATS'!$C$8</definedName>
    <definedName name="x_2">FNP!$C$8</definedName>
    <definedName name="x_value" localSheetId="21">'20-10_ET_PTSF'!$L$4:$L$37</definedName>
    <definedName name="x_value" localSheetId="17">'20-18_ETC_ATS'!$L$4:$L$37</definedName>
    <definedName name="x_value" localSheetId="22">'20-7_FG_ATS'!$L$4:$L$37</definedName>
    <definedName name="x_value" localSheetId="24">'20-7_FG_ATS_2D'!$L$4:$L$37</definedName>
    <definedName name="x_value" localSheetId="23">'20-8_FG_PTSF'!$L$4:$L$37</definedName>
    <definedName name="x_value" localSheetId="20">'20-9_ER_ATS'!$L$4:$L$37</definedName>
    <definedName name="x_value" localSheetId="19">'20-9_ET_ATS'!$L$4:$L$37</definedName>
    <definedName name="x_value">FNP!$L$4:$L$37</definedName>
    <definedName name="XREF_COLUMN_1" localSheetId="21" hidden="1">#REF!</definedName>
    <definedName name="XREF_COLUMN_1" localSheetId="12" hidden="1">#REF!</definedName>
    <definedName name="XREF_COLUMN_1" localSheetId="13" hidden="1">#REF!</definedName>
    <definedName name="XREF_COLUMN_1" localSheetId="14" hidden="1">#REF!</definedName>
    <definedName name="XREF_COLUMN_1" localSheetId="16" hidden="1">#REF!</definedName>
    <definedName name="XREF_COLUMN_1" localSheetId="15" hidden="1">#REF!</definedName>
    <definedName name="XREF_COLUMN_1" localSheetId="17" hidden="1">#REF!</definedName>
    <definedName name="XREF_COLUMN_1" localSheetId="11" hidden="1">#REF!</definedName>
    <definedName name="XREF_COLUMN_1" localSheetId="10" hidden="1">#REF!</definedName>
    <definedName name="XREF_COLUMN_1" localSheetId="22" hidden="1">#REF!</definedName>
    <definedName name="XREF_COLUMN_1" localSheetId="24" hidden="1">#REF!</definedName>
    <definedName name="XREF_COLUMN_1" localSheetId="23" hidden="1">#REF!</definedName>
    <definedName name="XREF_COLUMN_1" localSheetId="20" hidden="1">#REF!</definedName>
    <definedName name="XREF_COLUMN_1" localSheetId="19" hidden="1">#REF!</definedName>
    <definedName name="XREF_COLUMN_1" localSheetId="26" hidden="1">#REF!</definedName>
    <definedName name="XREF_COLUMN_1" localSheetId="27" hidden="1">#REF!</definedName>
    <definedName name="XREF_COLUMN_1" localSheetId="25" hidden="1">#REF!</definedName>
    <definedName name="XREF_COLUMN_1" localSheetId="7" hidden="1">#REF!</definedName>
    <definedName name="XREF_COLUMN_1" localSheetId="4" hidden="1">#REF!</definedName>
    <definedName name="XREF_COLUMN_1" localSheetId="5" hidden="1">#REF!</definedName>
    <definedName name="XREF_COLUMN_1" localSheetId="2" hidden="1">#REF!</definedName>
    <definedName name="XREF_COLUMN_1" localSheetId="3" hidden="1">#REF!</definedName>
    <definedName name="XREF_COLUMN_1" hidden="1">#REF!</definedName>
    <definedName name="XRefColumnsCount" hidden="1">2</definedName>
    <definedName name="XRefCopy1Row" localSheetId="21" hidden="1">#REF!</definedName>
    <definedName name="XRefCopy1Row" localSheetId="12" hidden="1">#REF!</definedName>
    <definedName name="XRefCopy1Row" localSheetId="13" hidden="1">#REF!</definedName>
    <definedName name="XRefCopy1Row" localSheetId="14" hidden="1">#REF!</definedName>
    <definedName name="XRefCopy1Row" localSheetId="16" hidden="1">#REF!</definedName>
    <definedName name="XRefCopy1Row" localSheetId="15" hidden="1">#REF!</definedName>
    <definedName name="XRefCopy1Row" localSheetId="17" hidden="1">#REF!</definedName>
    <definedName name="XRefCopy1Row" localSheetId="11" hidden="1">#REF!</definedName>
    <definedName name="XRefCopy1Row" localSheetId="10" hidden="1">#REF!</definedName>
    <definedName name="XRefCopy1Row" localSheetId="22" hidden="1">#REF!</definedName>
    <definedName name="XRefCopy1Row" localSheetId="24" hidden="1">#REF!</definedName>
    <definedName name="XRefCopy1Row" localSheetId="23" hidden="1">#REF!</definedName>
    <definedName name="XRefCopy1Row" localSheetId="20" hidden="1">#REF!</definedName>
    <definedName name="XRefCopy1Row" localSheetId="19" hidden="1">#REF!</definedName>
    <definedName name="XRefCopy1Row" localSheetId="26" hidden="1">#REF!</definedName>
    <definedName name="XRefCopy1Row" localSheetId="27" hidden="1">#REF!</definedName>
    <definedName name="XRefCopy1Row" localSheetId="25" hidden="1">#REF!</definedName>
    <definedName name="XRefCopy1Row" localSheetId="7" hidden="1">#REF!</definedName>
    <definedName name="XRefCopy1Row" localSheetId="4" hidden="1">#REF!</definedName>
    <definedName name="XRefCopy1Row" localSheetId="5" hidden="1">#REF!</definedName>
    <definedName name="XRefCopy1Row" localSheetId="2" hidden="1">#REF!</definedName>
    <definedName name="XRefCopy1Row" localSheetId="3" hidden="1">#REF!</definedName>
    <definedName name="XRefCopy1Row" hidden="1">#REF!</definedName>
    <definedName name="XRefCopy2" localSheetId="21" hidden="1">'[7]Mutação do PL Trimestral'!#REF!</definedName>
    <definedName name="XRefCopy2" localSheetId="12" hidden="1">'[7]Mutação do PL Trimestral'!#REF!</definedName>
    <definedName name="XRefCopy2" localSheetId="13" hidden="1">'[7]Mutação do PL Trimestral'!#REF!</definedName>
    <definedName name="XRefCopy2" localSheetId="14" hidden="1">'[7]Mutação do PL Trimestral'!#REF!</definedName>
    <definedName name="XRefCopy2" localSheetId="16" hidden="1">'[7]Mutação do PL Trimestral'!#REF!</definedName>
    <definedName name="XRefCopy2" localSheetId="15" hidden="1">'[7]Mutação do PL Trimestral'!#REF!</definedName>
    <definedName name="XRefCopy2" localSheetId="17" hidden="1">'[7]Mutação do PL Trimestral'!#REF!</definedName>
    <definedName name="XRefCopy2" localSheetId="11" hidden="1">'[7]Mutação do PL Trimestral'!#REF!</definedName>
    <definedName name="XRefCopy2" localSheetId="10" hidden="1">'[7]Mutação do PL Trimestral'!#REF!</definedName>
    <definedName name="XRefCopy2" localSheetId="22" hidden="1">'[7]Mutação do PL Trimestral'!#REF!</definedName>
    <definedName name="XRefCopy2" localSheetId="24" hidden="1">'[7]Mutação do PL Trimestral'!#REF!</definedName>
    <definedName name="XRefCopy2" localSheetId="23" hidden="1">'[7]Mutação do PL Trimestral'!#REF!</definedName>
    <definedName name="XRefCopy2" localSheetId="20" hidden="1">'[7]Mutação do PL Trimestral'!#REF!</definedName>
    <definedName name="XRefCopy2" localSheetId="19" hidden="1">'[7]Mutação do PL Trimestral'!#REF!</definedName>
    <definedName name="XRefCopy2" localSheetId="26" hidden="1">'[7]Mutação do PL Trimestral'!#REF!</definedName>
    <definedName name="XRefCopy2" localSheetId="27" hidden="1">'[7]Mutação do PL Trimestral'!#REF!</definedName>
    <definedName name="XRefCopy2" localSheetId="25" hidden="1">'[7]Mutação do PL Trimestral'!#REF!</definedName>
    <definedName name="XRefCopy2" localSheetId="7" hidden="1">'[7]Mutação do PL Trimestral'!#REF!</definedName>
    <definedName name="XRefCopy2" localSheetId="4" hidden="1">'[7]Mutação do PL Trimestral'!#REF!</definedName>
    <definedName name="XRefCopy2" localSheetId="5" hidden="1">'[7]Mutação do PL Trimestral'!#REF!</definedName>
    <definedName name="XRefCopy2" localSheetId="2" hidden="1">'[7]Mutação do PL Trimestral'!#REF!</definedName>
    <definedName name="XRefCopy2" localSheetId="3" hidden="1">'[7]Mutação do PL Trimestral'!#REF!</definedName>
    <definedName name="XRefCopy2" hidden="1">'[7]Mutação do PL Trimestral'!#REF!</definedName>
    <definedName name="XRefCopy2Row" localSheetId="21" hidden="1">#REF!</definedName>
    <definedName name="XRefCopy2Row" localSheetId="12" hidden="1">#REF!</definedName>
    <definedName name="XRefCopy2Row" localSheetId="13" hidden="1">#REF!</definedName>
    <definedName name="XRefCopy2Row" localSheetId="14" hidden="1">#REF!</definedName>
    <definedName name="XRefCopy2Row" localSheetId="16" hidden="1">#REF!</definedName>
    <definedName name="XRefCopy2Row" localSheetId="15" hidden="1">#REF!</definedName>
    <definedName name="XRefCopy2Row" localSheetId="17" hidden="1">#REF!</definedName>
    <definedName name="XRefCopy2Row" localSheetId="11" hidden="1">#REF!</definedName>
    <definedName name="XRefCopy2Row" localSheetId="10" hidden="1">#REF!</definedName>
    <definedName name="XRefCopy2Row" localSheetId="22" hidden="1">#REF!</definedName>
    <definedName name="XRefCopy2Row" localSheetId="24" hidden="1">#REF!</definedName>
    <definedName name="XRefCopy2Row" localSheetId="23" hidden="1">#REF!</definedName>
    <definedName name="XRefCopy2Row" localSheetId="20" hidden="1">#REF!</definedName>
    <definedName name="XRefCopy2Row" localSheetId="19" hidden="1">#REF!</definedName>
    <definedName name="XRefCopy2Row" localSheetId="26" hidden="1">#REF!</definedName>
    <definedName name="XRefCopy2Row" localSheetId="27" hidden="1">#REF!</definedName>
    <definedName name="XRefCopy2Row" localSheetId="25" hidden="1">#REF!</definedName>
    <definedName name="XRefCopy2Row" localSheetId="7" hidden="1">#REF!</definedName>
    <definedName name="XRefCopy2Row" localSheetId="4" hidden="1">#REF!</definedName>
    <definedName name="XRefCopy2Row" localSheetId="5" hidden="1">#REF!</definedName>
    <definedName name="XRefCopy2Row" localSheetId="2" hidden="1">#REF!</definedName>
    <definedName name="XRefCopy2Row" localSheetId="3" hidden="1">#REF!</definedName>
    <definedName name="XRefCopy2Row" hidden="1">#REF!</definedName>
    <definedName name="XRefCopy3Row" localSheetId="21" hidden="1">#REF!</definedName>
    <definedName name="XRefCopy3Row" localSheetId="12" hidden="1">#REF!</definedName>
    <definedName name="XRefCopy3Row" localSheetId="13" hidden="1">#REF!</definedName>
    <definedName name="XRefCopy3Row" localSheetId="14" hidden="1">#REF!</definedName>
    <definedName name="XRefCopy3Row" localSheetId="16" hidden="1">#REF!</definedName>
    <definedName name="XRefCopy3Row" localSheetId="15" hidden="1">#REF!</definedName>
    <definedName name="XRefCopy3Row" localSheetId="17" hidden="1">#REF!</definedName>
    <definedName name="XRefCopy3Row" localSheetId="11" hidden="1">#REF!</definedName>
    <definedName name="XRefCopy3Row" localSheetId="10" hidden="1">#REF!</definedName>
    <definedName name="XRefCopy3Row" localSheetId="22" hidden="1">#REF!</definedName>
    <definedName name="XRefCopy3Row" localSheetId="24" hidden="1">#REF!</definedName>
    <definedName name="XRefCopy3Row" localSheetId="23" hidden="1">#REF!</definedName>
    <definedName name="XRefCopy3Row" localSheetId="20" hidden="1">#REF!</definedName>
    <definedName name="XRefCopy3Row" localSheetId="19" hidden="1">#REF!</definedName>
    <definedName name="XRefCopy3Row" localSheetId="26" hidden="1">#REF!</definedName>
    <definedName name="XRefCopy3Row" localSheetId="27" hidden="1">#REF!</definedName>
    <definedName name="XRefCopy3Row" localSheetId="25" hidden="1">#REF!</definedName>
    <definedName name="XRefCopy3Row" localSheetId="7" hidden="1">#REF!</definedName>
    <definedName name="XRefCopy3Row" localSheetId="4" hidden="1">#REF!</definedName>
    <definedName name="XRefCopy3Row" localSheetId="5" hidden="1">#REF!</definedName>
    <definedName name="XRefCopy3Row" localSheetId="2" hidden="1">#REF!</definedName>
    <definedName name="XRefCopy3Row" localSheetId="3" hidden="1">#REF!</definedName>
    <definedName name="XRefCopy3Row" hidden="1">#REF!</definedName>
    <definedName name="XRefCopy5Row" localSheetId="21" hidden="1">#REF!</definedName>
    <definedName name="XRefCopy5Row" localSheetId="12" hidden="1">#REF!</definedName>
    <definedName name="XRefCopy5Row" localSheetId="13" hidden="1">#REF!</definedName>
    <definedName name="XRefCopy5Row" localSheetId="14" hidden="1">#REF!</definedName>
    <definedName name="XRefCopy5Row" localSheetId="16" hidden="1">#REF!</definedName>
    <definedName name="XRefCopy5Row" localSheetId="15" hidden="1">#REF!</definedName>
    <definedName name="XRefCopy5Row" localSheetId="17" hidden="1">#REF!</definedName>
    <definedName name="XRefCopy5Row" localSheetId="11" hidden="1">#REF!</definedName>
    <definedName name="XRefCopy5Row" localSheetId="10" hidden="1">#REF!</definedName>
    <definedName name="XRefCopy5Row" localSheetId="22" hidden="1">#REF!</definedName>
    <definedName name="XRefCopy5Row" localSheetId="24" hidden="1">#REF!</definedName>
    <definedName name="XRefCopy5Row" localSheetId="23" hidden="1">#REF!</definedName>
    <definedName name="XRefCopy5Row" localSheetId="20" hidden="1">#REF!</definedName>
    <definedName name="XRefCopy5Row" localSheetId="19" hidden="1">#REF!</definedName>
    <definedName name="XRefCopy5Row" localSheetId="26" hidden="1">#REF!</definedName>
    <definedName name="XRefCopy5Row" localSheetId="27" hidden="1">#REF!</definedName>
    <definedName name="XRefCopy5Row" localSheetId="25" hidden="1">#REF!</definedName>
    <definedName name="XRefCopy5Row" localSheetId="7" hidden="1">#REF!</definedName>
    <definedName name="XRefCopy5Row" localSheetId="4" hidden="1">#REF!</definedName>
    <definedName name="XRefCopy5Row" localSheetId="5" hidden="1">#REF!</definedName>
    <definedName name="XRefCopy5Row" localSheetId="2" hidden="1">#REF!</definedName>
    <definedName name="XRefCopy5Row" localSheetId="3" hidden="1">#REF!</definedName>
    <definedName name="XRefCopy5Row" hidden="1">#REF!</definedName>
    <definedName name="XRefCopyRangeCount" hidden="1">3</definedName>
    <definedName name="XRefPaste1" localSheetId="21" hidden="1">#REF!</definedName>
    <definedName name="XRefPaste1" localSheetId="12" hidden="1">#REF!</definedName>
    <definedName name="XRefPaste1" localSheetId="13" hidden="1">#REF!</definedName>
    <definedName name="XRefPaste1" localSheetId="14" hidden="1">#REF!</definedName>
    <definedName name="XRefPaste1" localSheetId="16" hidden="1">#REF!</definedName>
    <definedName name="XRefPaste1" localSheetId="15" hidden="1">#REF!</definedName>
    <definedName name="XRefPaste1" localSheetId="17" hidden="1">#REF!</definedName>
    <definedName name="XRefPaste1" localSheetId="11" hidden="1">#REF!</definedName>
    <definedName name="XRefPaste1" localSheetId="10" hidden="1">#REF!</definedName>
    <definedName name="XRefPaste1" localSheetId="22" hidden="1">#REF!</definedName>
    <definedName name="XRefPaste1" localSheetId="24" hidden="1">#REF!</definedName>
    <definedName name="XRefPaste1" localSheetId="23" hidden="1">#REF!</definedName>
    <definedName name="XRefPaste1" localSheetId="20" hidden="1">#REF!</definedName>
    <definedName name="XRefPaste1" localSheetId="19" hidden="1">#REF!</definedName>
    <definedName name="XRefPaste1" localSheetId="26" hidden="1">#REF!</definedName>
    <definedName name="XRefPaste1" localSheetId="27" hidden="1">#REF!</definedName>
    <definedName name="XRefPaste1" localSheetId="25" hidden="1">#REF!</definedName>
    <definedName name="XRefPaste1" localSheetId="7" hidden="1">#REF!</definedName>
    <definedName name="XRefPaste1" localSheetId="4" hidden="1">#REF!</definedName>
    <definedName name="XRefPaste1" localSheetId="5" hidden="1">#REF!</definedName>
    <definedName name="XRefPaste1" localSheetId="2" hidden="1">#REF!</definedName>
    <definedName name="XRefPaste1" localSheetId="3" hidden="1">#REF!</definedName>
    <definedName name="XRefPaste1" hidden="1">#REF!</definedName>
    <definedName name="XRefPaste1Row" localSheetId="21" hidden="1">#REF!</definedName>
    <definedName name="XRefPaste1Row" localSheetId="12" hidden="1">#REF!</definedName>
    <definedName name="XRefPaste1Row" localSheetId="13" hidden="1">#REF!</definedName>
    <definedName name="XRefPaste1Row" localSheetId="14" hidden="1">#REF!</definedName>
    <definedName name="XRefPaste1Row" localSheetId="16" hidden="1">#REF!</definedName>
    <definedName name="XRefPaste1Row" localSheetId="15" hidden="1">#REF!</definedName>
    <definedName name="XRefPaste1Row" localSheetId="17" hidden="1">#REF!</definedName>
    <definedName name="XRefPaste1Row" localSheetId="11" hidden="1">#REF!</definedName>
    <definedName name="XRefPaste1Row" localSheetId="10" hidden="1">#REF!</definedName>
    <definedName name="XRefPaste1Row" localSheetId="22" hidden="1">#REF!</definedName>
    <definedName name="XRefPaste1Row" localSheetId="24" hidden="1">#REF!</definedName>
    <definedName name="XRefPaste1Row" localSheetId="23" hidden="1">#REF!</definedName>
    <definedName name="XRefPaste1Row" localSheetId="20" hidden="1">#REF!</definedName>
    <definedName name="XRefPaste1Row" localSheetId="19" hidden="1">#REF!</definedName>
    <definedName name="XRefPaste1Row" localSheetId="26" hidden="1">#REF!</definedName>
    <definedName name="XRefPaste1Row" localSheetId="27" hidden="1">#REF!</definedName>
    <definedName name="XRefPaste1Row" localSheetId="25" hidden="1">#REF!</definedName>
    <definedName name="XRefPaste1Row" localSheetId="7" hidden="1">#REF!</definedName>
    <definedName name="XRefPaste1Row" localSheetId="4" hidden="1">#REF!</definedName>
    <definedName name="XRefPaste1Row" localSheetId="5" hidden="1">#REF!</definedName>
    <definedName name="XRefPaste1Row" localSheetId="2" hidden="1">#REF!</definedName>
    <definedName name="XRefPaste1Row" localSheetId="3" hidden="1">#REF!</definedName>
    <definedName name="XRefPaste1Row" hidden="1">#REF!</definedName>
    <definedName name="XRefPaste7Row" localSheetId="21" hidden="1">[8]XREF!#REF!</definedName>
    <definedName name="XRefPaste7Row" localSheetId="12" hidden="1">[8]XREF!#REF!</definedName>
    <definedName name="XRefPaste7Row" localSheetId="13" hidden="1">[8]XREF!#REF!</definedName>
    <definedName name="XRefPaste7Row" localSheetId="14" hidden="1">[8]XREF!#REF!</definedName>
    <definedName name="XRefPaste7Row" localSheetId="16" hidden="1">[8]XREF!#REF!</definedName>
    <definedName name="XRefPaste7Row" localSheetId="15" hidden="1">[8]XREF!#REF!</definedName>
    <definedName name="XRefPaste7Row" localSheetId="17" hidden="1">[8]XREF!#REF!</definedName>
    <definedName name="XRefPaste7Row" localSheetId="11" hidden="1">[8]XREF!#REF!</definedName>
    <definedName name="XRefPaste7Row" localSheetId="10" hidden="1">[8]XREF!#REF!</definedName>
    <definedName name="XRefPaste7Row" localSheetId="22" hidden="1">[8]XREF!#REF!</definedName>
    <definedName name="XRefPaste7Row" localSheetId="24" hidden="1">[8]XREF!#REF!</definedName>
    <definedName name="XRefPaste7Row" localSheetId="23" hidden="1">[8]XREF!#REF!</definedName>
    <definedName name="XRefPaste7Row" localSheetId="20" hidden="1">[8]XREF!#REF!</definedName>
    <definedName name="XRefPaste7Row" localSheetId="19" hidden="1">[8]XREF!#REF!</definedName>
    <definedName name="XRefPaste7Row" localSheetId="26" hidden="1">[8]XREF!#REF!</definedName>
    <definedName name="XRefPaste7Row" localSheetId="27" hidden="1">[8]XREF!#REF!</definedName>
    <definedName name="XRefPaste7Row" localSheetId="25" hidden="1">[8]XREF!#REF!</definedName>
    <definedName name="XRefPaste7Row" localSheetId="7" hidden="1">[8]XREF!#REF!</definedName>
    <definedName name="XRefPaste7Row" localSheetId="4" hidden="1">[8]XREF!#REF!</definedName>
    <definedName name="XRefPaste7Row" localSheetId="5" hidden="1">[8]XREF!#REF!</definedName>
    <definedName name="XRefPaste7Row" localSheetId="2" hidden="1">[8]XREF!#REF!</definedName>
    <definedName name="XRefPaste7Row" localSheetId="3" hidden="1">[8]XREF!#REF!</definedName>
    <definedName name="XRefPaste7Row" hidden="1">[8]XREF!#REF!</definedName>
    <definedName name="XRefPasteRangeCount" hidden="1">7</definedName>
    <definedName name="XX" localSheetId="12">'20-13_fg_ATS'!$C$3</definedName>
    <definedName name="XX" localSheetId="13">'20-14_fg_PTSF'!$C$3</definedName>
    <definedName name="XX" localSheetId="14">'20-15_Et_ATS'!$C$3</definedName>
    <definedName name="XX" localSheetId="16">'20-16_ET&amp;RV_PTSF'!$C$3</definedName>
    <definedName name="XX" localSheetId="15">'20-17_ER_ATS'!$C$3</definedName>
    <definedName name="XX" localSheetId="11">'20-19_fnp_ATS'!$C$3</definedName>
    <definedName name="XX" localSheetId="10">'20-20_fnp_PTSF'!$C$3</definedName>
    <definedName name="XX" localSheetId="26">'21-10_ER_Up'!$C$3</definedName>
    <definedName name="XX" localSheetId="27">'21-11_ET_Down'!$C$3</definedName>
    <definedName name="XX" localSheetId="25">'21-9_ET_UP'!$C$3</definedName>
    <definedName name="XX">FDNP!$C$3</definedName>
    <definedName name="xx_1" localSheetId="12">'20-13_fg_ATS'!$C$11</definedName>
    <definedName name="xx_1" localSheetId="13">'20-14_fg_PTSF'!$C$11</definedName>
    <definedName name="xx_1" localSheetId="14">'20-15_Et_ATS'!$C$11</definedName>
    <definedName name="xx_1" localSheetId="16">'20-16_ET&amp;RV_PTSF'!$C$11</definedName>
    <definedName name="xx_1" localSheetId="15">'20-17_ER_ATS'!$C$11</definedName>
    <definedName name="xx_1" localSheetId="11">'20-19_fnp_ATS'!$C$11</definedName>
    <definedName name="xx_1" localSheetId="10">'20-20_fnp_PTSF'!$C$11</definedName>
    <definedName name="xx_1" localSheetId="26">'21-10_ER_Up'!$C$11</definedName>
    <definedName name="xx_1" localSheetId="27">'21-11_ET_Down'!$C$11</definedName>
    <definedName name="xx_1" localSheetId="25">'21-9_ET_UP'!$C$11</definedName>
    <definedName name="xx_1">FDNP!$C$11</definedName>
    <definedName name="xx_2" localSheetId="12">'20-13_fg_ATS'!$C$12</definedName>
    <definedName name="xx_2" localSheetId="13">'20-14_fg_PTSF'!$C$12</definedName>
    <definedName name="xx_2" localSheetId="14">'20-15_Et_ATS'!$C$12</definedName>
    <definedName name="xx_2" localSheetId="16">'20-16_ET&amp;RV_PTSF'!$C$12</definedName>
    <definedName name="xx_2" localSheetId="15">'20-17_ER_ATS'!$C$12</definedName>
    <definedName name="xx_2" localSheetId="11">'20-19_fnp_ATS'!$C$12</definedName>
    <definedName name="xx_2" localSheetId="10">'20-20_fnp_PTSF'!$C$12</definedName>
    <definedName name="xx_2" localSheetId="26">'21-10_ER_Up'!$C$12</definedName>
    <definedName name="xx_2" localSheetId="27">'21-11_ET_Down'!$C$12</definedName>
    <definedName name="xx_2" localSheetId="25">'21-9_ET_UP'!$C$12</definedName>
    <definedName name="xx_2">FDNP!$C$12</definedName>
    <definedName name="XX_value" localSheetId="12">'20-13_fg_ATS'!$Q:$Q</definedName>
    <definedName name="XX_value" localSheetId="13">'20-14_fg_PTSF'!$Q:$Q</definedName>
    <definedName name="XX_value" localSheetId="14">'20-15_Et_ATS'!$Q:$Q</definedName>
    <definedName name="XX_value" localSheetId="16">'20-16_ET&amp;RV_PTSF'!$Q:$Q</definedName>
    <definedName name="XX_value" localSheetId="15">'20-17_ER_ATS'!$Q:$Q</definedName>
    <definedName name="XX_value" localSheetId="11">'20-19_fnp_ATS'!$Q:$Q</definedName>
    <definedName name="XX_value" localSheetId="10">'20-20_fnp_PTSF'!$Q:$Q</definedName>
    <definedName name="XX_value" localSheetId="26">'21-10_ER_Up'!$Q:$Q</definedName>
    <definedName name="XX_value" localSheetId="27">'21-11_ET_Down'!$Q:$Q</definedName>
    <definedName name="XX_value" localSheetId="25">'21-9_ET_UP'!$Q:$Q</definedName>
    <definedName name="XX_value">FDNP!$Q:$Q</definedName>
    <definedName name="xxxx" localSheetId="6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xxxx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y" localSheetId="21">'20-10_ET_PTSF'!$C$4</definedName>
    <definedName name="y" localSheetId="17">'20-18_ETC_ATS'!$C$4</definedName>
    <definedName name="y" localSheetId="22">'20-7_FG_ATS'!$C$4</definedName>
    <definedName name="y" localSheetId="24">'20-7_FG_ATS_2D'!$C$4</definedName>
    <definedName name="y" localSheetId="23">'20-8_FG_PTSF'!$C$4</definedName>
    <definedName name="y" localSheetId="20">'20-9_ER_ATS'!$C$4</definedName>
    <definedName name="y" localSheetId="19">'20-9_ET_ATS'!$C$4</definedName>
    <definedName name="y">FNP!$C$4</definedName>
    <definedName name="y_1" localSheetId="21">'20-10_ET_PTSF'!$C$9</definedName>
    <definedName name="y_1" localSheetId="17">'20-18_ETC_ATS'!$C$9</definedName>
    <definedName name="y_1" localSheetId="22">'20-7_FG_ATS'!$C$9</definedName>
    <definedName name="y_1" localSheetId="24">'20-7_FG_ATS_2D'!$C$9</definedName>
    <definedName name="y_1" localSheetId="23">'20-8_FG_PTSF'!$C$9</definedName>
    <definedName name="y_1" localSheetId="20">'20-9_ER_ATS'!$C$9</definedName>
    <definedName name="y_1" localSheetId="19">'20-9_ET_ATS'!$C$9</definedName>
    <definedName name="y_1">FNP!$C$9</definedName>
    <definedName name="y_2" localSheetId="21">'20-10_ET_PTSF'!$C$10</definedName>
    <definedName name="y_2" localSheetId="17">'20-18_ETC_ATS'!$C$10</definedName>
    <definedName name="y_2" localSheetId="22">'20-7_FG_ATS'!$C$10</definedName>
    <definedName name="y_2" localSheetId="24">'20-7_FG_ATS_2D'!$C$10</definedName>
    <definedName name="y_2" localSheetId="23">'20-8_FG_PTSF'!$C$10</definedName>
    <definedName name="y_2" localSheetId="20">'20-9_ER_ATS'!$C$10</definedName>
    <definedName name="y_2" localSheetId="19">'20-9_ET_ATS'!$C$10</definedName>
    <definedName name="y_2">FNP!$C$10</definedName>
    <definedName name="y_value" localSheetId="21">'20-10_ET_PTSF'!$M$3:$AU$3</definedName>
    <definedName name="y_value" localSheetId="17">'20-18_ETC_ATS'!$M$3:$AU$3</definedName>
    <definedName name="y_value" localSheetId="22">'20-7_FG_ATS'!$M$3:$AU$3</definedName>
    <definedName name="y_value" localSheetId="24">'20-7_FG_ATS_2D'!$M$3:$AU$3</definedName>
    <definedName name="y_value" localSheetId="23">'20-8_FG_PTSF'!$M$3:$AU$3</definedName>
    <definedName name="y_value" localSheetId="20">'20-9_ER_ATS'!$M$3:$AU$3</definedName>
    <definedName name="y_value" localSheetId="19">'20-9_ET_ATS'!$M$3:$AU$3</definedName>
    <definedName name="y_value">FNP!$M$3:$AU$3</definedName>
    <definedName name="YY" localSheetId="12">'20-13_fg_ATS'!$C$4</definedName>
    <definedName name="YY" localSheetId="13">'20-14_fg_PTSF'!$C$4</definedName>
    <definedName name="YY" localSheetId="14">'20-15_Et_ATS'!$C$4</definedName>
    <definedName name="YY" localSheetId="16">'20-16_ET&amp;RV_PTSF'!$C$4</definedName>
    <definedName name="YY" localSheetId="15">'20-17_ER_ATS'!$C$4</definedName>
    <definedName name="YY" localSheetId="11">'20-19_fnp_ATS'!$C$4</definedName>
    <definedName name="YY" localSheetId="10">'20-20_fnp_PTSF'!$C$4</definedName>
    <definedName name="YY" localSheetId="26">'21-10_ER_Up'!$C$4</definedName>
    <definedName name="YY" localSheetId="27">'21-11_ET_Down'!$C$4</definedName>
    <definedName name="YY" localSheetId="25">'21-9_ET_UP'!$C$4</definedName>
    <definedName name="YY">FDNP!$C$4</definedName>
    <definedName name="yy_1" localSheetId="12">'20-13_fg_ATS'!$C$13</definedName>
    <definedName name="yy_1" localSheetId="13">'20-14_fg_PTSF'!$C$13</definedName>
    <definedName name="yy_1" localSheetId="14">'20-15_Et_ATS'!$C$13</definedName>
    <definedName name="yy_1" localSheetId="16">'20-16_ET&amp;RV_PTSF'!$C$13</definedName>
    <definedName name="yy_1" localSheetId="15">'20-17_ER_ATS'!$C$13</definedName>
    <definedName name="yy_1" localSheetId="11">'20-19_fnp_ATS'!$C$13</definedName>
    <definedName name="yy_1" localSheetId="10">'20-20_fnp_PTSF'!$C$13</definedName>
    <definedName name="yy_1" localSheetId="26">'21-10_ER_Up'!$C$13</definedName>
    <definedName name="yy_1" localSheetId="27">'21-11_ET_Down'!$C$13</definedName>
    <definedName name="yy_1" localSheetId="25">'21-9_ET_UP'!$C$13</definedName>
    <definedName name="yy_1">FDNP!$C$13</definedName>
    <definedName name="yy_2" localSheetId="12">'20-13_fg_ATS'!$C$14</definedName>
    <definedName name="yy_2" localSheetId="13">'20-14_fg_PTSF'!$C$14</definedName>
    <definedName name="yy_2" localSheetId="14">'20-15_Et_ATS'!$C$14</definedName>
    <definedName name="yy_2" localSheetId="16">'20-16_ET&amp;RV_PTSF'!$C$14</definedName>
    <definedName name="yy_2" localSheetId="15">'20-17_ER_ATS'!$C$14</definedName>
    <definedName name="yy_2" localSheetId="11">'20-19_fnp_ATS'!$C$14</definedName>
    <definedName name="yy_2" localSheetId="10">'20-20_fnp_PTSF'!$C$14</definedName>
    <definedName name="yy_2" localSheetId="26">'21-10_ER_Up'!$C$14</definedName>
    <definedName name="yy_2" localSheetId="27">'21-11_ET_Down'!$C$14</definedName>
    <definedName name="yy_2" localSheetId="25">'21-9_ET_UP'!$C$14</definedName>
    <definedName name="yy_2">FDNP!$C$14</definedName>
    <definedName name="YY_value" localSheetId="12">'20-13_fg_ATS'!$R:$R</definedName>
    <definedName name="YY_value" localSheetId="13">'20-14_fg_PTSF'!$R:$R</definedName>
    <definedName name="YY_value" localSheetId="14">'20-15_Et_ATS'!$R:$R</definedName>
    <definedName name="YY_value" localSheetId="16">'20-16_ET&amp;RV_PTSF'!$R:$R</definedName>
    <definedName name="YY_value" localSheetId="15">'20-17_ER_ATS'!$R:$R</definedName>
    <definedName name="YY_value" localSheetId="11">'20-19_fnp_ATS'!$R:$R</definedName>
    <definedName name="YY_value" localSheetId="10">'20-20_fnp_PTSF'!$R:$R</definedName>
    <definedName name="YY_value" localSheetId="26">'21-10_ER_Up'!$R:$R</definedName>
    <definedName name="YY_value" localSheetId="27">'21-11_ET_Down'!$R:$R</definedName>
    <definedName name="YY_value" localSheetId="25">'21-9_ET_UP'!$R:$R</definedName>
    <definedName name="YY_value">FDNP!$R:$R</definedName>
    <definedName name="Z_058B9256_CB4D_4C39_834D_D693FEEB491F_.wvu.FilterData" localSheetId="21" hidden="1">#REF!</definedName>
    <definedName name="Z_058B9256_CB4D_4C39_834D_D693FEEB491F_.wvu.FilterData" localSheetId="12" hidden="1">#REF!</definedName>
    <definedName name="Z_058B9256_CB4D_4C39_834D_D693FEEB491F_.wvu.FilterData" localSheetId="13" hidden="1">#REF!</definedName>
    <definedName name="Z_058B9256_CB4D_4C39_834D_D693FEEB491F_.wvu.FilterData" localSheetId="14" hidden="1">#REF!</definedName>
    <definedName name="Z_058B9256_CB4D_4C39_834D_D693FEEB491F_.wvu.FilterData" localSheetId="16" hidden="1">#REF!</definedName>
    <definedName name="Z_058B9256_CB4D_4C39_834D_D693FEEB491F_.wvu.FilterData" localSheetId="15" hidden="1">#REF!</definedName>
    <definedName name="Z_058B9256_CB4D_4C39_834D_D693FEEB491F_.wvu.FilterData" localSheetId="17" hidden="1">#REF!</definedName>
    <definedName name="Z_058B9256_CB4D_4C39_834D_D693FEEB491F_.wvu.FilterData" localSheetId="11" hidden="1">#REF!</definedName>
    <definedName name="Z_058B9256_CB4D_4C39_834D_D693FEEB491F_.wvu.FilterData" localSheetId="10" hidden="1">#REF!</definedName>
    <definedName name="Z_058B9256_CB4D_4C39_834D_D693FEEB491F_.wvu.FilterData" localSheetId="22" hidden="1">#REF!</definedName>
    <definedName name="Z_058B9256_CB4D_4C39_834D_D693FEEB491F_.wvu.FilterData" localSheetId="24" hidden="1">#REF!</definedName>
    <definedName name="Z_058B9256_CB4D_4C39_834D_D693FEEB491F_.wvu.FilterData" localSheetId="23" hidden="1">#REF!</definedName>
    <definedName name="Z_058B9256_CB4D_4C39_834D_D693FEEB491F_.wvu.FilterData" localSheetId="20" hidden="1">#REF!</definedName>
    <definedName name="Z_058B9256_CB4D_4C39_834D_D693FEEB491F_.wvu.FilterData" localSheetId="19" hidden="1">#REF!</definedName>
    <definedName name="Z_058B9256_CB4D_4C39_834D_D693FEEB491F_.wvu.FilterData" localSheetId="26" hidden="1">#REF!</definedName>
    <definedName name="Z_058B9256_CB4D_4C39_834D_D693FEEB491F_.wvu.FilterData" localSheetId="27" hidden="1">#REF!</definedName>
    <definedName name="Z_058B9256_CB4D_4C39_834D_D693FEEB491F_.wvu.FilterData" localSheetId="25" hidden="1">#REF!</definedName>
    <definedName name="Z_058B9256_CB4D_4C39_834D_D693FEEB491F_.wvu.FilterData" localSheetId="7" hidden="1">#REF!</definedName>
    <definedName name="Z_058B9256_CB4D_4C39_834D_D693FEEB491F_.wvu.FilterData" localSheetId="4" hidden="1">#REF!</definedName>
    <definedName name="Z_058B9256_CB4D_4C39_834D_D693FEEB491F_.wvu.FilterData" localSheetId="5" hidden="1">#REF!</definedName>
    <definedName name="Z_058B9256_CB4D_4C39_834D_D693FEEB491F_.wvu.FilterData" localSheetId="2" hidden="1">#REF!</definedName>
    <definedName name="Z_058B9256_CB4D_4C39_834D_D693FEEB491F_.wvu.FilterData" localSheetId="3" hidden="1">#REF!</definedName>
    <definedName name="Z_058B9256_CB4D_4C39_834D_D693FEEB491F_.wvu.FilterData" hidden="1">#REF!</definedName>
    <definedName name="Z_05D1A71D_3B7B_4FB7_8DF3_B8E29CA3927A_.wvu.FilterData" localSheetId="21" hidden="1">#REF!</definedName>
    <definedName name="Z_05D1A71D_3B7B_4FB7_8DF3_B8E29CA3927A_.wvu.FilterData" localSheetId="12" hidden="1">#REF!</definedName>
    <definedName name="Z_05D1A71D_3B7B_4FB7_8DF3_B8E29CA3927A_.wvu.FilterData" localSheetId="13" hidden="1">#REF!</definedName>
    <definedName name="Z_05D1A71D_3B7B_4FB7_8DF3_B8E29CA3927A_.wvu.FilterData" localSheetId="14" hidden="1">#REF!</definedName>
    <definedName name="Z_05D1A71D_3B7B_4FB7_8DF3_B8E29CA3927A_.wvu.FilterData" localSheetId="16" hidden="1">#REF!</definedName>
    <definedName name="Z_05D1A71D_3B7B_4FB7_8DF3_B8E29CA3927A_.wvu.FilterData" localSheetId="15" hidden="1">#REF!</definedName>
    <definedName name="Z_05D1A71D_3B7B_4FB7_8DF3_B8E29CA3927A_.wvu.FilterData" localSheetId="17" hidden="1">#REF!</definedName>
    <definedName name="Z_05D1A71D_3B7B_4FB7_8DF3_B8E29CA3927A_.wvu.FilterData" localSheetId="11" hidden="1">#REF!</definedName>
    <definedName name="Z_05D1A71D_3B7B_4FB7_8DF3_B8E29CA3927A_.wvu.FilterData" localSheetId="10" hidden="1">#REF!</definedName>
    <definedName name="Z_05D1A71D_3B7B_4FB7_8DF3_B8E29CA3927A_.wvu.FilterData" localSheetId="22" hidden="1">#REF!</definedName>
    <definedName name="Z_05D1A71D_3B7B_4FB7_8DF3_B8E29CA3927A_.wvu.FilterData" localSheetId="24" hidden="1">#REF!</definedName>
    <definedName name="Z_05D1A71D_3B7B_4FB7_8DF3_B8E29CA3927A_.wvu.FilterData" localSheetId="23" hidden="1">#REF!</definedName>
    <definedName name="Z_05D1A71D_3B7B_4FB7_8DF3_B8E29CA3927A_.wvu.FilterData" localSheetId="20" hidden="1">#REF!</definedName>
    <definedName name="Z_05D1A71D_3B7B_4FB7_8DF3_B8E29CA3927A_.wvu.FilterData" localSheetId="19" hidden="1">#REF!</definedName>
    <definedName name="Z_05D1A71D_3B7B_4FB7_8DF3_B8E29CA3927A_.wvu.FilterData" localSheetId="26" hidden="1">#REF!</definedName>
    <definedName name="Z_05D1A71D_3B7B_4FB7_8DF3_B8E29CA3927A_.wvu.FilterData" localSheetId="27" hidden="1">#REF!</definedName>
    <definedName name="Z_05D1A71D_3B7B_4FB7_8DF3_B8E29CA3927A_.wvu.FilterData" localSheetId="25" hidden="1">#REF!</definedName>
    <definedName name="Z_05D1A71D_3B7B_4FB7_8DF3_B8E29CA3927A_.wvu.FilterData" localSheetId="7" hidden="1">#REF!</definedName>
    <definedName name="Z_05D1A71D_3B7B_4FB7_8DF3_B8E29CA3927A_.wvu.FilterData" localSheetId="4" hidden="1">#REF!</definedName>
    <definedName name="Z_05D1A71D_3B7B_4FB7_8DF3_B8E29CA3927A_.wvu.FilterData" localSheetId="5" hidden="1">#REF!</definedName>
    <definedName name="Z_05D1A71D_3B7B_4FB7_8DF3_B8E29CA3927A_.wvu.FilterData" localSheetId="2" hidden="1">#REF!</definedName>
    <definedName name="Z_05D1A71D_3B7B_4FB7_8DF3_B8E29CA3927A_.wvu.FilterData" localSheetId="3" hidden="1">#REF!</definedName>
    <definedName name="Z_05D1A71D_3B7B_4FB7_8DF3_B8E29CA3927A_.wvu.FilterData" hidden="1">#REF!</definedName>
    <definedName name="Z_07C2CF55_E6DF_411A_AB00_7E155615468C_.wvu.FilterData" localSheetId="21" hidden="1">#REF!</definedName>
    <definedName name="Z_07C2CF55_E6DF_411A_AB00_7E155615468C_.wvu.FilterData" localSheetId="12" hidden="1">#REF!</definedName>
    <definedName name="Z_07C2CF55_E6DF_411A_AB00_7E155615468C_.wvu.FilterData" localSheetId="13" hidden="1">#REF!</definedName>
    <definedName name="Z_07C2CF55_E6DF_411A_AB00_7E155615468C_.wvu.FilterData" localSheetId="14" hidden="1">#REF!</definedName>
    <definedName name="Z_07C2CF55_E6DF_411A_AB00_7E155615468C_.wvu.FilterData" localSheetId="16" hidden="1">#REF!</definedName>
    <definedName name="Z_07C2CF55_E6DF_411A_AB00_7E155615468C_.wvu.FilterData" localSheetId="15" hidden="1">#REF!</definedName>
    <definedName name="Z_07C2CF55_E6DF_411A_AB00_7E155615468C_.wvu.FilterData" localSheetId="17" hidden="1">#REF!</definedName>
    <definedName name="Z_07C2CF55_E6DF_411A_AB00_7E155615468C_.wvu.FilterData" localSheetId="11" hidden="1">#REF!</definedName>
    <definedName name="Z_07C2CF55_E6DF_411A_AB00_7E155615468C_.wvu.FilterData" localSheetId="10" hidden="1">#REF!</definedName>
    <definedName name="Z_07C2CF55_E6DF_411A_AB00_7E155615468C_.wvu.FilterData" localSheetId="22" hidden="1">#REF!</definedName>
    <definedName name="Z_07C2CF55_E6DF_411A_AB00_7E155615468C_.wvu.FilterData" localSheetId="24" hidden="1">#REF!</definedName>
    <definedName name="Z_07C2CF55_E6DF_411A_AB00_7E155615468C_.wvu.FilterData" localSheetId="23" hidden="1">#REF!</definedName>
    <definedName name="Z_07C2CF55_E6DF_411A_AB00_7E155615468C_.wvu.FilterData" localSheetId="20" hidden="1">#REF!</definedName>
    <definedName name="Z_07C2CF55_E6DF_411A_AB00_7E155615468C_.wvu.FilterData" localSheetId="19" hidden="1">#REF!</definedName>
    <definedName name="Z_07C2CF55_E6DF_411A_AB00_7E155615468C_.wvu.FilterData" localSheetId="26" hidden="1">#REF!</definedName>
    <definedName name="Z_07C2CF55_E6DF_411A_AB00_7E155615468C_.wvu.FilterData" localSheetId="27" hidden="1">#REF!</definedName>
    <definedName name="Z_07C2CF55_E6DF_411A_AB00_7E155615468C_.wvu.FilterData" localSheetId="25" hidden="1">#REF!</definedName>
    <definedName name="Z_07C2CF55_E6DF_411A_AB00_7E155615468C_.wvu.FilterData" localSheetId="7" hidden="1">#REF!</definedName>
    <definedName name="Z_07C2CF55_E6DF_411A_AB00_7E155615468C_.wvu.FilterData" localSheetId="4" hidden="1">#REF!</definedName>
    <definedName name="Z_07C2CF55_E6DF_411A_AB00_7E155615468C_.wvu.FilterData" localSheetId="5" hidden="1">#REF!</definedName>
    <definedName name="Z_07C2CF55_E6DF_411A_AB00_7E155615468C_.wvu.FilterData" localSheetId="2" hidden="1">#REF!</definedName>
    <definedName name="Z_07C2CF55_E6DF_411A_AB00_7E155615468C_.wvu.FilterData" localSheetId="3" hidden="1">#REF!</definedName>
    <definedName name="Z_07C2CF55_E6DF_411A_AB00_7E155615468C_.wvu.FilterData" hidden="1">#REF!</definedName>
    <definedName name="Z_0B1003A7_69DB_4D5B_966D_57B9E8AF76FB_.wvu.FilterData" localSheetId="21" hidden="1">#REF!</definedName>
    <definedName name="Z_0B1003A7_69DB_4D5B_966D_57B9E8AF76FB_.wvu.FilterData" localSheetId="12" hidden="1">#REF!</definedName>
    <definedName name="Z_0B1003A7_69DB_4D5B_966D_57B9E8AF76FB_.wvu.FilterData" localSheetId="13" hidden="1">#REF!</definedName>
    <definedName name="Z_0B1003A7_69DB_4D5B_966D_57B9E8AF76FB_.wvu.FilterData" localSheetId="14" hidden="1">#REF!</definedName>
    <definedName name="Z_0B1003A7_69DB_4D5B_966D_57B9E8AF76FB_.wvu.FilterData" localSheetId="16" hidden="1">#REF!</definedName>
    <definedName name="Z_0B1003A7_69DB_4D5B_966D_57B9E8AF76FB_.wvu.FilterData" localSheetId="15" hidden="1">#REF!</definedName>
    <definedName name="Z_0B1003A7_69DB_4D5B_966D_57B9E8AF76FB_.wvu.FilterData" localSheetId="17" hidden="1">#REF!</definedName>
    <definedName name="Z_0B1003A7_69DB_4D5B_966D_57B9E8AF76FB_.wvu.FilterData" localSheetId="11" hidden="1">#REF!</definedName>
    <definedName name="Z_0B1003A7_69DB_4D5B_966D_57B9E8AF76FB_.wvu.FilterData" localSheetId="10" hidden="1">#REF!</definedName>
    <definedName name="Z_0B1003A7_69DB_4D5B_966D_57B9E8AF76FB_.wvu.FilterData" localSheetId="22" hidden="1">#REF!</definedName>
    <definedName name="Z_0B1003A7_69DB_4D5B_966D_57B9E8AF76FB_.wvu.FilterData" localSheetId="24" hidden="1">#REF!</definedName>
    <definedName name="Z_0B1003A7_69DB_4D5B_966D_57B9E8AF76FB_.wvu.FilterData" localSheetId="23" hidden="1">#REF!</definedName>
    <definedName name="Z_0B1003A7_69DB_4D5B_966D_57B9E8AF76FB_.wvu.FilterData" localSheetId="20" hidden="1">#REF!</definedName>
    <definedName name="Z_0B1003A7_69DB_4D5B_966D_57B9E8AF76FB_.wvu.FilterData" localSheetId="19" hidden="1">#REF!</definedName>
    <definedName name="Z_0B1003A7_69DB_4D5B_966D_57B9E8AF76FB_.wvu.FilterData" localSheetId="26" hidden="1">#REF!</definedName>
    <definedName name="Z_0B1003A7_69DB_4D5B_966D_57B9E8AF76FB_.wvu.FilterData" localSheetId="27" hidden="1">#REF!</definedName>
    <definedName name="Z_0B1003A7_69DB_4D5B_966D_57B9E8AF76FB_.wvu.FilterData" localSheetId="25" hidden="1">#REF!</definedName>
    <definedName name="Z_0B1003A7_69DB_4D5B_966D_57B9E8AF76FB_.wvu.FilterData" localSheetId="7" hidden="1">#REF!</definedName>
    <definedName name="Z_0B1003A7_69DB_4D5B_966D_57B9E8AF76FB_.wvu.FilterData" localSheetId="4" hidden="1">#REF!</definedName>
    <definedName name="Z_0B1003A7_69DB_4D5B_966D_57B9E8AF76FB_.wvu.FilterData" localSheetId="5" hidden="1">#REF!</definedName>
    <definedName name="Z_0B1003A7_69DB_4D5B_966D_57B9E8AF76FB_.wvu.FilterData" localSheetId="2" hidden="1">#REF!</definedName>
    <definedName name="Z_0B1003A7_69DB_4D5B_966D_57B9E8AF76FB_.wvu.FilterData" localSheetId="3" hidden="1">#REF!</definedName>
    <definedName name="Z_0B1003A7_69DB_4D5B_966D_57B9E8AF76FB_.wvu.FilterData" hidden="1">#REF!</definedName>
    <definedName name="Z_0C3EE359_64F6_4049_9576_8EACA8563EA4_.wvu.FilterData" localSheetId="21" hidden="1">#REF!</definedName>
    <definedName name="Z_0C3EE359_64F6_4049_9576_8EACA8563EA4_.wvu.FilterData" localSheetId="12" hidden="1">#REF!</definedName>
    <definedName name="Z_0C3EE359_64F6_4049_9576_8EACA8563EA4_.wvu.FilterData" localSheetId="13" hidden="1">#REF!</definedName>
    <definedName name="Z_0C3EE359_64F6_4049_9576_8EACA8563EA4_.wvu.FilterData" localSheetId="14" hidden="1">#REF!</definedName>
    <definedName name="Z_0C3EE359_64F6_4049_9576_8EACA8563EA4_.wvu.FilterData" localSheetId="16" hidden="1">#REF!</definedName>
    <definedName name="Z_0C3EE359_64F6_4049_9576_8EACA8563EA4_.wvu.FilterData" localSheetId="15" hidden="1">#REF!</definedName>
    <definedName name="Z_0C3EE359_64F6_4049_9576_8EACA8563EA4_.wvu.FilterData" localSheetId="17" hidden="1">#REF!</definedName>
    <definedName name="Z_0C3EE359_64F6_4049_9576_8EACA8563EA4_.wvu.FilterData" localSheetId="11" hidden="1">#REF!</definedName>
    <definedName name="Z_0C3EE359_64F6_4049_9576_8EACA8563EA4_.wvu.FilterData" localSheetId="10" hidden="1">#REF!</definedName>
    <definedName name="Z_0C3EE359_64F6_4049_9576_8EACA8563EA4_.wvu.FilterData" localSheetId="22" hidden="1">#REF!</definedName>
    <definedName name="Z_0C3EE359_64F6_4049_9576_8EACA8563EA4_.wvu.FilterData" localSheetId="24" hidden="1">#REF!</definedName>
    <definedName name="Z_0C3EE359_64F6_4049_9576_8EACA8563EA4_.wvu.FilterData" localSheetId="23" hidden="1">#REF!</definedName>
    <definedName name="Z_0C3EE359_64F6_4049_9576_8EACA8563EA4_.wvu.FilterData" localSheetId="20" hidden="1">#REF!</definedName>
    <definedName name="Z_0C3EE359_64F6_4049_9576_8EACA8563EA4_.wvu.FilterData" localSheetId="19" hidden="1">#REF!</definedName>
    <definedName name="Z_0C3EE359_64F6_4049_9576_8EACA8563EA4_.wvu.FilterData" localSheetId="26" hidden="1">#REF!</definedName>
    <definedName name="Z_0C3EE359_64F6_4049_9576_8EACA8563EA4_.wvu.FilterData" localSheetId="27" hidden="1">#REF!</definedName>
    <definedName name="Z_0C3EE359_64F6_4049_9576_8EACA8563EA4_.wvu.FilterData" localSheetId="25" hidden="1">#REF!</definedName>
    <definedName name="Z_0C3EE359_64F6_4049_9576_8EACA8563EA4_.wvu.FilterData" localSheetId="7" hidden="1">#REF!</definedName>
    <definedName name="Z_0C3EE359_64F6_4049_9576_8EACA8563EA4_.wvu.FilterData" localSheetId="4" hidden="1">#REF!</definedName>
    <definedName name="Z_0C3EE359_64F6_4049_9576_8EACA8563EA4_.wvu.FilterData" localSheetId="5" hidden="1">#REF!</definedName>
    <definedName name="Z_0C3EE359_64F6_4049_9576_8EACA8563EA4_.wvu.FilterData" localSheetId="2" hidden="1">#REF!</definedName>
    <definedName name="Z_0C3EE359_64F6_4049_9576_8EACA8563EA4_.wvu.FilterData" localSheetId="3" hidden="1">#REF!</definedName>
    <definedName name="Z_0C3EE359_64F6_4049_9576_8EACA8563EA4_.wvu.FilterData" hidden="1">#REF!</definedName>
    <definedName name="Z_0D05AC4E_32D3_4985_8208_9776E00AC749_.wvu.FilterData" localSheetId="21" hidden="1">#REF!</definedName>
    <definedName name="Z_0D05AC4E_32D3_4985_8208_9776E00AC749_.wvu.FilterData" localSheetId="12" hidden="1">#REF!</definedName>
    <definedName name="Z_0D05AC4E_32D3_4985_8208_9776E00AC749_.wvu.FilterData" localSheetId="13" hidden="1">#REF!</definedName>
    <definedName name="Z_0D05AC4E_32D3_4985_8208_9776E00AC749_.wvu.FilterData" localSheetId="14" hidden="1">#REF!</definedName>
    <definedName name="Z_0D05AC4E_32D3_4985_8208_9776E00AC749_.wvu.FilterData" localSheetId="16" hidden="1">#REF!</definedName>
    <definedName name="Z_0D05AC4E_32D3_4985_8208_9776E00AC749_.wvu.FilterData" localSheetId="15" hidden="1">#REF!</definedName>
    <definedName name="Z_0D05AC4E_32D3_4985_8208_9776E00AC749_.wvu.FilterData" localSheetId="17" hidden="1">#REF!</definedName>
    <definedName name="Z_0D05AC4E_32D3_4985_8208_9776E00AC749_.wvu.FilterData" localSheetId="11" hidden="1">#REF!</definedName>
    <definedName name="Z_0D05AC4E_32D3_4985_8208_9776E00AC749_.wvu.FilterData" localSheetId="10" hidden="1">#REF!</definedName>
    <definedName name="Z_0D05AC4E_32D3_4985_8208_9776E00AC749_.wvu.FilterData" localSheetId="22" hidden="1">#REF!</definedName>
    <definedName name="Z_0D05AC4E_32D3_4985_8208_9776E00AC749_.wvu.FilterData" localSheetId="24" hidden="1">#REF!</definedName>
    <definedName name="Z_0D05AC4E_32D3_4985_8208_9776E00AC749_.wvu.FilterData" localSheetId="23" hidden="1">#REF!</definedName>
    <definedName name="Z_0D05AC4E_32D3_4985_8208_9776E00AC749_.wvu.FilterData" localSheetId="20" hidden="1">#REF!</definedName>
    <definedName name="Z_0D05AC4E_32D3_4985_8208_9776E00AC749_.wvu.FilterData" localSheetId="19" hidden="1">#REF!</definedName>
    <definedName name="Z_0D05AC4E_32D3_4985_8208_9776E00AC749_.wvu.FilterData" localSheetId="26" hidden="1">#REF!</definedName>
    <definedName name="Z_0D05AC4E_32D3_4985_8208_9776E00AC749_.wvu.FilterData" localSheetId="27" hidden="1">#REF!</definedName>
    <definedName name="Z_0D05AC4E_32D3_4985_8208_9776E00AC749_.wvu.FilterData" localSheetId="25" hidden="1">#REF!</definedName>
    <definedName name="Z_0D05AC4E_32D3_4985_8208_9776E00AC749_.wvu.FilterData" localSheetId="7" hidden="1">#REF!</definedName>
    <definedName name="Z_0D05AC4E_32D3_4985_8208_9776E00AC749_.wvu.FilterData" localSheetId="4" hidden="1">#REF!</definedName>
    <definedName name="Z_0D05AC4E_32D3_4985_8208_9776E00AC749_.wvu.FilterData" localSheetId="5" hidden="1">#REF!</definedName>
    <definedName name="Z_0D05AC4E_32D3_4985_8208_9776E00AC749_.wvu.FilterData" localSheetId="2" hidden="1">#REF!</definedName>
    <definedName name="Z_0D05AC4E_32D3_4985_8208_9776E00AC749_.wvu.FilterData" localSheetId="3" hidden="1">#REF!</definedName>
    <definedName name="Z_0D05AC4E_32D3_4985_8208_9776E00AC749_.wvu.FilterData" hidden="1">#REF!</definedName>
    <definedName name="Z_0DC459DE_F68C_4E33_8D1E_F1663ABAC944_.wvu.FilterData" localSheetId="21" hidden="1">#REF!</definedName>
    <definedName name="Z_0DC459DE_F68C_4E33_8D1E_F1663ABAC944_.wvu.FilterData" localSheetId="12" hidden="1">#REF!</definedName>
    <definedName name="Z_0DC459DE_F68C_4E33_8D1E_F1663ABAC944_.wvu.FilterData" localSheetId="13" hidden="1">#REF!</definedName>
    <definedName name="Z_0DC459DE_F68C_4E33_8D1E_F1663ABAC944_.wvu.FilterData" localSheetId="14" hidden="1">#REF!</definedName>
    <definedName name="Z_0DC459DE_F68C_4E33_8D1E_F1663ABAC944_.wvu.FilterData" localSheetId="16" hidden="1">#REF!</definedName>
    <definedName name="Z_0DC459DE_F68C_4E33_8D1E_F1663ABAC944_.wvu.FilterData" localSheetId="15" hidden="1">#REF!</definedName>
    <definedName name="Z_0DC459DE_F68C_4E33_8D1E_F1663ABAC944_.wvu.FilterData" localSheetId="17" hidden="1">#REF!</definedName>
    <definedName name="Z_0DC459DE_F68C_4E33_8D1E_F1663ABAC944_.wvu.FilterData" localSheetId="11" hidden="1">#REF!</definedName>
    <definedName name="Z_0DC459DE_F68C_4E33_8D1E_F1663ABAC944_.wvu.FilterData" localSheetId="10" hidden="1">#REF!</definedName>
    <definedName name="Z_0DC459DE_F68C_4E33_8D1E_F1663ABAC944_.wvu.FilterData" localSheetId="22" hidden="1">#REF!</definedName>
    <definedName name="Z_0DC459DE_F68C_4E33_8D1E_F1663ABAC944_.wvu.FilterData" localSheetId="24" hidden="1">#REF!</definedName>
    <definedName name="Z_0DC459DE_F68C_4E33_8D1E_F1663ABAC944_.wvu.FilterData" localSheetId="23" hidden="1">#REF!</definedName>
    <definedName name="Z_0DC459DE_F68C_4E33_8D1E_F1663ABAC944_.wvu.FilterData" localSheetId="20" hidden="1">#REF!</definedName>
    <definedName name="Z_0DC459DE_F68C_4E33_8D1E_F1663ABAC944_.wvu.FilterData" localSheetId="19" hidden="1">#REF!</definedName>
    <definedName name="Z_0DC459DE_F68C_4E33_8D1E_F1663ABAC944_.wvu.FilterData" localSheetId="26" hidden="1">#REF!</definedName>
    <definedName name="Z_0DC459DE_F68C_4E33_8D1E_F1663ABAC944_.wvu.FilterData" localSheetId="27" hidden="1">#REF!</definedName>
    <definedName name="Z_0DC459DE_F68C_4E33_8D1E_F1663ABAC944_.wvu.FilterData" localSheetId="25" hidden="1">#REF!</definedName>
    <definedName name="Z_0DC459DE_F68C_4E33_8D1E_F1663ABAC944_.wvu.FilterData" localSheetId="7" hidden="1">#REF!</definedName>
    <definedName name="Z_0DC459DE_F68C_4E33_8D1E_F1663ABAC944_.wvu.FilterData" localSheetId="4" hidden="1">#REF!</definedName>
    <definedName name="Z_0DC459DE_F68C_4E33_8D1E_F1663ABAC944_.wvu.FilterData" localSheetId="5" hidden="1">#REF!</definedName>
    <definedName name="Z_0DC459DE_F68C_4E33_8D1E_F1663ABAC944_.wvu.FilterData" localSheetId="2" hidden="1">#REF!</definedName>
    <definedName name="Z_0DC459DE_F68C_4E33_8D1E_F1663ABAC944_.wvu.FilterData" localSheetId="3" hidden="1">#REF!</definedName>
    <definedName name="Z_0DC459DE_F68C_4E33_8D1E_F1663ABAC944_.wvu.FilterData" hidden="1">#REF!</definedName>
    <definedName name="Z_0FACBA89_1203_4ED8_87E5_EC1D45B051B7_.wvu.FilterData" localSheetId="21" hidden="1">#REF!</definedName>
    <definedName name="Z_0FACBA89_1203_4ED8_87E5_EC1D45B051B7_.wvu.FilterData" localSheetId="12" hidden="1">#REF!</definedName>
    <definedName name="Z_0FACBA89_1203_4ED8_87E5_EC1D45B051B7_.wvu.FilterData" localSheetId="13" hidden="1">#REF!</definedName>
    <definedName name="Z_0FACBA89_1203_4ED8_87E5_EC1D45B051B7_.wvu.FilterData" localSheetId="14" hidden="1">#REF!</definedName>
    <definedName name="Z_0FACBA89_1203_4ED8_87E5_EC1D45B051B7_.wvu.FilterData" localSheetId="16" hidden="1">#REF!</definedName>
    <definedName name="Z_0FACBA89_1203_4ED8_87E5_EC1D45B051B7_.wvu.FilterData" localSheetId="15" hidden="1">#REF!</definedName>
    <definedName name="Z_0FACBA89_1203_4ED8_87E5_EC1D45B051B7_.wvu.FilterData" localSheetId="17" hidden="1">#REF!</definedName>
    <definedName name="Z_0FACBA89_1203_4ED8_87E5_EC1D45B051B7_.wvu.FilterData" localSheetId="11" hidden="1">#REF!</definedName>
    <definedName name="Z_0FACBA89_1203_4ED8_87E5_EC1D45B051B7_.wvu.FilterData" localSheetId="10" hidden="1">#REF!</definedName>
    <definedName name="Z_0FACBA89_1203_4ED8_87E5_EC1D45B051B7_.wvu.FilterData" localSheetId="22" hidden="1">#REF!</definedName>
    <definedName name="Z_0FACBA89_1203_4ED8_87E5_EC1D45B051B7_.wvu.FilterData" localSheetId="24" hidden="1">#REF!</definedName>
    <definedName name="Z_0FACBA89_1203_4ED8_87E5_EC1D45B051B7_.wvu.FilterData" localSheetId="23" hidden="1">#REF!</definedName>
    <definedName name="Z_0FACBA89_1203_4ED8_87E5_EC1D45B051B7_.wvu.FilterData" localSheetId="20" hidden="1">#REF!</definedName>
    <definedName name="Z_0FACBA89_1203_4ED8_87E5_EC1D45B051B7_.wvu.FilterData" localSheetId="19" hidden="1">#REF!</definedName>
    <definedName name="Z_0FACBA89_1203_4ED8_87E5_EC1D45B051B7_.wvu.FilterData" localSheetId="26" hidden="1">#REF!</definedName>
    <definedName name="Z_0FACBA89_1203_4ED8_87E5_EC1D45B051B7_.wvu.FilterData" localSheetId="27" hidden="1">#REF!</definedName>
    <definedName name="Z_0FACBA89_1203_4ED8_87E5_EC1D45B051B7_.wvu.FilterData" localSheetId="25" hidden="1">#REF!</definedName>
    <definedName name="Z_0FACBA89_1203_4ED8_87E5_EC1D45B051B7_.wvu.FilterData" localSheetId="7" hidden="1">#REF!</definedName>
    <definedName name="Z_0FACBA89_1203_4ED8_87E5_EC1D45B051B7_.wvu.FilterData" localSheetId="4" hidden="1">#REF!</definedName>
    <definedName name="Z_0FACBA89_1203_4ED8_87E5_EC1D45B051B7_.wvu.FilterData" localSheetId="5" hidden="1">#REF!</definedName>
    <definedName name="Z_0FACBA89_1203_4ED8_87E5_EC1D45B051B7_.wvu.FilterData" localSheetId="2" hidden="1">#REF!</definedName>
    <definedName name="Z_0FACBA89_1203_4ED8_87E5_EC1D45B051B7_.wvu.FilterData" localSheetId="3" hidden="1">#REF!</definedName>
    <definedName name="Z_0FACBA89_1203_4ED8_87E5_EC1D45B051B7_.wvu.FilterData" hidden="1">#REF!</definedName>
    <definedName name="Z_0FEA3536_5108_4591_BECF_C3181387F85F_.wvu.FilterData" localSheetId="21" hidden="1">#REF!</definedName>
    <definedName name="Z_0FEA3536_5108_4591_BECF_C3181387F85F_.wvu.FilterData" localSheetId="12" hidden="1">#REF!</definedName>
    <definedName name="Z_0FEA3536_5108_4591_BECF_C3181387F85F_.wvu.FilterData" localSheetId="13" hidden="1">#REF!</definedName>
    <definedName name="Z_0FEA3536_5108_4591_BECF_C3181387F85F_.wvu.FilterData" localSheetId="14" hidden="1">#REF!</definedName>
    <definedName name="Z_0FEA3536_5108_4591_BECF_C3181387F85F_.wvu.FilterData" localSheetId="16" hidden="1">#REF!</definedName>
    <definedName name="Z_0FEA3536_5108_4591_BECF_C3181387F85F_.wvu.FilterData" localSheetId="15" hidden="1">#REF!</definedName>
    <definedName name="Z_0FEA3536_5108_4591_BECF_C3181387F85F_.wvu.FilterData" localSheetId="17" hidden="1">#REF!</definedName>
    <definedName name="Z_0FEA3536_5108_4591_BECF_C3181387F85F_.wvu.FilterData" localSheetId="11" hidden="1">#REF!</definedName>
    <definedName name="Z_0FEA3536_5108_4591_BECF_C3181387F85F_.wvu.FilterData" localSheetId="10" hidden="1">#REF!</definedName>
    <definedName name="Z_0FEA3536_5108_4591_BECF_C3181387F85F_.wvu.FilterData" localSheetId="22" hidden="1">#REF!</definedName>
    <definedName name="Z_0FEA3536_5108_4591_BECF_C3181387F85F_.wvu.FilterData" localSheetId="24" hidden="1">#REF!</definedName>
    <definedName name="Z_0FEA3536_5108_4591_BECF_C3181387F85F_.wvu.FilterData" localSheetId="23" hidden="1">#REF!</definedName>
    <definedName name="Z_0FEA3536_5108_4591_BECF_C3181387F85F_.wvu.FilterData" localSheetId="20" hidden="1">#REF!</definedName>
    <definedName name="Z_0FEA3536_5108_4591_BECF_C3181387F85F_.wvu.FilterData" localSheetId="19" hidden="1">#REF!</definedName>
    <definedName name="Z_0FEA3536_5108_4591_BECF_C3181387F85F_.wvu.FilterData" localSheetId="26" hidden="1">#REF!</definedName>
    <definedName name="Z_0FEA3536_5108_4591_BECF_C3181387F85F_.wvu.FilterData" localSheetId="27" hidden="1">#REF!</definedName>
    <definedName name="Z_0FEA3536_5108_4591_BECF_C3181387F85F_.wvu.FilterData" localSheetId="25" hidden="1">#REF!</definedName>
    <definedName name="Z_0FEA3536_5108_4591_BECF_C3181387F85F_.wvu.FilterData" localSheetId="7" hidden="1">#REF!</definedName>
    <definedName name="Z_0FEA3536_5108_4591_BECF_C3181387F85F_.wvu.FilterData" localSheetId="4" hidden="1">#REF!</definedName>
    <definedName name="Z_0FEA3536_5108_4591_BECF_C3181387F85F_.wvu.FilterData" localSheetId="5" hidden="1">#REF!</definedName>
    <definedName name="Z_0FEA3536_5108_4591_BECF_C3181387F85F_.wvu.FilterData" localSheetId="2" hidden="1">#REF!</definedName>
    <definedName name="Z_0FEA3536_5108_4591_BECF_C3181387F85F_.wvu.FilterData" localSheetId="3" hidden="1">#REF!</definedName>
    <definedName name="Z_0FEA3536_5108_4591_BECF_C3181387F85F_.wvu.FilterData" hidden="1">#REF!</definedName>
    <definedName name="Z_0FEFDB42_ECBC_4500_A6C8_FEE3D368790B_.wvu.FilterData" localSheetId="21" hidden="1">#REF!</definedName>
    <definedName name="Z_0FEFDB42_ECBC_4500_A6C8_FEE3D368790B_.wvu.FilterData" localSheetId="12" hidden="1">#REF!</definedName>
    <definedName name="Z_0FEFDB42_ECBC_4500_A6C8_FEE3D368790B_.wvu.FilterData" localSheetId="13" hidden="1">#REF!</definedName>
    <definedName name="Z_0FEFDB42_ECBC_4500_A6C8_FEE3D368790B_.wvu.FilterData" localSheetId="14" hidden="1">#REF!</definedName>
    <definedName name="Z_0FEFDB42_ECBC_4500_A6C8_FEE3D368790B_.wvu.FilterData" localSheetId="16" hidden="1">#REF!</definedName>
    <definedName name="Z_0FEFDB42_ECBC_4500_A6C8_FEE3D368790B_.wvu.FilterData" localSheetId="15" hidden="1">#REF!</definedName>
    <definedName name="Z_0FEFDB42_ECBC_4500_A6C8_FEE3D368790B_.wvu.FilterData" localSheetId="17" hidden="1">#REF!</definedName>
    <definedName name="Z_0FEFDB42_ECBC_4500_A6C8_FEE3D368790B_.wvu.FilterData" localSheetId="11" hidden="1">#REF!</definedName>
    <definedName name="Z_0FEFDB42_ECBC_4500_A6C8_FEE3D368790B_.wvu.FilterData" localSheetId="10" hidden="1">#REF!</definedName>
    <definedName name="Z_0FEFDB42_ECBC_4500_A6C8_FEE3D368790B_.wvu.FilterData" localSheetId="22" hidden="1">#REF!</definedName>
    <definedName name="Z_0FEFDB42_ECBC_4500_A6C8_FEE3D368790B_.wvu.FilterData" localSheetId="24" hidden="1">#REF!</definedName>
    <definedName name="Z_0FEFDB42_ECBC_4500_A6C8_FEE3D368790B_.wvu.FilterData" localSheetId="23" hidden="1">#REF!</definedName>
    <definedName name="Z_0FEFDB42_ECBC_4500_A6C8_FEE3D368790B_.wvu.FilterData" localSheetId="20" hidden="1">#REF!</definedName>
    <definedName name="Z_0FEFDB42_ECBC_4500_A6C8_FEE3D368790B_.wvu.FilterData" localSheetId="19" hidden="1">#REF!</definedName>
    <definedName name="Z_0FEFDB42_ECBC_4500_A6C8_FEE3D368790B_.wvu.FilterData" localSheetId="26" hidden="1">#REF!</definedName>
    <definedName name="Z_0FEFDB42_ECBC_4500_A6C8_FEE3D368790B_.wvu.FilterData" localSheetId="27" hidden="1">#REF!</definedName>
    <definedName name="Z_0FEFDB42_ECBC_4500_A6C8_FEE3D368790B_.wvu.FilterData" localSheetId="25" hidden="1">#REF!</definedName>
    <definedName name="Z_0FEFDB42_ECBC_4500_A6C8_FEE3D368790B_.wvu.FilterData" localSheetId="7" hidden="1">#REF!</definedName>
    <definedName name="Z_0FEFDB42_ECBC_4500_A6C8_FEE3D368790B_.wvu.FilterData" localSheetId="4" hidden="1">#REF!</definedName>
    <definedName name="Z_0FEFDB42_ECBC_4500_A6C8_FEE3D368790B_.wvu.FilterData" localSheetId="5" hidden="1">#REF!</definedName>
    <definedName name="Z_0FEFDB42_ECBC_4500_A6C8_FEE3D368790B_.wvu.FilterData" localSheetId="2" hidden="1">#REF!</definedName>
    <definedName name="Z_0FEFDB42_ECBC_4500_A6C8_FEE3D368790B_.wvu.FilterData" localSheetId="3" hidden="1">#REF!</definedName>
    <definedName name="Z_0FEFDB42_ECBC_4500_A6C8_FEE3D368790B_.wvu.FilterData" hidden="1">#REF!</definedName>
    <definedName name="Z_110A0651_47C7_408E_B3BF_0C80D30B95FC_.wvu.FilterData" localSheetId="21" hidden="1">#REF!</definedName>
    <definedName name="Z_110A0651_47C7_408E_B3BF_0C80D30B95FC_.wvu.FilterData" localSheetId="12" hidden="1">#REF!</definedName>
    <definedName name="Z_110A0651_47C7_408E_B3BF_0C80D30B95FC_.wvu.FilterData" localSheetId="13" hidden="1">#REF!</definedName>
    <definedName name="Z_110A0651_47C7_408E_B3BF_0C80D30B95FC_.wvu.FilterData" localSheetId="14" hidden="1">#REF!</definedName>
    <definedName name="Z_110A0651_47C7_408E_B3BF_0C80D30B95FC_.wvu.FilterData" localSheetId="16" hidden="1">#REF!</definedName>
    <definedName name="Z_110A0651_47C7_408E_B3BF_0C80D30B95FC_.wvu.FilterData" localSheetId="15" hidden="1">#REF!</definedName>
    <definedName name="Z_110A0651_47C7_408E_B3BF_0C80D30B95FC_.wvu.FilterData" localSheetId="17" hidden="1">#REF!</definedName>
    <definedName name="Z_110A0651_47C7_408E_B3BF_0C80D30B95FC_.wvu.FilterData" localSheetId="11" hidden="1">#REF!</definedName>
    <definedName name="Z_110A0651_47C7_408E_B3BF_0C80D30B95FC_.wvu.FilterData" localSheetId="10" hidden="1">#REF!</definedName>
    <definedName name="Z_110A0651_47C7_408E_B3BF_0C80D30B95FC_.wvu.FilterData" localSheetId="22" hidden="1">#REF!</definedName>
    <definedName name="Z_110A0651_47C7_408E_B3BF_0C80D30B95FC_.wvu.FilterData" localSheetId="24" hidden="1">#REF!</definedName>
    <definedName name="Z_110A0651_47C7_408E_B3BF_0C80D30B95FC_.wvu.FilterData" localSheetId="23" hidden="1">#REF!</definedName>
    <definedName name="Z_110A0651_47C7_408E_B3BF_0C80D30B95FC_.wvu.FilterData" localSheetId="20" hidden="1">#REF!</definedName>
    <definedName name="Z_110A0651_47C7_408E_B3BF_0C80D30B95FC_.wvu.FilterData" localSheetId="19" hidden="1">#REF!</definedName>
    <definedName name="Z_110A0651_47C7_408E_B3BF_0C80D30B95FC_.wvu.FilterData" localSheetId="26" hidden="1">#REF!</definedName>
    <definedName name="Z_110A0651_47C7_408E_B3BF_0C80D30B95FC_.wvu.FilterData" localSheetId="27" hidden="1">#REF!</definedName>
    <definedName name="Z_110A0651_47C7_408E_B3BF_0C80D30B95FC_.wvu.FilterData" localSheetId="25" hidden="1">#REF!</definedName>
    <definedName name="Z_110A0651_47C7_408E_B3BF_0C80D30B95FC_.wvu.FilterData" localSheetId="7" hidden="1">#REF!</definedName>
    <definedName name="Z_110A0651_47C7_408E_B3BF_0C80D30B95FC_.wvu.FilterData" localSheetId="4" hidden="1">#REF!</definedName>
    <definedName name="Z_110A0651_47C7_408E_B3BF_0C80D30B95FC_.wvu.FilterData" localSheetId="5" hidden="1">#REF!</definedName>
    <definedName name="Z_110A0651_47C7_408E_B3BF_0C80D30B95FC_.wvu.FilterData" localSheetId="2" hidden="1">#REF!</definedName>
    <definedName name="Z_110A0651_47C7_408E_B3BF_0C80D30B95FC_.wvu.FilterData" localSheetId="3" hidden="1">#REF!</definedName>
    <definedName name="Z_110A0651_47C7_408E_B3BF_0C80D30B95FC_.wvu.FilterData" hidden="1">#REF!</definedName>
    <definedName name="Z_128E64DD_BE84_40EE_A6D2_C9B0EB25CBBD_.wvu.FilterData" localSheetId="21" hidden="1">#REF!</definedName>
    <definedName name="Z_128E64DD_BE84_40EE_A6D2_C9B0EB25CBBD_.wvu.FilterData" localSheetId="12" hidden="1">#REF!</definedName>
    <definedName name="Z_128E64DD_BE84_40EE_A6D2_C9B0EB25CBBD_.wvu.FilterData" localSheetId="13" hidden="1">#REF!</definedName>
    <definedName name="Z_128E64DD_BE84_40EE_A6D2_C9B0EB25CBBD_.wvu.FilterData" localSheetId="14" hidden="1">#REF!</definedName>
    <definedName name="Z_128E64DD_BE84_40EE_A6D2_C9B0EB25CBBD_.wvu.FilterData" localSheetId="16" hidden="1">#REF!</definedName>
    <definedName name="Z_128E64DD_BE84_40EE_A6D2_C9B0EB25CBBD_.wvu.FilterData" localSheetId="15" hidden="1">#REF!</definedName>
    <definedName name="Z_128E64DD_BE84_40EE_A6D2_C9B0EB25CBBD_.wvu.FilterData" localSheetId="17" hidden="1">#REF!</definedName>
    <definedName name="Z_128E64DD_BE84_40EE_A6D2_C9B0EB25CBBD_.wvu.FilterData" localSheetId="11" hidden="1">#REF!</definedName>
    <definedName name="Z_128E64DD_BE84_40EE_A6D2_C9B0EB25CBBD_.wvu.FilterData" localSheetId="10" hidden="1">#REF!</definedName>
    <definedName name="Z_128E64DD_BE84_40EE_A6D2_C9B0EB25CBBD_.wvu.FilterData" localSheetId="22" hidden="1">#REF!</definedName>
    <definedName name="Z_128E64DD_BE84_40EE_A6D2_C9B0EB25CBBD_.wvu.FilterData" localSheetId="24" hidden="1">#REF!</definedName>
    <definedName name="Z_128E64DD_BE84_40EE_A6D2_C9B0EB25CBBD_.wvu.FilterData" localSheetId="23" hidden="1">#REF!</definedName>
    <definedName name="Z_128E64DD_BE84_40EE_A6D2_C9B0EB25CBBD_.wvu.FilterData" localSheetId="20" hidden="1">#REF!</definedName>
    <definedName name="Z_128E64DD_BE84_40EE_A6D2_C9B0EB25CBBD_.wvu.FilterData" localSheetId="19" hidden="1">#REF!</definedName>
    <definedName name="Z_128E64DD_BE84_40EE_A6D2_C9B0EB25CBBD_.wvu.FilterData" localSheetId="26" hidden="1">#REF!</definedName>
    <definedName name="Z_128E64DD_BE84_40EE_A6D2_C9B0EB25CBBD_.wvu.FilterData" localSheetId="27" hidden="1">#REF!</definedName>
    <definedName name="Z_128E64DD_BE84_40EE_A6D2_C9B0EB25CBBD_.wvu.FilterData" localSheetId="25" hidden="1">#REF!</definedName>
    <definedName name="Z_128E64DD_BE84_40EE_A6D2_C9B0EB25CBBD_.wvu.FilterData" localSheetId="7" hidden="1">#REF!</definedName>
    <definedName name="Z_128E64DD_BE84_40EE_A6D2_C9B0EB25CBBD_.wvu.FilterData" localSheetId="4" hidden="1">#REF!</definedName>
    <definedName name="Z_128E64DD_BE84_40EE_A6D2_C9B0EB25CBBD_.wvu.FilterData" localSheetId="5" hidden="1">#REF!</definedName>
    <definedName name="Z_128E64DD_BE84_40EE_A6D2_C9B0EB25CBBD_.wvu.FilterData" localSheetId="2" hidden="1">#REF!</definedName>
    <definedName name="Z_128E64DD_BE84_40EE_A6D2_C9B0EB25CBBD_.wvu.FilterData" localSheetId="3" hidden="1">#REF!</definedName>
    <definedName name="Z_128E64DD_BE84_40EE_A6D2_C9B0EB25CBBD_.wvu.FilterData" hidden="1">#REF!</definedName>
    <definedName name="Z_12F2973E_0018_407B_98AD_CD9C5D1F65FA_.wvu.FilterData" localSheetId="21" hidden="1">#REF!</definedName>
    <definedName name="Z_12F2973E_0018_407B_98AD_CD9C5D1F65FA_.wvu.FilterData" localSheetId="12" hidden="1">#REF!</definedName>
    <definedName name="Z_12F2973E_0018_407B_98AD_CD9C5D1F65FA_.wvu.FilterData" localSheetId="13" hidden="1">#REF!</definedName>
    <definedName name="Z_12F2973E_0018_407B_98AD_CD9C5D1F65FA_.wvu.FilterData" localSheetId="14" hidden="1">#REF!</definedName>
    <definedName name="Z_12F2973E_0018_407B_98AD_CD9C5D1F65FA_.wvu.FilterData" localSheetId="16" hidden="1">#REF!</definedName>
    <definedName name="Z_12F2973E_0018_407B_98AD_CD9C5D1F65FA_.wvu.FilterData" localSheetId="15" hidden="1">#REF!</definedName>
    <definedName name="Z_12F2973E_0018_407B_98AD_CD9C5D1F65FA_.wvu.FilterData" localSheetId="17" hidden="1">#REF!</definedName>
    <definedName name="Z_12F2973E_0018_407B_98AD_CD9C5D1F65FA_.wvu.FilterData" localSheetId="11" hidden="1">#REF!</definedName>
    <definedName name="Z_12F2973E_0018_407B_98AD_CD9C5D1F65FA_.wvu.FilterData" localSheetId="10" hidden="1">#REF!</definedName>
    <definedName name="Z_12F2973E_0018_407B_98AD_CD9C5D1F65FA_.wvu.FilterData" localSheetId="22" hidden="1">#REF!</definedName>
    <definedName name="Z_12F2973E_0018_407B_98AD_CD9C5D1F65FA_.wvu.FilterData" localSheetId="24" hidden="1">#REF!</definedName>
    <definedName name="Z_12F2973E_0018_407B_98AD_CD9C5D1F65FA_.wvu.FilterData" localSheetId="23" hidden="1">#REF!</definedName>
    <definedName name="Z_12F2973E_0018_407B_98AD_CD9C5D1F65FA_.wvu.FilterData" localSheetId="20" hidden="1">#REF!</definedName>
    <definedName name="Z_12F2973E_0018_407B_98AD_CD9C5D1F65FA_.wvu.FilterData" localSheetId="19" hidden="1">#REF!</definedName>
    <definedName name="Z_12F2973E_0018_407B_98AD_CD9C5D1F65FA_.wvu.FilterData" localSheetId="26" hidden="1">#REF!</definedName>
    <definedName name="Z_12F2973E_0018_407B_98AD_CD9C5D1F65FA_.wvu.FilterData" localSheetId="27" hidden="1">#REF!</definedName>
    <definedName name="Z_12F2973E_0018_407B_98AD_CD9C5D1F65FA_.wvu.FilterData" localSheetId="25" hidden="1">#REF!</definedName>
    <definedName name="Z_12F2973E_0018_407B_98AD_CD9C5D1F65FA_.wvu.FilterData" localSheetId="7" hidden="1">#REF!</definedName>
    <definedName name="Z_12F2973E_0018_407B_98AD_CD9C5D1F65FA_.wvu.FilterData" localSheetId="4" hidden="1">#REF!</definedName>
    <definedName name="Z_12F2973E_0018_407B_98AD_CD9C5D1F65FA_.wvu.FilterData" localSheetId="5" hidden="1">#REF!</definedName>
    <definedName name="Z_12F2973E_0018_407B_98AD_CD9C5D1F65FA_.wvu.FilterData" localSheetId="2" hidden="1">#REF!</definedName>
    <definedName name="Z_12F2973E_0018_407B_98AD_CD9C5D1F65FA_.wvu.FilterData" localSheetId="3" hidden="1">#REF!</definedName>
    <definedName name="Z_12F2973E_0018_407B_98AD_CD9C5D1F65FA_.wvu.FilterData" hidden="1">#REF!</definedName>
    <definedName name="Z_137DAE61_8A8D_4219_A4CC_0EEC18A94882_.wvu.FilterData" localSheetId="21" hidden="1">#REF!</definedName>
    <definedName name="Z_137DAE61_8A8D_4219_A4CC_0EEC18A94882_.wvu.FilterData" localSheetId="12" hidden="1">#REF!</definedName>
    <definedName name="Z_137DAE61_8A8D_4219_A4CC_0EEC18A94882_.wvu.FilterData" localSheetId="13" hidden="1">#REF!</definedName>
    <definedName name="Z_137DAE61_8A8D_4219_A4CC_0EEC18A94882_.wvu.FilterData" localSheetId="14" hidden="1">#REF!</definedName>
    <definedName name="Z_137DAE61_8A8D_4219_A4CC_0EEC18A94882_.wvu.FilterData" localSheetId="16" hidden="1">#REF!</definedName>
    <definedName name="Z_137DAE61_8A8D_4219_A4CC_0EEC18A94882_.wvu.FilterData" localSheetId="15" hidden="1">#REF!</definedName>
    <definedName name="Z_137DAE61_8A8D_4219_A4CC_0EEC18A94882_.wvu.FilterData" localSheetId="17" hidden="1">#REF!</definedName>
    <definedName name="Z_137DAE61_8A8D_4219_A4CC_0EEC18A94882_.wvu.FilterData" localSheetId="11" hidden="1">#REF!</definedName>
    <definedName name="Z_137DAE61_8A8D_4219_A4CC_0EEC18A94882_.wvu.FilterData" localSheetId="10" hidden="1">#REF!</definedName>
    <definedName name="Z_137DAE61_8A8D_4219_A4CC_0EEC18A94882_.wvu.FilterData" localSheetId="22" hidden="1">#REF!</definedName>
    <definedName name="Z_137DAE61_8A8D_4219_A4CC_0EEC18A94882_.wvu.FilterData" localSheetId="24" hidden="1">#REF!</definedName>
    <definedName name="Z_137DAE61_8A8D_4219_A4CC_0EEC18A94882_.wvu.FilterData" localSheetId="23" hidden="1">#REF!</definedName>
    <definedName name="Z_137DAE61_8A8D_4219_A4CC_0EEC18A94882_.wvu.FilterData" localSheetId="20" hidden="1">#REF!</definedName>
    <definedName name="Z_137DAE61_8A8D_4219_A4CC_0EEC18A94882_.wvu.FilterData" localSheetId="19" hidden="1">#REF!</definedName>
    <definedName name="Z_137DAE61_8A8D_4219_A4CC_0EEC18A94882_.wvu.FilterData" localSheetId="26" hidden="1">#REF!</definedName>
    <definedName name="Z_137DAE61_8A8D_4219_A4CC_0EEC18A94882_.wvu.FilterData" localSheetId="27" hidden="1">#REF!</definedName>
    <definedName name="Z_137DAE61_8A8D_4219_A4CC_0EEC18A94882_.wvu.FilterData" localSheetId="25" hidden="1">#REF!</definedName>
    <definedName name="Z_137DAE61_8A8D_4219_A4CC_0EEC18A94882_.wvu.FilterData" localSheetId="7" hidden="1">#REF!</definedName>
    <definedName name="Z_137DAE61_8A8D_4219_A4CC_0EEC18A94882_.wvu.FilterData" localSheetId="4" hidden="1">#REF!</definedName>
    <definedName name="Z_137DAE61_8A8D_4219_A4CC_0EEC18A94882_.wvu.FilterData" localSheetId="5" hidden="1">#REF!</definedName>
    <definedName name="Z_137DAE61_8A8D_4219_A4CC_0EEC18A94882_.wvu.FilterData" localSheetId="2" hidden="1">#REF!</definedName>
    <definedName name="Z_137DAE61_8A8D_4219_A4CC_0EEC18A94882_.wvu.FilterData" localSheetId="3" hidden="1">#REF!</definedName>
    <definedName name="Z_137DAE61_8A8D_4219_A4CC_0EEC18A94882_.wvu.FilterData" hidden="1">#REF!</definedName>
    <definedName name="Z_13E06FB5_D019_406D_B278_1B53AD2F6386_.wvu.FilterData" localSheetId="21" hidden="1">#REF!</definedName>
    <definedName name="Z_13E06FB5_D019_406D_B278_1B53AD2F6386_.wvu.FilterData" localSheetId="12" hidden="1">#REF!</definedName>
    <definedName name="Z_13E06FB5_D019_406D_B278_1B53AD2F6386_.wvu.FilterData" localSheetId="13" hidden="1">#REF!</definedName>
    <definedName name="Z_13E06FB5_D019_406D_B278_1B53AD2F6386_.wvu.FilterData" localSheetId="14" hidden="1">#REF!</definedName>
    <definedName name="Z_13E06FB5_D019_406D_B278_1B53AD2F6386_.wvu.FilterData" localSheetId="16" hidden="1">#REF!</definedName>
    <definedName name="Z_13E06FB5_D019_406D_B278_1B53AD2F6386_.wvu.FilterData" localSheetId="15" hidden="1">#REF!</definedName>
    <definedName name="Z_13E06FB5_D019_406D_B278_1B53AD2F6386_.wvu.FilterData" localSheetId="17" hidden="1">#REF!</definedName>
    <definedName name="Z_13E06FB5_D019_406D_B278_1B53AD2F6386_.wvu.FilterData" localSheetId="11" hidden="1">#REF!</definedName>
    <definedName name="Z_13E06FB5_D019_406D_B278_1B53AD2F6386_.wvu.FilterData" localSheetId="10" hidden="1">#REF!</definedName>
    <definedName name="Z_13E06FB5_D019_406D_B278_1B53AD2F6386_.wvu.FilterData" localSheetId="22" hidden="1">#REF!</definedName>
    <definedName name="Z_13E06FB5_D019_406D_B278_1B53AD2F6386_.wvu.FilterData" localSheetId="24" hidden="1">#REF!</definedName>
    <definedName name="Z_13E06FB5_D019_406D_B278_1B53AD2F6386_.wvu.FilterData" localSheetId="23" hidden="1">#REF!</definedName>
    <definedName name="Z_13E06FB5_D019_406D_B278_1B53AD2F6386_.wvu.FilterData" localSheetId="20" hidden="1">#REF!</definedName>
    <definedName name="Z_13E06FB5_D019_406D_B278_1B53AD2F6386_.wvu.FilterData" localSheetId="19" hidden="1">#REF!</definedName>
    <definedName name="Z_13E06FB5_D019_406D_B278_1B53AD2F6386_.wvu.FilterData" localSheetId="26" hidden="1">#REF!</definedName>
    <definedName name="Z_13E06FB5_D019_406D_B278_1B53AD2F6386_.wvu.FilterData" localSheetId="27" hidden="1">#REF!</definedName>
    <definedName name="Z_13E06FB5_D019_406D_B278_1B53AD2F6386_.wvu.FilterData" localSheetId="25" hidden="1">#REF!</definedName>
    <definedName name="Z_13E06FB5_D019_406D_B278_1B53AD2F6386_.wvu.FilterData" localSheetId="7" hidden="1">#REF!</definedName>
    <definedName name="Z_13E06FB5_D019_406D_B278_1B53AD2F6386_.wvu.FilterData" localSheetId="4" hidden="1">#REF!</definedName>
    <definedName name="Z_13E06FB5_D019_406D_B278_1B53AD2F6386_.wvu.FilterData" localSheetId="5" hidden="1">#REF!</definedName>
    <definedName name="Z_13E06FB5_D019_406D_B278_1B53AD2F6386_.wvu.FilterData" localSheetId="2" hidden="1">#REF!</definedName>
    <definedName name="Z_13E06FB5_D019_406D_B278_1B53AD2F6386_.wvu.FilterData" localSheetId="3" hidden="1">#REF!</definedName>
    <definedName name="Z_13E06FB5_D019_406D_B278_1B53AD2F6386_.wvu.FilterData" hidden="1">#REF!</definedName>
    <definedName name="Z_14D375AC_5615_46DE_8EE3_95915B2A8B54_.wvu.FilterData" localSheetId="21" hidden="1">#REF!</definedName>
    <definedName name="Z_14D375AC_5615_46DE_8EE3_95915B2A8B54_.wvu.FilterData" localSheetId="12" hidden="1">#REF!</definedName>
    <definedName name="Z_14D375AC_5615_46DE_8EE3_95915B2A8B54_.wvu.FilterData" localSheetId="13" hidden="1">#REF!</definedName>
    <definedName name="Z_14D375AC_5615_46DE_8EE3_95915B2A8B54_.wvu.FilterData" localSheetId="14" hidden="1">#REF!</definedName>
    <definedName name="Z_14D375AC_5615_46DE_8EE3_95915B2A8B54_.wvu.FilterData" localSheetId="16" hidden="1">#REF!</definedName>
    <definedName name="Z_14D375AC_5615_46DE_8EE3_95915B2A8B54_.wvu.FilterData" localSheetId="15" hidden="1">#REF!</definedName>
    <definedName name="Z_14D375AC_5615_46DE_8EE3_95915B2A8B54_.wvu.FilterData" localSheetId="17" hidden="1">#REF!</definedName>
    <definedName name="Z_14D375AC_5615_46DE_8EE3_95915B2A8B54_.wvu.FilterData" localSheetId="11" hidden="1">#REF!</definedName>
    <definedName name="Z_14D375AC_5615_46DE_8EE3_95915B2A8B54_.wvu.FilterData" localSheetId="10" hidden="1">#REF!</definedName>
    <definedName name="Z_14D375AC_5615_46DE_8EE3_95915B2A8B54_.wvu.FilterData" localSheetId="22" hidden="1">#REF!</definedName>
    <definedName name="Z_14D375AC_5615_46DE_8EE3_95915B2A8B54_.wvu.FilterData" localSheetId="24" hidden="1">#REF!</definedName>
    <definedName name="Z_14D375AC_5615_46DE_8EE3_95915B2A8B54_.wvu.FilterData" localSheetId="23" hidden="1">#REF!</definedName>
    <definedName name="Z_14D375AC_5615_46DE_8EE3_95915B2A8B54_.wvu.FilterData" localSheetId="20" hidden="1">#REF!</definedName>
    <definedName name="Z_14D375AC_5615_46DE_8EE3_95915B2A8B54_.wvu.FilterData" localSheetId="19" hidden="1">#REF!</definedName>
    <definedName name="Z_14D375AC_5615_46DE_8EE3_95915B2A8B54_.wvu.FilterData" localSheetId="26" hidden="1">#REF!</definedName>
    <definedName name="Z_14D375AC_5615_46DE_8EE3_95915B2A8B54_.wvu.FilterData" localSheetId="27" hidden="1">#REF!</definedName>
    <definedName name="Z_14D375AC_5615_46DE_8EE3_95915B2A8B54_.wvu.FilterData" localSheetId="25" hidden="1">#REF!</definedName>
    <definedName name="Z_14D375AC_5615_46DE_8EE3_95915B2A8B54_.wvu.FilterData" localSheetId="7" hidden="1">#REF!</definedName>
    <definedName name="Z_14D375AC_5615_46DE_8EE3_95915B2A8B54_.wvu.FilterData" localSheetId="4" hidden="1">#REF!</definedName>
    <definedName name="Z_14D375AC_5615_46DE_8EE3_95915B2A8B54_.wvu.FilterData" localSheetId="5" hidden="1">#REF!</definedName>
    <definedName name="Z_14D375AC_5615_46DE_8EE3_95915B2A8B54_.wvu.FilterData" localSheetId="2" hidden="1">#REF!</definedName>
    <definedName name="Z_14D375AC_5615_46DE_8EE3_95915B2A8B54_.wvu.FilterData" localSheetId="3" hidden="1">#REF!</definedName>
    <definedName name="Z_14D375AC_5615_46DE_8EE3_95915B2A8B54_.wvu.FilterData" hidden="1">#REF!</definedName>
    <definedName name="Z_15B5DC78_B02F_4AC6_8572_015040A55619_.wvu.FilterData" localSheetId="21" hidden="1">#REF!</definedName>
    <definedName name="Z_15B5DC78_B02F_4AC6_8572_015040A55619_.wvu.FilterData" localSheetId="12" hidden="1">#REF!</definedName>
    <definedName name="Z_15B5DC78_B02F_4AC6_8572_015040A55619_.wvu.FilterData" localSheetId="13" hidden="1">#REF!</definedName>
    <definedName name="Z_15B5DC78_B02F_4AC6_8572_015040A55619_.wvu.FilterData" localSheetId="14" hidden="1">#REF!</definedName>
    <definedName name="Z_15B5DC78_B02F_4AC6_8572_015040A55619_.wvu.FilterData" localSheetId="16" hidden="1">#REF!</definedName>
    <definedName name="Z_15B5DC78_B02F_4AC6_8572_015040A55619_.wvu.FilterData" localSheetId="15" hidden="1">#REF!</definedName>
    <definedName name="Z_15B5DC78_B02F_4AC6_8572_015040A55619_.wvu.FilterData" localSheetId="17" hidden="1">#REF!</definedName>
    <definedName name="Z_15B5DC78_B02F_4AC6_8572_015040A55619_.wvu.FilterData" localSheetId="11" hidden="1">#REF!</definedName>
    <definedName name="Z_15B5DC78_B02F_4AC6_8572_015040A55619_.wvu.FilterData" localSheetId="10" hidden="1">#REF!</definedName>
    <definedName name="Z_15B5DC78_B02F_4AC6_8572_015040A55619_.wvu.FilterData" localSheetId="22" hidden="1">#REF!</definedName>
    <definedName name="Z_15B5DC78_B02F_4AC6_8572_015040A55619_.wvu.FilterData" localSheetId="24" hidden="1">#REF!</definedName>
    <definedName name="Z_15B5DC78_B02F_4AC6_8572_015040A55619_.wvu.FilterData" localSheetId="23" hidden="1">#REF!</definedName>
    <definedName name="Z_15B5DC78_B02F_4AC6_8572_015040A55619_.wvu.FilterData" localSheetId="20" hidden="1">#REF!</definedName>
    <definedName name="Z_15B5DC78_B02F_4AC6_8572_015040A55619_.wvu.FilterData" localSheetId="19" hidden="1">#REF!</definedName>
    <definedName name="Z_15B5DC78_B02F_4AC6_8572_015040A55619_.wvu.FilterData" localSheetId="26" hidden="1">#REF!</definedName>
    <definedName name="Z_15B5DC78_B02F_4AC6_8572_015040A55619_.wvu.FilterData" localSheetId="27" hidden="1">#REF!</definedName>
    <definedName name="Z_15B5DC78_B02F_4AC6_8572_015040A55619_.wvu.FilterData" localSheetId="25" hidden="1">#REF!</definedName>
    <definedName name="Z_15B5DC78_B02F_4AC6_8572_015040A55619_.wvu.FilterData" localSheetId="7" hidden="1">#REF!</definedName>
    <definedName name="Z_15B5DC78_B02F_4AC6_8572_015040A55619_.wvu.FilterData" localSheetId="4" hidden="1">#REF!</definedName>
    <definedName name="Z_15B5DC78_B02F_4AC6_8572_015040A55619_.wvu.FilterData" localSheetId="5" hidden="1">#REF!</definedName>
    <definedName name="Z_15B5DC78_B02F_4AC6_8572_015040A55619_.wvu.FilterData" localSheetId="2" hidden="1">#REF!</definedName>
    <definedName name="Z_15B5DC78_B02F_4AC6_8572_015040A55619_.wvu.FilterData" localSheetId="3" hidden="1">#REF!</definedName>
    <definedName name="Z_15B5DC78_B02F_4AC6_8572_015040A55619_.wvu.FilterData" hidden="1">#REF!</definedName>
    <definedName name="Z_166D6F0F_4D44_46E7_8C36_48FD4848B5AA_.wvu.FilterData" localSheetId="21" hidden="1">#REF!</definedName>
    <definedName name="Z_166D6F0F_4D44_46E7_8C36_48FD4848B5AA_.wvu.FilterData" localSheetId="12" hidden="1">#REF!</definedName>
    <definedName name="Z_166D6F0F_4D44_46E7_8C36_48FD4848B5AA_.wvu.FilterData" localSheetId="13" hidden="1">#REF!</definedName>
    <definedName name="Z_166D6F0F_4D44_46E7_8C36_48FD4848B5AA_.wvu.FilterData" localSheetId="14" hidden="1">#REF!</definedName>
    <definedName name="Z_166D6F0F_4D44_46E7_8C36_48FD4848B5AA_.wvu.FilterData" localSheetId="16" hidden="1">#REF!</definedName>
    <definedName name="Z_166D6F0F_4D44_46E7_8C36_48FD4848B5AA_.wvu.FilterData" localSheetId="15" hidden="1">#REF!</definedName>
    <definedName name="Z_166D6F0F_4D44_46E7_8C36_48FD4848B5AA_.wvu.FilterData" localSheetId="17" hidden="1">#REF!</definedName>
    <definedName name="Z_166D6F0F_4D44_46E7_8C36_48FD4848B5AA_.wvu.FilterData" localSheetId="11" hidden="1">#REF!</definedName>
    <definedName name="Z_166D6F0F_4D44_46E7_8C36_48FD4848B5AA_.wvu.FilterData" localSheetId="10" hidden="1">#REF!</definedName>
    <definedName name="Z_166D6F0F_4D44_46E7_8C36_48FD4848B5AA_.wvu.FilterData" localSheetId="22" hidden="1">#REF!</definedName>
    <definedName name="Z_166D6F0F_4D44_46E7_8C36_48FD4848B5AA_.wvu.FilterData" localSheetId="24" hidden="1">#REF!</definedName>
    <definedName name="Z_166D6F0F_4D44_46E7_8C36_48FD4848B5AA_.wvu.FilterData" localSheetId="23" hidden="1">#REF!</definedName>
    <definedName name="Z_166D6F0F_4D44_46E7_8C36_48FD4848B5AA_.wvu.FilterData" localSheetId="20" hidden="1">#REF!</definedName>
    <definedName name="Z_166D6F0F_4D44_46E7_8C36_48FD4848B5AA_.wvu.FilterData" localSheetId="19" hidden="1">#REF!</definedName>
    <definedName name="Z_166D6F0F_4D44_46E7_8C36_48FD4848B5AA_.wvu.FilterData" localSheetId="26" hidden="1">#REF!</definedName>
    <definedName name="Z_166D6F0F_4D44_46E7_8C36_48FD4848B5AA_.wvu.FilterData" localSheetId="27" hidden="1">#REF!</definedName>
    <definedName name="Z_166D6F0F_4D44_46E7_8C36_48FD4848B5AA_.wvu.FilterData" localSheetId="25" hidden="1">#REF!</definedName>
    <definedName name="Z_166D6F0F_4D44_46E7_8C36_48FD4848B5AA_.wvu.FilterData" localSheetId="7" hidden="1">#REF!</definedName>
    <definedName name="Z_166D6F0F_4D44_46E7_8C36_48FD4848B5AA_.wvu.FilterData" localSheetId="4" hidden="1">#REF!</definedName>
    <definedName name="Z_166D6F0F_4D44_46E7_8C36_48FD4848B5AA_.wvu.FilterData" localSheetId="5" hidden="1">#REF!</definedName>
    <definedName name="Z_166D6F0F_4D44_46E7_8C36_48FD4848B5AA_.wvu.FilterData" localSheetId="2" hidden="1">#REF!</definedName>
    <definedName name="Z_166D6F0F_4D44_46E7_8C36_48FD4848B5AA_.wvu.FilterData" localSheetId="3" hidden="1">#REF!</definedName>
    <definedName name="Z_166D6F0F_4D44_46E7_8C36_48FD4848B5AA_.wvu.FilterData" hidden="1">#REF!</definedName>
    <definedName name="Z_16FAB836_2255_4D4C_90E4_6B46255F3759_.wvu.FilterData" localSheetId="21" hidden="1">#REF!</definedName>
    <definedName name="Z_16FAB836_2255_4D4C_90E4_6B46255F3759_.wvu.FilterData" localSheetId="12" hidden="1">#REF!</definedName>
    <definedName name="Z_16FAB836_2255_4D4C_90E4_6B46255F3759_.wvu.FilterData" localSheetId="13" hidden="1">#REF!</definedName>
    <definedName name="Z_16FAB836_2255_4D4C_90E4_6B46255F3759_.wvu.FilterData" localSheetId="14" hidden="1">#REF!</definedName>
    <definedName name="Z_16FAB836_2255_4D4C_90E4_6B46255F3759_.wvu.FilterData" localSheetId="16" hidden="1">#REF!</definedName>
    <definedName name="Z_16FAB836_2255_4D4C_90E4_6B46255F3759_.wvu.FilterData" localSheetId="15" hidden="1">#REF!</definedName>
    <definedName name="Z_16FAB836_2255_4D4C_90E4_6B46255F3759_.wvu.FilterData" localSheetId="17" hidden="1">#REF!</definedName>
    <definedName name="Z_16FAB836_2255_4D4C_90E4_6B46255F3759_.wvu.FilterData" localSheetId="11" hidden="1">#REF!</definedName>
    <definedName name="Z_16FAB836_2255_4D4C_90E4_6B46255F3759_.wvu.FilterData" localSheetId="10" hidden="1">#REF!</definedName>
    <definedName name="Z_16FAB836_2255_4D4C_90E4_6B46255F3759_.wvu.FilterData" localSheetId="22" hidden="1">#REF!</definedName>
    <definedName name="Z_16FAB836_2255_4D4C_90E4_6B46255F3759_.wvu.FilterData" localSheetId="24" hidden="1">#REF!</definedName>
    <definedName name="Z_16FAB836_2255_4D4C_90E4_6B46255F3759_.wvu.FilterData" localSheetId="23" hidden="1">#REF!</definedName>
    <definedName name="Z_16FAB836_2255_4D4C_90E4_6B46255F3759_.wvu.FilterData" localSheetId="20" hidden="1">#REF!</definedName>
    <definedName name="Z_16FAB836_2255_4D4C_90E4_6B46255F3759_.wvu.FilterData" localSheetId="19" hidden="1">#REF!</definedName>
    <definedName name="Z_16FAB836_2255_4D4C_90E4_6B46255F3759_.wvu.FilterData" localSheetId="26" hidden="1">#REF!</definedName>
    <definedName name="Z_16FAB836_2255_4D4C_90E4_6B46255F3759_.wvu.FilterData" localSheetId="27" hidden="1">#REF!</definedName>
    <definedName name="Z_16FAB836_2255_4D4C_90E4_6B46255F3759_.wvu.FilterData" localSheetId="25" hidden="1">#REF!</definedName>
    <definedName name="Z_16FAB836_2255_4D4C_90E4_6B46255F3759_.wvu.FilterData" localSheetId="7" hidden="1">#REF!</definedName>
    <definedName name="Z_16FAB836_2255_4D4C_90E4_6B46255F3759_.wvu.FilterData" localSheetId="4" hidden="1">#REF!</definedName>
    <definedName name="Z_16FAB836_2255_4D4C_90E4_6B46255F3759_.wvu.FilterData" localSheetId="5" hidden="1">#REF!</definedName>
    <definedName name="Z_16FAB836_2255_4D4C_90E4_6B46255F3759_.wvu.FilterData" localSheetId="2" hidden="1">#REF!</definedName>
    <definedName name="Z_16FAB836_2255_4D4C_90E4_6B46255F3759_.wvu.FilterData" localSheetId="3" hidden="1">#REF!</definedName>
    <definedName name="Z_16FAB836_2255_4D4C_90E4_6B46255F3759_.wvu.FilterData" hidden="1">#REF!</definedName>
    <definedName name="Z_198D391C_95CB_49F5_8924_5FEA3CE5C98A_.wvu.FilterData" localSheetId="21" hidden="1">#REF!</definedName>
    <definedName name="Z_198D391C_95CB_49F5_8924_5FEA3CE5C98A_.wvu.FilterData" localSheetId="12" hidden="1">#REF!</definedName>
    <definedName name="Z_198D391C_95CB_49F5_8924_5FEA3CE5C98A_.wvu.FilterData" localSheetId="13" hidden="1">#REF!</definedName>
    <definedName name="Z_198D391C_95CB_49F5_8924_5FEA3CE5C98A_.wvu.FilterData" localSheetId="14" hidden="1">#REF!</definedName>
    <definedName name="Z_198D391C_95CB_49F5_8924_5FEA3CE5C98A_.wvu.FilterData" localSheetId="16" hidden="1">#REF!</definedName>
    <definedName name="Z_198D391C_95CB_49F5_8924_5FEA3CE5C98A_.wvu.FilterData" localSheetId="15" hidden="1">#REF!</definedName>
    <definedName name="Z_198D391C_95CB_49F5_8924_5FEA3CE5C98A_.wvu.FilterData" localSheetId="17" hidden="1">#REF!</definedName>
    <definedName name="Z_198D391C_95CB_49F5_8924_5FEA3CE5C98A_.wvu.FilterData" localSheetId="11" hidden="1">#REF!</definedName>
    <definedName name="Z_198D391C_95CB_49F5_8924_5FEA3CE5C98A_.wvu.FilterData" localSheetId="10" hidden="1">#REF!</definedName>
    <definedName name="Z_198D391C_95CB_49F5_8924_5FEA3CE5C98A_.wvu.FilterData" localSheetId="22" hidden="1">#REF!</definedName>
    <definedName name="Z_198D391C_95CB_49F5_8924_5FEA3CE5C98A_.wvu.FilterData" localSheetId="24" hidden="1">#REF!</definedName>
    <definedName name="Z_198D391C_95CB_49F5_8924_5FEA3CE5C98A_.wvu.FilterData" localSheetId="23" hidden="1">#REF!</definedName>
    <definedName name="Z_198D391C_95CB_49F5_8924_5FEA3CE5C98A_.wvu.FilterData" localSheetId="20" hidden="1">#REF!</definedName>
    <definedName name="Z_198D391C_95CB_49F5_8924_5FEA3CE5C98A_.wvu.FilterData" localSheetId="19" hidden="1">#REF!</definedName>
    <definedName name="Z_198D391C_95CB_49F5_8924_5FEA3CE5C98A_.wvu.FilterData" localSheetId="26" hidden="1">#REF!</definedName>
    <definedName name="Z_198D391C_95CB_49F5_8924_5FEA3CE5C98A_.wvu.FilterData" localSheetId="27" hidden="1">#REF!</definedName>
    <definedName name="Z_198D391C_95CB_49F5_8924_5FEA3CE5C98A_.wvu.FilterData" localSheetId="25" hidden="1">#REF!</definedName>
    <definedName name="Z_198D391C_95CB_49F5_8924_5FEA3CE5C98A_.wvu.FilterData" localSheetId="7" hidden="1">#REF!</definedName>
    <definedName name="Z_198D391C_95CB_49F5_8924_5FEA3CE5C98A_.wvu.FilterData" localSheetId="4" hidden="1">#REF!</definedName>
    <definedName name="Z_198D391C_95CB_49F5_8924_5FEA3CE5C98A_.wvu.FilterData" localSheetId="5" hidden="1">#REF!</definedName>
    <definedName name="Z_198D391C_95CB_49F5_8924_5FEA3CE5C98A_.wvu.FilterData" localSheetId="2" hidden="1">#REF!</definedName>
    <definedName name="Z_198D391C_95CB_49F5_8924_5FEA3CE5C98A_.wvu.FilterData" localSheetId="3" hidden="1">#REF!</definedName>
    <definedName name="Z_198D391C_95CB_49F5_8924_5FEA3CE5C98A_.wvu.FilterData" hidden="1">#REF!</definedName>
    <definedName name="Z_1D9C37CC_3E33_4D4D_B7CD_819F75C83D65_.wvu.FilterData" localSheetId="21" hidden="1">#REF!</definedName>
    <definedName name="Z_1D9C37CC_3E33_4D4D_B7CD_819F75C83D65_.wvu.FilterData" localSheetId="12" hidden="1">#REF!</definedName>
    <definedName name="Z_1D9C37CC_3E33_4D4D_B7CD_819F75C83D65_.wvu.FilterData" localSheetId="13" hidden="1">#REF!</definedName>
    <definedName name="Z_1D9C37CC_3E33_4D4D_B7CD_819F75C83D65_.wvu.FilterData" localSheetId="14" hidden="1">#REF!</definedName>
    <definedName name="Z_1D9C37CC_3E33_4D4D_B7CD_819F75C83D65_.wvu.FilterData" localSheetId="16" hidden="1">#REF!</definedName>
    <definedName name="Z_1D9C37CC_3E33_4D4D_B7CD_819F75C83D65_.wvu.FilterData" localSheetId="15" hidden="1">#REF!</definedName>
    <definedName name="Z_1D9C37CC_3E33_4D4D_B7CD_819F75C83D65_.wvu.FilterData" localSheetId="17" hidden="1">#REF!</definedName>
    <definedName name="Z_1D9C37CC_3E33_4D4D_B7CD_819F75C83D65_.wvu.FilterData" localSheetId="11" hidden="1">#REF!</definedName>
    <definedName name="Z_1D9C37CC_3E33_4D4D_B7CD_819F75C83D65_.wvu.FilterData" localSheetId="10" hidden="1">#REF!</definedName>
    <definedName name="Z_1D9C37CC_3E33_4D4D_B7CD_819F75C83D65_.wvu.FilterData" localSheetId="22" hidden="1">#REF!</definedName>
    <definedName name="Z_1D9C37CC_3E33_4D4D_B7CD_819F75C83D65_.wvu.FilterData" localSheetId="24" hidden="1">#REF!</definedName>
    <definedName name="Z_1D9C37CC_3E33_4D4D_B7CD_819F75C83D65_.wvu.FilterData" localSheetId="23" hidden="1">#REF!</definedName>
    <definedName name="Z_1D9C37CC_3E33_4D4D_B7CD_819F75C83D65_.wvu.FilterData" localSheetId="20" hidden="1">#REF!</definedName>
    <definedName name="Z_1D9C37CC_3E33_4D4D_B7CD_819F75C83D65_.wvu.FilterData" localSheetId="19" hidden="1">#REF!</definedName>
    <definedName name="Z_1D9C37CC_3E33_4D4D_B7CD_819F75C83D65_.wvu.FilterData" localSheetId="26" hidden="1">#REF!</definedName>
    <definedName name="Z_1D9C37CC_3E33_4D4D_B7CD_819F75C83D65_.wvu.FilterData" localSheetId="27" hidden="1">#REF!</definedName>
    <definedName name="Z_1D9C37CC_3E33_4D4D_B7CD_819F75C83D65_.wvu.FilterData" localSheetId="25" hidden="1">#REF!</definedName>
    <definedName name="Z_1D9C37CC_3E33_4D4D_B7CD_819F75C83D65_.wvu.FilterData" localSheetId="7" hidden="1">#REF!</definedName>
    <definedName name="Z_1D9C37CC_3E33_4D4D_B7CD_819F75C83D65_.wvu.FilterData" localSheetId="4" hidden="1">#REF!</definedName>
    <definedName name="Z_1D9C37CC_3E33_4D4D_B7CD_819F75C83D65_.wvu.FilterData" localSheetId="5" hidden="1">#REF!</definedName>
    <definedName name="Z_1D9C37CC_3E33_4D4D_B7CD_819F75C83D65_.wvu.FilterData" localSheetId="2" hidden="1">#REF!</definedName>
    <definedName name="Z_1D9C37CC_3E33_4D4D_B7CD_819F75C83D65_.wvu.FilterData" localSheetId="3" hidden="1">#REF!</definedName>
    <definedName name="Z_1D9C37CC_3E33_4D4D_B7CD_819F75C83D65_.wvu.FilterData" hidden="1">#REF!</definedName>
    <definedName name="Z_1DF9838C_880D_4C4E_BFFE_89B5894EC40F_.wvu.FilterData" localSheetId="21" hidden="1">#REF!</definedName>
    <definedName name="Z_1DF9838C_880D_4C4E_BFFE_89B5894EC40F_.wvu.FilterData" localSheetId="12" hidden="1">#REF!</definedName>
    <definedName name="Z_1DF9838C_880D_4C4E_BFFE_89B5894EC40F_.wvu.FilterData" localSheetId="13" hidden="1">#REF!</definedName>
    <definedName name="Z_1DF9838C_880D_4C4E_BFFE_89B5894EC40F_.wvu.FilterData" localSheetId="14" hidden="1">#REF!</definedName>
    <definedName name="Z_1DF9838C_880D_4C4E_BFFE_89B5894EC40F_.wvu.FilterData" localSheetId="16" hidden="1">#REF!</definedName>
    <definedName name="Z_1DF9838C_880D_4C4E_BFFE_89B5894EC40F_.wvu.FilterData" localSheetId="15" hidden="1">#REF!</definedName>
    <definedName name="Z_1DF9838C_880D_4C4E_BFFE_89B5894EC40F_.wvu.FilterData" localSheetId="17" hidden="1">#REF!</definedName>
    <definedName name="Z_1DF9838C_880D_4C4E_BFFE_89B5894EC40F_.wvu.FilterData" localSheetId="11" hidden="1">#REF!</definedName>
    <definedName name="Z_1DF9838C_880D_4C4E_BFFE_89B5894EC40F_.wvu.FilterData" localSheetId="10" hidden="1">#REF!</definedName>
    <definedName name="Z_1DF9838C_880D_4C4E_BFFE_89B5894EC40F_.wvu.FilterData" localSheetId="22" hidden="1">#REF!</definedName>
    <definedName name="Z_1DF9838C_880D_4C4E_BFFE_89B5894EC40F_.wvu.FilterData" localSheetId="24" hidden="1">#REF!</definedName>
    <definedName name="Z_1DF9838C_880D_4C4E_BFFE_89B5894EC40F_.wvu.FilterData" localSheetId="23" hidden="1">#REF!</definedName>
    <definedName name="Z_1DF9838C_880D_4C4E_BFFE_89B5894EC40F_.wvu.FilterData" localSheetId="20" hidden="1">#REF!</definedName>
    <definedName name="Z_1DF9838C_880D_4C4E_BFFE_89B5894EC40F_.wvu.FilterData" localSheetId="19" hidden="1">#REF!</definedName>
    <definedName name="Z_1DF9838C_880D_4C4E_BFFE_89B5894EC40F_.wvu.FilterData" localSheetId="26" hidden="1">#REF!</definedName>
    <definedName name="Z_1DF9838C_880D_4C4E_BFFE_89B5894EC40F_.wvu.FilterData" localSheetId="27" hidden="1">#REF!</definedName>
    <definedName name="Z_1DF9838C_880D_4C4E_BFFE_89B5894EC40F_.wvu.FilterData" localSheetId="25" hidden="1">#REF!</definedName>
    <definedName name="Z_1DF9838C_880D_4C4E_BFFE_89B5894EC40F_.wvu.FilterData" localSheetId="7" hidden="1">#REF!</definedName>
    <definedName name="Z_1DF9838C_880D_4C4E_BFFE_89B5894EC40F_.wvu.FilterData" localSheetId="4" hidden="1">#REF!</definedName>
    <definedName name="Z_1DF9838C_880D_4C4E_BFFE_89B5894EC40F_.wvu.FilterData" localSheetId="5" hidden="1">#REF!</definedName>
    <definedName name="Z_1DF9838C_880D_4C4E_BFFE_89B5894EC40F_.wvu.FilterData" localSheetId="2" hidden="1">#REF!</definedName>
    <definedName name="Z_1DF9838C_880D_4C4E_BFFE_89B5894EC40F_.wvu.FilterData" localSheetId="3" hidden="1">#REF!</definedName>
    <definedName name="Z_1DF9838C_880D_4C4E_BFFE_89B5894EC40F_.wvu.FilterData" hidden="1">#REF!</definedName>
    <definedName name="Z_1EF42BFC_874B_4E01_B67D_1607E823ACD0_.wvu.FilterData" localSheetId="21" hidden="1">#REF!</definedName>
    <definedName name="Z_1EF42BFC_874B_4E01_B67D_1607E823ACD0_.wvu.FilterData" localSheetId="12" hidden="1">#REF!</definedName>
    <definedName name="Z_1EF42BFC_874B_4E01_B67D_1607E823ACD0_.wvu.FilterData" localSheetId="13" hidden="1">#REF!</definedName>
    <definedName name="Z_1EF42BFC_874B_4E01_B67D_1607E823ACD0_.wvu.FilterData" localSheetId="14" hidden="1">#REF!</definedName>
    <definedName name="Z_1EF42BFC_874B_4E01_B67D_1607E823ACD0_.wvu.FilterData" localSheetId="16" hidden="1">#REF!</definedName>
    <definedName name="Z_1EF42BFC_874B_4E01_B67D_1607E823ACD0_.wvu.FilterData" localSheetId="15" hidden="1">#REF!</definedName>
    <definedName name="Z_1EF42BFC_874B_4E01_B67D_1607E823ACD0_.wvu.FilterData" localSheetId="17" hidden="1">#REF!</definedName>
    <definedName name="Z_1EF42BFC_874B_4E01_B67D_1607E823ACD0_.wvu.FilterData" localSheetId="11" hidden="1">#REF!</definedName>
    <definedName name="Z_1EF42BFC_874B_4E01_B67D_1607E823ACD0_.wvu.FilterData" localSheetId="10" hidden="1">#REF!</definedName>
    <definedName name="Z_1EF42BFC_874B_4E01_B67D_1607E823ACD0_.wvu.FilterData" localSheetId="22" hidden="1">#REF!</definedName>
    <definedName name="Z_1EF42BFC_874B_4E01_B67D_1607E823ACD0_.wvu.FilterData" localSheetId="24" hidden="1">#REF!</definedName>
    <definedName name="Z_1EF42BFC_874B_4E01_B67D_1607E823ACD0_.wvu.FilterData" localSheetId="23" hidden="1">#REF!</definedName>
    <definedName name="Z_1EF42BFC_874B_4E01_B67D_1607E823ACD0_.wvu.FilterData" localSheetId="20" hidden="1">#REF!</definedName>
    <definedName name="Z_1EF42BFC_874B_4E01_B67D_1607E823ACD0_.wvu.FilterData" localSheetId="19" hidden="1">#REF!</definedName>
    <definedName name="Z_1EF42BFC_874B_4E01_B67D_1607E823ACD0_.wvu.FilterData" localSheetId="26" hidden="1">#REF!</definedName>
    <definedName name="Z_1EF42BFC_874B_4E01_B67D_1607E823ACD0_.wvu.FilterData" localSheetId="27" hidden="1">#REF!</definedName>
    <definedName name="Z_1EF42BFC_874B_4E01_B67D_1607E823ACD0_.wvu.FilterData" localSheetId="25" hidden="1">#REF!</definedName>
    <definedName name="Z_1EF42BFC_874B_4E01_B67D_1607E823ACD0_.wvu.FilterData" localSheetId="7" hidden="1">#REF!</definedName>
    <definedName name="Z_1EF42BFC_874B_4E01_B67D_1607E823ACD0_.wvu.FilterData" localSheetId="4" hidden="1">#REF!</definedName>
    <definedName name="Z_1EF42BFC_874B_4E01_B67D_1607E823ACD0_.wvu.FilterData" localSheetId="5" hidden="1">#REF!</definedName>
    <definedName name="Z_1EF42BFC_874B_4E01_B67D_1607E823ACD0_.wvu.FilterData" localSheetId="2" hidden="1">#REF!</definedName>
    <definedName name="Z_1EF42BFC_874B_4E01_B67D_1607E823ACD0_.wvu.FilterData" localSheetId="3" hidden="1">#REF!</definedName>
    <definedName name="Z_1EF42BFC_874B_4E01_B67D_1607E823ACD0_.wvu.FilterData" hidden="1">#REF!</definedName>
    <definedName name="Z_1F94C6E7_3CCA_4599_AF6F_4D6291B2AD93_.wvu.FilterData" localSheetId="21" hidden="1">#REF!</definedName>
    <definedName name="Z_1F94C6E7_3CCA_4599_AF6F_4D6291B2AD93_.wvu.FilterData" localSheetId="12" hidden="1">#REF!</definedName>
    <definedName name="Z_1F94C6E7_3CCA_4599_AF6F_4D6291B2AD93_.wvu.FilterData" localSheetId="13" hidden="1">#REF!</definedName>
    <definedName name="Z_1F94C6E7_3CCA_4599_AF6F_4D6291B2AD93_.wvu.FilterData" localSheetId="14" hidden="1">#REF!</definedName>
    <definedName name="Z_1F94C6E7_3CCA_4599_AF6F_4D6291B2AD93_.wvu.FilterData" localSheetId="16" hidden="1">#REF!</definedName>
    <definedName name="Z_1F94C6E7_3CCA_4599_AF6F_4D6291B2AD93_.wvu.FilterData" localSheetId="15" hidden="1">#REF!</definedName>
    <definedName name="Z_1F94C6E7_3CCA_4599_AF6F_4D6291B2AD93_.wvu.FilterData" localSheetId="17" hidden="1">#REF!</definedName>
    <definedName name="Z_1F94C6E7_3CCA_4599_AF6F_4D6291B2AD93_.wvu.FilterData" localSheetId="11" hidden="1">#REF!</definedName>
    <definedName name="Z_1F94C6E7_3CCA_4599_AF6F_4D6291B2AD93_.wvu.FilterData" localSheetId="10" hidden="1">#REF!</definedName>
    <definedName name="Z_1F94C6E7_3CCA_4599_AF6F_4D6291B2AD93_.wvu.FilterData" localSheetId="22" hidden="1">#REF!</definedName>
    <definedName name="Z_1F94C6E7_3CCA_4599_AF6F_4D6291B2AD93_.wvu.FilterData" localSheetId="24" hidden="1">#REF!</definedName>
    <definedName name="Z_1F94C6E7_3CCA_4599_AF6F_4D6291B2AD93_.wvu.FilterData" localSheetId="23" hidden="1">#REF!</definedName>
    <definedName name="Z_1F94C6E7_3CCA_4599_AF6F_4D6291B2AD93_.wvu.FilterData" localSheetId="20" hidden="1">#REF!</definedName>
    <definedName name="Z_1F94C6E7_3CCA_4599_AF6F_4D6291B2AD93_.wvu.FilterData" localSheetId="19" hidden="1">#REF!</definedName>
    <definedName name="Z_1F94C6E7_3CCA_4599_AF6F_4D6291B2AD93_.wvu.FilterData" localSheetId="26" hidden="1">#REF!</definedName>
    <definedName name="Z_1F94C6E7_3CCA_4599_AF6F_4D6291B2AD93_.wvu.FilterData" localSheetId="27" hidden="1">#REF!</definedName>
    <definedName name="Z_1F94C6E7_3CCA_4599_AF6F_4D6291B2AD93_.wvu.FilterData" localSheetId="25" hidden="1">#REF!</definedName>
    <definedName name="Z_1F94C6E7_3CCA_4599_AF6F_4D6291B2AD93_.wvu.FilterData" localSheetId="7" hidden="1">#REF!</definedName>
    <definedName name="Z_1F94C6E7_3CCA_4599_AF6F_4D6291B2AD93_.wvu.FilterData" localSheetId="4" hidden="1">#REF!</definedName>
    <definedName name="Z_1F94C6E7_3CCA_4599_AF6F_4D6291B2AD93_.wvu.FilterData" localSheetId="5" hidden="1">#REF!</definedName>
    <definedName name="Z_1F94C6E7_3CCA_4599_AF6F_4D6291B2AD93_.wvu.FilterData" localSheetId="2" hidden="1">#REF!</definedName>
    <definedName name="Z_1F94C6E7_3CCA_4599_AF6F_4D6291B2AD93_.wvu.FilterData" localSheetId="3" hidden="1">#REF!</definedName>
    <definedName name="Z_1F94C6E7_3CCA_4599_AF6F_4D6291B2AD93_.wvu.FilterData" hidden="1">#REF!</definedName>
    <definedName name="Z_20A9AA17_0DEB_4190_8DAD_FC60D0D33A52_.wvu.FilterData" localSheetId="21" hidden="1">#REF!</definedName>
    <definedName name="Z_20A9AA17_0DEB_4190_8DAD_FC60D0D33A52_.wvu.FilterData" localSheetId="12" hidden="1">#REF!</definedName>
    <definedName name="Z_20A9AA17_0DEB_4190_8DAD_FC60D0D33A52_.wvu.FilterData" localSheetId="13" hidden="1">#REF!</definedName>
    <definedName name="Z_20A9AA17_0DEB_4190_8DAD_FC60D0D33A52_.wvu.FilterData" localSheetId="14" hidden="1">#REF!</definedName>
    <definedName name="Z_20A9AA17_0DEB_4190_8DAD_FC60D0D33A52_.wvu.FilterData" localSheetId="16" hidden="1">#REF!</definedName>
    <definedName name="Z_20A9AA17_0DEB_4190_8DAD_FC60D0D33A52_.wvu.FilterData" localSheetId="15" hidden="1">#REF!</definedName>
    <definedName name="Z_20A9AA17_0DEB_4190_8DAD_FC60D0D33A52_.wvu.FilterData" localSheetId="17" hidden="1">#REF!</definedName>
    <definedName name="Z_20A9AA17_0DEB_4190_8DAD_FC60D0D33A52_.wvu.FilterData" localSheetId="11" hidden="1">#REF!</definedName>
    <definedName name="Z_20A9AA17_0DEB_4190_8DAD_FC60D0D33A52_.wvu.FilterData" localSheetId="10" hidden="1">#REF!</definedName>
    <definedName name="Z_20A9AA17_0DEB_4190_8DAD_FC60D0D33A52_.wvu.FilterData" localSheetId="22" hidden="1">#REF!</definedName>
    <definedName name="Z_20A9AA17_0DEB_4190_8DAD_FC60D0D33A52_.wvu.FilterData" localSheetId="24" hidden="1">#REF!</definedName>
    <definedName name="Z_20A9AA17_0DEB_4190_8DAD_FC60D0D33A52_.wvu.FilterData" localSheetId="23" hidden="1">#REF!</definedName>
    <definedName name="Z_20A9AA17_0DEB_4190_8DAD_FC60D0D33A52_.wvu.FilterData" localSheetId="20" hidden="1">#REF!</definedName>
    <definedName name="Z_20A9AA17_0DEB_4190_8DAD_FC60D0D33A52_.wvu.FilterData" localSheetId="19" hidden="1">#REF!</definedName>
    <definedName name="Z_20A9AA17_0DEB_4190_8DAD_FC60D0D33A52_.wvu.FilterData" localSheetId="26" hidden="1">#REF!</definedName>
    <definedName name="Z_20A9AA17_0DEB_4190_8DAD_FC60D0D33A52_.wvu.FilterData" localSheetId="27" hidden="1">#REF!</definedName>
    <definedName name="Z_20A9AA17_0DEB_4190_8DAD_FC60D0D33A52_.wvu.FilterData" localSheetId="25" hidden="1">#REF!</definedName>
    <definedName name="Z_20A9AA17_0DEB_4190_8DAD_FC60D0D33A52_.wvu.FilterData" localSheetId="7" hidden="1">#REF!</definedName>
    <definedName name="Z_20A9AA17_0DEB_4190_8DAD_FC60D0D33A52_.wvu.FilterData" localSheetId="4" hidden="1">#REF!</definedName>
    <definedName name="Z_20A9AA17_0DEB_4190_8DAD_FC60D0D33A52_.wvu.FilterData" localSheetId="5" hidden="1">#REF!</definedName>
    <definedName name="Z_20A9AA17_0DEB_4190_8DAD_FC60D0D33A52_.wvu.FilterData" localSheetId="2" hidden="1">#REF!</definedName>
    <definedName name="Z_20A9AA17_0DEB_4190_8DAD_FC60D0D33A52_.wvu.FilterData" localSheetId="3" hidden="1">#REF!</definedName>
    <definedName name="Z_20A9AA17_0DEB_4190_8DAD_FC60D0D33A52_.wvu.FilterData" hidden="1">#REF!</definedName>
    <definedName name="Z_2103F656_ECB2_4F99_BE9B_56F4D7A5CEE2_.wvu.FilterData" localSheetId="21" hidden="1">#REF!</definedName>
    <definedName name="Z_2103F656_ECB2_4F99_BE9B_56F4D7A5CEE2_.wvu.FilterData" localSheetId="12" hidden="1">#REF!</definedName>
    <definedName name="Z_2103F656_ECB2_4F99_BE9B_56F4D7A5CEE2_.wvu.FilterData" localSheetId="13" hidden="1">#REF!</definedName>
    <definedName name="Z_2103F656_ECB2_4F99_BE9B_56F4D7A5CEE2_.wvu.FilterData" localSheetId="14" hidden="1">#REF!</definedName>
    <definedName name="Z_2103F656_ECB2_4F99_BE9B_56F4D7A5CEE2_.wvu.FilterData" localSheetId="16" hidden="1">#REF!</definedName>
    <definedName name="Z_2103F656_ECB2_4F99_BE9B_56F4D7A5CEE2_.wvu.FilterData" localSheetId="15" hidden="1">#REF!</definedName>
    <definedName name="Z_2103F656_ECB2_4F99_BE9B_56F4D7A5CEE2_.wvu.FilterData" localSheetId="17" hidden="1">#REF!</definedName>
    <definedName name="Z_2103F656_ECB2_4F99_BE9B_56F4D7A5CEE2_.wvu.FilterData" localSheetId="11" hidden="1">#REF!</definedName>
    <definedName name="Z_2103F656_ECB2_4F99_BE9B_56F4D7A5CEE2_.wvu.FilterData" localSheetId="10" hidden="1">#REF!</definedName>
    <definedName name="Z_2103F656_ECB2_4F99_BE9B_56F4D7A5CEE2_.wvu.FilterData" localSheetId="22" hidden="1">#REF!</definedName>
    <definedName name="Z_2103F656_ECB2_4F99_BE9B_56F4D7A5CEE2_.wvu.FilterData" localSheetId="24" hidden="1">#REF!</definedName>
    <definedName name="Z_2103F656_ECB2_4F99_BE9B_56F4D7A5CEE2_.wvu.FilterData" localSheetId="23" hidden="1">#REF!</definedName>
    <definedName name="Z_2103F656_ECB2_4F99_BE9B_56F4D7A5CEE2_.wvu.FilterData" localSheetId="20" hidden="1">#REF!</definedName>
    <definedName name="Z_2103F656_ECB2_4F99_BE9B_56F4D7A5CEE2_.wvu.FilterData" localSheetId="19" hidden="1">#REF!</definedName>
    <definedName name="Z_2103F656_ECB2_4F99_BE9B_56F4D7A5CEE2_.wvu.FilterData" localSheetId="26" hidden="1">#REF!</definedName>
    <definedName name="Z_2103F656_ECB2_4F99_BE9B_56F4D7A5CEE2_.wvu.FilterData" localSheetId="27" hidden="1">#REF!</definedName>
    <definedName name="Z_2103F656_ECB2_4F99_BE9B_56F4D7A5CEE2_.wvu.FilterData" localSheetId="25" hidden="1">#REF!</definedName>
    <definedName name="Z_2103F656_ECB2_4F99_BE9B_56F4D7A5CEE2_.wvu.FilterData" localSheetId="7" hidden="1">#REF!</definedName>
    <definedName name="Z_2103F656_ECB2_4F99_BE9B_56F4D7A5CEE2_.wvu.FilterData" localSheetId="4" hidden="1">#REF!</definedName>
    <definedName name="Z_2103F656_ECB2_4F99_BE9B_56F4D7A5CEE2_.wvu.FilterData" localSheetId="5" hidden="1">#REF!</definedName>
    <definedName name="Z_2103F656_ECB2_4F99_BE9B_56F4D7A5CEE2_.wvu.FilterData" localSheetId="2" hidden="1">#REF!</definedName>
    <definedName name="Z_2103F656_ECB2_4F99_BE9B_56F4D7A5CEE2_.wvu.FilterData" localSheetId="3" hidden="1">#REF!</definedName>
    <definedName name="Z_2103F656_ECB2_4F99_BE9B_56F4D7A5CEE2_.wvu.FilterData" hidden="1">#REF!</definedName>
    <definedName name="Z_2158A2BC_8DB5_455D_AFDE_914B22949288_.wvu.FilterData" localSheetId="21" hidden="1">#REF!</definedName>
    <definedName name="Z_2158A2BC_8DB5_455D_AFDE_914B22949288_.wvu.FilterData" localSheetId="12" hidden="1">#REF!</definedName>
    <definedName name="Z_2158A2BC_8DB5_455D_AFDE_914B22949288_.wvu.FilterData" localSheetId="13" hidden="1">#REF!</definedName>
    <definedName name="Z_2158A2BC_8DB5_455D_AFDE_914B22949288_.wvu.FilterData" localSheetId="14" hidden="1">#REF!</definedName>
    <definedName name="Z_2158A2BC_8DB5_455D_AFDE_914B22949288_.wvu.FilterData" localSheetId="16" hidden="1">#REF!</definedName>
    <definedName name="Z_2158A2BC_8DB5_455D_AFDE_914B22949288_.wvu.FilterData" localSheetId="15" hidden="1">#REF!</definedName>
    <definedName name="Z_2158A2BC_8DB5_455D_AFDE_914B22949288_.wvu.FilterData" localSheetId="17" hidden="1">#REF!</definedName>
    <definedName name="Z_2158A2BC_8DB5_455D_AFDE_914B22949288_.wvu.FilterData" localSheetId="11" hidden="1">#REF!</definedName>
    <definedName name="Z_2158A2BC_8DB5_455D_AFDE_914B22949288_.wvu.FilterData" localSheetId="10" hidden="1">#REF!</definedName>
    <definedName name="Z_2158A2BC_8DB5_455D_AFDE_914B22949288_.wvu.FilterData" localSheetId="22" hidden="1">#REF!</definedName>
    <definedName name="Z_2158A2BC_8DB5_455D_AFDE_914B22949288_.wvu.FilterData" localSheetId="24" hidden="1">#REF!</definedName>
    <definedName name="Z_2158A2BC_8DB5_455D_AFDE_914B22949288_.wvu.FilterData" localSheetId="23" hidden="1">#REF!</definedName>
    <definedName name="Z_2158A2BC_8DB5_455D_AFDE_914B22949288_.wvu.FilterData" localSheetId="20" hidden="1">#REF!</definedName>
    <definedName name="Z_2158A2BC_8DB5_455D_AFDE_914B22949288_.wvu.FilterData" localSheetId="19" hidden="1">#REF!</definedName>
    <definedName name="Z_2158A2BC_8DB5_455D_AFDE_914B22949288_.wvu.FilterData" localSheetId="26" hidden="1">#REF!</definedName>
    <definedName name="Z_2158A2BC_8DB5_455D_AFDE_914B22949288_.wvu.FilterData" localSheetId="27" hidden="1">#REF!</definedName>
    <definedName name="Z_2158A2BC_8DB5_455D_AFDE_914B22949288_.wvu.FilterData" localSheetId="25" hidden="1">#REF!</definedName>
    <definedName name="Z_2158A2BC_8DB5_455D_AFDE_914B22949288_.wvu.FilterData" localSheetId="7" hidden="1">#REF!</definedName>
    <definedName name="Z_2158A2BC_8DB5_455D_AFDE_914B22949288_.wvu.FilterData" localSheetId="4" hidden="1">#REF!</definedName>
    <definedName name="Z_2158A2BC_8DB5_455D_AFDE_914B22949288_.wvu.FilterData" localSheetId="5" hidden="1">#REF!</definedName>
    <definedName name="Z_2158A2BC_8DB5_455D_AFDE_914B22949288_.wvu.FilterData" localSheetId="2" hidden="1">#REF!</definedName>
    <definedName name="Z_2158A2BC_8DB5_455D_AFDE_914B22949288_.wvu.FilterData" localSheetId="3" hidden="1">#REF!</definedName>
    <definedName name="Z_2158A2BC_8DB5_455D_AFDE_914B22949288_.wvu.FilterData" hidden="1">#REF!</definedName>
    <definedName name="Z_21A967FF_561E_495F_AEB9_4DD3BEDA53BC_.wvu.FilterData" localSheetId="21" hidden="1">#REF!</definedName>
    <definedName name="Z_21A967FF_561E_495F_AEB9_4DD3BEDA53BC_.wvu.FilterData" localSheetId="12" hidden="1">#REF!</definedName>
    <definedName name="Z_21A967FF_561E_495F_AEB9_4DD3BEDA53BC_.wvu.FilterData" localSheetId="13" hidden="1">#REF!</definedName>
    <definedName name="Z_21A967FF_561E_495F_AEB9_4DD3BEDA53BC_.wvu.FilterData" localSheetId="14" hidden="1">#REF!</definedName>
    <definedName name="Z_21A967FF_561E_495F_AEB9_4DD3BEDA53BC_.wvu.FilterData" localSheetId="16" hidden="1">#REF!</definedName>
    <definedName name="Z_21A967FF_561E_495F_AEB9_4DD3BEDA53BC_.wvu.FilterData" localSheetId="15" hidden="1">#REF!</definedName>
    <definedName name="Z_21A967FF_561E_495F_AEB9_4DD3BEDA53BC_.wvu.FilterData" localSheetId="17" hidden="1">#REF!</definedName>
    <definedName name="Z_21A967FF_561E_495F_AEB9_4DD3BEDA53BC_.wvu.FilterData" localSheetId="11" hidden="1">#REF!</definedName>
    <definedName name="Z_21A967FF_561E_495F_AEB9_4DD3BEDA53BC_.wvu.FilterData" localSheetId="10" hidden="1">#REF!</definedName>
    <definedName name="Z_21A967FF_561E_495F_AEB9_4DD3BEDA53BC_.wvu.FilterData" localSheetId="22" hidden="1">#REF!</definedName>
    <definedName name="Z_21A967FF_561E_495F_AEB9_4DD3BEDA53BC_.wvu.FilterData" localSheetId="24" hidden="1">#REF!</definedName>
    <definedName name="Z_21A967FF_561E_495F_AEB9_4DD3BEDA53BC_.wvu.FilterData" localSheetId="23" hidden="1">#REF!</definedName>
    <definedName name="Z_21A967FF_561E_495F_AEB9_4DD3BEDA53BC_.wvu.FilterData" localSheetId="20" hidden="1">#REF!</definedName>
    <definedName name="Z_21A967FF_561E_495F_AEB9_4DD3BEDA53BC_.wvu.FilterData" localSheetId="19" hidden="1">#REF!</definedName>
    <definedName name="Z_21A967FF_561E_495F_AEB9_4DD3BEDA53BC_.wvu.FilterData" localSheetId="26" hidden="1">#REF!</definedName>
    <definedName name="Z_21A967FF_561E_495F_AEB9_4DD3BEDA53BC_.wvu.FilterData" localSheetId="27" hidden="1">#REF!</definedName>
    <definedName name="Z_21A967FF_561E_495F_AEB9_4DD3BEDA53BC_.wvu.FilterData" localSheetId="25" hidden="1">#REF!</definedName>
    <definedName name="Z_21A967FF_561E_495F_AEB9_4DD3BEDA53BC_.wvu.FilterData" localSheetId="7" hidden="1">#REF!</definedName>
    <definedName name="Z_21A967FF_561E_495F_AEB9_4DD3BEDA53BC_.wvu.FilterData" localSheetId="4" hidden="1">#REF!</definedName>
    <definedName name="Z_21A967FF_561E_495F_AEB9_4DD3BEDA53BC_.wvu.FilterData" localSheetId="5" hidden="1">#REF!</definedName>
    <definedName name="Z_21A967FF_561E_495F_AEB9_4DD3BEDA53BC_.wvu.FilterData" localSheetId="2" hidden="1">#REF!</definedName>
    <definedName name="Z_21A967FF_561E_495F_AEB9_4DD3BEDA53BC_.wvu.FilterData" localSheetId="3" hidden="1">#REF!</definedName>
    <definedName name="Z_21A967FF_561E_495F_AEB9_4DD3BEDA53BC_.wvu.FilterData" hidden="1">#REF!</definedName>
    <definedName name="Z_227E7522_DC52_4EA7_A11A_0741FF23CC42_.wvu.FilterData" localSheetId="21" hidden="1">#REF!</definedName>
    <definedName name="Z_227E7522_DC52_4EA7_A11A_0741FF23CC42_.wvu.FilterData" localSheetId="12" hidden="1">#REF!</definedName>
    <definedName name="Z_227E7522_DC52_4EA7_A11A_0741FF23CC42_.wvu.FilterData" localSheetId="13" hidden="1">#REF!</definedName>
    <definedName name="Z_227E7522_DC52_4EA7_A11A_0741FF23CC42_.wvu.FilterData" localSheetId="14" hidden="1">#REF!</definedName>
    <definedName name="Z_227E7522_DC52_4EA7_A11A_0741FF23CC42_.wvu.FilterData" localSheetId="16" hidden="1">#REF!</definedName>
    <definedName name="Z_227E7522_DC52_4EA7_A11A_0741FF23CC42_.wvu.FilterData" localSheetId="15" hidden="1">#REF!</definedName>
    <definedName name="Z_227E7522_DC52_4EA7_A11A_0741FF23CC42_.wvu.FilterData" localSheetId="17" hidden="1">#REF!</definedName>
    <definedName name="Z_227E7522_DC52_4EA7_A11A_0741FF23CC42_.wvu.FilterData" localSheetId="11" hidden="1">#REF!</definedName>
    <definedName name="Z_227E7522_DC52_4EA7_A11A_0741FF23CC42_.wvu.FilterData" localSheetId="10" hidden="1">#REF!</definedName>
    <definedName name="Z_227E7522_DC52_4EA7_A11A_0741FF23CC42_.wvu.FilterData" localSheetId="22" hidden="1">#REF!</definedName>
    <definedName name="Z_227E7522_DC52_4EA7_A11A_0741FF23CC42_.wvu.FilterData" localSheetId="24" hidden="1">#REF!</definedName>
    <definedName name="Z_227E7522_DC52_4EA7_A11A_0741FF23CC42_.wvu.FilterData" localSheetId="23" hidden="1">#REF!</definedName>
    <definedName name="Z_227E7522_DC52_4EA7_A11A_0741FF23CC42_.wvu.FilterData" localSheetId="20" hidden="1">#REF!</definedName>
    <definedName name="Z_227E7522_DC52_4EA7_A11A_0741FF23CC42_.wvu.FilterData" localSheetId="19" hidden="1">#REF!</definedName>
    <definedName name="Z_227E7522_DC52_4EA7_A11A_0741FF23CC42_.wvu.FilterData" localSheetId="26" hidden="1">#REF!</definedName>
    <definedName name="Z_227E7522_DC52_4EA7_A11A_0741FF23CC42_.wvu.FilterData" localSheetId="27" hidden="1">#REF!</definedName>
    <definedName name="Z_227E7522_DC52_4EA7_A11A_0741FF23CC42_.wvu.FilterData" localSheetId="25" hidden="1">#REF!</definedName>
    <definedName name="Z_227E7522_DC52_4EA7_A11A_0741FF23CC42_.wvu.FilterData" localSheetId="7" hidden="1">#REF!</definedName>
    <definedName name="Z_227E7522_DC52_4EA7_A11A_0741FF23CC42_.wvu.FilterData" localSheetId="4" hidden="1">#REF!</definedName>
    <definedName name="Z_227E7522_DC52_4EA7_A11A_0741FF23CC42_.wvu.FilterData" localSheetId="5" hidden="1">#REF!</definedName>
    <definedName name="Z_227E7522_DC52_4EA7_A11A_0741FF23CC42_.wvu.FilterData" localSheetId="2" hidden="1">#REF!</definedName>
    <definedName name="Z_227E7522_DC52_4EA7_A11A_0741FF23CC42_.wvu.FilterData" localSheetId="3" hidden="1">#REF!</definedName>
    <definedName name="Z_227E7522_DC52_4EA7_A11A_0741FF23CC42_.wvu.FilterData" hidden="1">#REF!</definedName>
    <definedName name="Z_23BA0C23_280B_4568_A53C_1C6D2E85772A_.wvu.FilterData" localSheetId="21" hidden="1">#REF!</definedName>
    <definedName name="Z_23BA0C23_280B_4568_A53C_1C6D2E85772A_.wvu.FilterData" localSheetId="12" hidden="1">#REF!</definedName>
    <definedName name="Z_23BA0C23_280B_4568_A53C_1C6D2E85772A_.wvu.FilterData" localSheetId="13" hidden="1">#REF!</definedName>
    <definedName name="Z_23BA0C23_280B_4568_A53C_1C6D2E85772A_.wvu.FilterData" localSheetId="14" hidden="1">#REF!</definedName>
    <definedName name="Z_23BA0C23_280B_4568_A53C_1C6D2E85772A_.wvu.FilterData" localSheetId="16" hidden="1">#REF!</definedName>
    <definedName name="Z_23BA0C23_280B_4568_A53C_1C6D2E85772A_.wvu.FilterData" localSheetId="15" hidden="1">#REF!</definedName>
    <definedName name="Z_23BA0C23_280B_4568_A53C_1C6D2E85772A_.wvu.FilterData" localSheetId="17" hidden="1">#REF!</definedName>
    <definedName name="Z_23BA0C23_280B_4568_A53C_1C6D2E85772A_.wvu.FilterData" localSheetId="11" hidden="1">#REF!</definedName>
    <definedName name="Z_23BA0C23_280B_4568_A53C_1C6D2E85772A_.wvu.FilterData" localSheetId="10" hidden="1">#REF!</definedName>
    <definedName name="Z_23BA0C23_280B_4568_A53C_1C6D2E85772A_.wvu.FilterData" localSheetId="22" hidden="1">#REF!</definedName>
    <definedName name="Z_23BA0C23_280B_4568_A53C_1C6D2E85772A_.wvu.FilterData" localSheetId="24" hidden="1">#REF!</definedName>
    <definedName name="Z_23BA0C23_280B_4568_A53C_1C6D2E85772A_.wvu.FilterData" localSheetId="23" hidden="1">#REF!</definedName>
    <definedName name="Z_23BA0C23_280B_4568_A53C_1C6D2E85772A_.wvu.FilterData" localSheetId="20" hidden="1">#REF!</definedName>
    <definedName name="Z_23BA0C23_280B_4568_A53C_1C6D2E85772A_.wvu.FilterData" localSheetId="19" hidden="1">#REF!</definedName>
    <definedName name="Z_23BA0C23_280B_4568_A53C_1C6D2E85772A_.wvu.FilterData" localSheetId="26" hidden="1">#REF!</definedName>
    <definedName name="Z_23BA0C23_280B_4568_A53C_1C6D2E85772A_.wvu.FilterData" localSheetId="27" hidden="1">#REF!</definedName>
    <definedName name="Z_23BA0C23_280B_4568_A53C_1C6D2E85772A_.wvu.FilterData" localSheetId="25" hidden="1">#REF!</definedName>
    <definedName name="Z_23BA0C23_280B_4568_A53C_1C6D2E85772A_.wvu.FilterData" localSheetId="7" hidden="1">#REF!</definedName>
    <definedName name="Z_23BA0C23_280B_4568_A53C_1C6D2E85772A_.wvu.FilterData" localSheetId="4" hidden="1">#REF!</definedName>
    <definedName name="Z_23BA0C23_280B_4568_A53C_1C6D2E85772A_.wvu.FilterData" localSheetId="5" hidden="1">#REF!</definedName>
    <definedName name="Z_23BA0C23_280B_4568_A53C_1C6D2E85772A_.wvu.FilterData" localSheetId="2" hidden="1">#REF!</definedName>
    <definedName name="Z_23BA0C23_280B_4568_A53C_1C6D2E85772A_.wvu.FilterData" localSheetId="3" hidden="1">#REF!</definedName>
    <definedName name="Z_23BA0C23_280B_4568_A53C_1C6D2E85772A_.wvu.FilterData" hidden="1">#REF!</definedName>
    <definedName name="Z_244346C6_3866_4160_9E2E_C77913F25398_.wvu.FilterData" localSheetId="21" hidden="1">#REF!</definedName>
    <definedName name="Z_244346C6_3866_4160_9E2E_C77913F25398_.wvu.FilterData" localSheetId="12" hidden="1">#REF!</definedName>
    <definedName name="Z_244346C6_3866_4160_9E2E_C77913F25398_.wvu.FilterData" localSheetId="13" hidden="1">#REF!</definedName>
    <definedName name="Z_244346C6_3866_4160_9E2E_C77913F25398_.wvu.FilterData" localSheetId="14" hidden="1">#REF!</definedName>
    <definedName name="Z_244346C6_3866_4160_9E2E_C77913F25398_.wvu.FilterData" localSheetId="16" hidden="1">#REF!</definedName>
    <definedName name="Z_244346C6_3866_4160_9E2E_C77913F25398_.wvu.FilterData" localSheetId="15" hidden="1">#REF!</definedName>
    <definedName name="Z_244346C6_3866_4160_9E2E_C77913F25398_.wvu.FilterData" localSheetId="17" hidden="1">#REF!</definedName>
    <definedName name="Z_244346C6_3866_4160_9E2E_C77913F25398_.wvu.FilterData" localSheetId="11" hidden="1">#REF!</definedName>
    <definedName name="Z_244346C6_3866_4160_9E2E_C77913F25398_.wvu.FilterData" localSheetId="10" hidden="1">#REF!</definedName>
    <definedName name="Z_244346C6_3866_4160_9E2E_C77913F25398_.wvu.FilterData" localSheetId="22" hidden="1">#REF!</definedName>
    <definedName name="Z_244346C6_3866_4160_9E2E_C77913F25398_.wvu.FilterData" localSheetId="24" hidden="1">#REF!</definedName>
    <definedName name="Z_244346C6_3866_4160_9E2E_C77913F25398_.wvu.FilterData" localSheetId="23" hidden="1">#REF!</definedName>
    <definedName name="Z_244346C6_3866_4160_9E2E_C77913F25398_.wvu.FilterData" localSheetId="20" hidden="1">#REF!</definedName>
    <definedName name="Z_244346C6_3866_4160_9E2E_C77913F25398_.wvu.FilterData" localSheetId="19" hidden="1">#REF!</definedName>
    <definedName name="Z_244346C6_3866_4160_9E2E_C77913F25398_.wvu.FilterData" localSheetId="26" hidden="1">#REF!</definedName>
    <definedName name="Z_244346C6_3866_4160_9E2E_C77913F25398_.wvu.FilterData" localSheetId="27" hidden="1">#REF!</definedName>
    <definedName name="Z_244346C6_3866_4160_9E2E_C77913F25398_.wvu.FilterData" localSheetId="25" hidden="1">#REF!</definedName>
    <definedName name="Z_244346C6_3866_4160_9E2E_C77913F25398_.wvu.FilterData" localSheetId="7" hidden="1">#REF!</definedName>
    <definedName name="Z_244346C6_3866_4160_9E2E_C77913F25398_.wvu.FilterData" localSheetId="4" hidden="1">#REF!</definedName>
    <definedName name="Z_244346C6_3866_4160_9E2E_C77913F25398_.wvu.FilterData" localSheetId="5" hidden="1">#REF!</definedName>
    <definedName name="Z_244346C6_3866_4160_9E2E_C77913F25398_.wvu.FilterData" localSheetId="2" hidden="1">#REF!</definedName>
    <definedName name="Z_244346C6_3866_4160_9E2E_C77913F25398_.wvu.FilterData" localSheetId="3" hidden="1">#REF!</definedName>
    <definedName name="Z_244346C6_3866_4160_9E2E_C77913F25398_.wvu.FilterData" hidden="1">#REF!</definedName>
    <definedName name="Z_25117F67_F0EE_43EF_8FF9_79F533CE10B0_.wvu.FilterData" localSheetId="21" hidden="1">#REF!</definedName>
    <definedName name="Z_25117F67_F0EE_43EF_8FF9_79F533CE10B0_.wvu.FilterData" localSheetId="12" hidden="1">#REF!</definedName>
    <definedName name="Z_25117F67_F0EE_43EF_8FF9_79F533CE10B0_.wvu.FilterData" localSheetId="13" hidden="1">#REF!</definedName>
    <definedName name="Z_25117F67_F0EE_43EF_8FF9_79F533CE10B0_.wvu.FilterData" localSheetId="14" hidden="1">#REF!</definedName>
    <definedName name="Z_25117F67_F0EE_43EF_8FF9_79F533CE10B0_.wvu.FilterData" localSheetId="16" hidden="1">#REF!</definedName>
    <definedName name="Z_25117F67_F0EE_43EF_8FF9_79F533CE10B0_.wvu.FilterData" localSheetId="15" hidden="1">#REF!</definedName>
    <definedName name="Z_25117F67_F0EE_43EF_8FF9_79F533CE10B0_.wvu.FilterData" localSheetId="17" hidden="1">#REF!</definedName>
    <definedName name="Z_25117F67_F0EE_43EF_8FF9_79F533CE10B0_.wvu.FilterData" localSheetId="11" hidden="1">#REF!</definedName>
    <definedName name="Z_25117F67_F0EE_43EF_8FF9_79F533CE10B0_.wvu.FilterData" localSheetId="10" hidden="1">#REF!</definedName>
    <definedName name="Z_25117F67_F0EE_43EF_8FF9_79F533CE10B0_.wvu.FilterData" localSheetId="22" hidden="1">#REF!</definedName>
    <definedName name="Z_25117F67_F0EE_43EF_8FF9_79F533CE10B0_.wvu.FilterData" localSheetId="24" hidden="1">#REF!</definedName>
    <definedName name="Z_25117F67_F0EE_43EF_8FF9_79F533CE10B0_.wvu.FilterData" localSheetId="23" hidden="1">#REF!</definedName>
    <definedName name="Z_25117F67_F0EE_43EF_8FF9_79F533CE10B0_.wvu.FilterData" localSheetId="20" hidden="1">#REF!</definedName>
    <definedName name="Z_25117F67_F0EE_43EF_8FF9_79F533CE10B0_.wvu.FilterData" localSheetId="19" hidden="1">#REF!</definedName>
    <definedName name="Z_25117F67_F0EE_43EF_8FF9_79F533CE10B0_.wvu.FilterData" localSheetId="26" hidden="1">#REF!</definedName>
    <definedName name="Z_25117F67_F0EE_43EF_8FF9_79F533CE10B0_.wvu.FilterData" localSheetId="27" hidden="1">#REF!</definedName>
    <definedName name="Z_25117F67_F0EE_43EF_8FF9_79F533CE10B0_.wvu.FilterData" localSheetId="25" hidden="1">#REF!</definedName>
    <definedName name="Z_25117F67_F0EE_43EF_8FF9_79F533CE10B0_.wvu.FilterData" localSheetId="7" hidden="1">#REF!</definedName>
    <definedName name="Z_25117F67_F0EE_43EF_8FF9_79F533CE10B0_.wvu.FilterData" localSheetId="4" hidden="1">#REF!</definedName>
    <definedName name="Z_25117F67_F0EE_43EF_8FF9_79F533CE10B0_.wvu.FilterData" localSheetId="5" hidden="1">#REF!</definedName>
    <definedName name="Z_25117F67_F0EE_43EF_8FF9_79F533CE10B0_.wvu.FilterData" localSheetId="2" hidden="1">#REF!</definedName>
    <definedName name="Z_25117F67_F0EE_43EF_8FF9_79F533CE10B0_.wvu.FilterData" localSheetId="3" hidden="1">#REF!</definedName>
    <definedName name="Z_25117F67_F0EE_43EF_8FF9_79F533CE10B0_.wvu.FilterData" hidden="1">#REF!</definedName>
    <definedName name="Z_259E2DDE_5459_4510_B7A2_66F49964C56E_.wvu.FilterData" localSheetId="21" hidden="1">#REF!</definedName>
    <definedName name="Z_259E2DDE_5459_4510_B7A2_66F49964C56E_.wvu.FilterData" localSheetId="12" hidden="1">#REF!</definedName>
    <definedName name="Z_259E2DDE_5459_4510_B7A2_66F49964C56E_.wvu.FilterData" localSheetId="13" hidden="1">#REF!</definedName>
    <definedName name="Z_259E2DDE_5459_4510_B7A2_66F49964C56E_.wvu.FilterData" localSheetId="14" hidden="1">#REF!</definedName>
    <definedName name="Z_259E2DDE_5459_4510_B7A2_66F49964C56E_.wvu.FilterData" localSheetId="16" hidden="1">#REF!</definedName>
    <definedName name="Z_259E2DDE_5459_4510_B7A2_66F49964C56E_.wvu.FilterData" localSheetId="15" hidden="1">#REF!</definedName>
    <definedName name="Z_259E2DDE_5459_4510_B7A2_66F49964C56E_.wvu.FilterData" localSheetId="17" hidden="1">#REF!</definedName>
    <definedName name="Z_259E2DDE_5459_4510_B7A2_66F49964C56E_.wvu.FilterData" localSheetId="11" hidden="1">#REF!</definedName>
    <definedName name="Z_259E2DDE_5459_4510_B7A2_66F49964C56E_.wvu.FilterData" localSheetId="10" hidden="1">#REF!</definedName>
    <definedName name="Z_259E2DDE_5459_4510_B7A2_66F49964C56E_.wvu.FilterData" localSheetId="22" hidden="1">#REF!</definedName>
    <definedName name="Z_259E2DDE_5459_4510_B7A2_66F49964C56E_.wvu.FilterData" localSheetId="24" hidden="1">#REF!</definedName>
    <definedName name="Z_259E2DDE_5459_4510_B7A2_66F49964C56E_.wvu.FilterData" localSheetId="23" hidden="1">#REF!</definedName>
    <definedName name="Z_259E2DDE_5459_4510_B7A2_66F49964C56E_.wvu.FilterData" localSheetId="20" hidden="1">#REF!</definedName>
    <definedName name="Z_259E2DDE_5459_4510_B7A2_66F49964C56E_.wvu.FilterData" localSheetId="19" hidden="1">#REF!</definedName>
    <definedName name="Z_259E2DDE_5459_4510_B7A2_66F49964C56E_.wvu.FilterData" localSheetId="26" hidden="1">#REF!</definedName>
    <definedName name="Z_259E2DDE_5459_4510_B7A2_66F49964C56E_.wvu.FilterData" localSheetId="27" hidden="1">#REF!</definedName>
    <definedName name="Z_259E2DDE_5459_4510_B7A2_66F49964C56E_.wvu.FilterData" localSheetId="25" hidden="1">#REF!</definedName>
    <definedName name="Z_259E2DDE_5459_4510_B7A2_66F49964C56E_.wvu.FilterData" localSheetId="7" hidden="1">#REF!</definedName>
    <definedName name="Z_259E2DDE_5459_4510_B7A2_66F49964C56E_.wvu.FilterData" localSheetId="4" hidden="1">#REF!</definedName>
    <definedName name="Z_259E2DDE_5459_4510_B7A2_66F49964C56E_.wvu.FilterData" localSheetId="5" hidden="1">#REF!</definedName>
    <definedName name="Z_259E2DDE_5459_4510_B7A2_66F49964C56E_.wvu.FilterData" localSheetId="2" hidden="1">#REF!</definedName>
    <definedName name="Z_259E2DDE_5459_4510_B7A2_66F49964C56E_.wvu.FilterData" localSheetId="3" hidden="1">#REF!</definedName>
    <definedName name="Z_259E2DDE_5459_4510_B7A2_66F49964C56E_.wvu.FilterData" hidden="1">#REF!</definedName>
    <definedName name="Z_25C7DFCF_BE54_4A41_B957_DE39B9B2A5B5_.wvu.FilterData" localSheetId="21" hidden="1">#REF!</definedName>
    <definedName name="Z_25C7DFCF_BE54_4A41_B957_DE39B9B2A5B5_.wvu.FilterData" localSheetId="12" hidden="1">#REF!</definedName>
    <definedName name="Z_25C7DFCF_BE54_4A41_B957_DE39B9B2A5B5_.wvu.FilterData" localSheetId="13" hidden="1">#REF!</definedName>
    <definedName name="Z_25C7DFCF_BE54_4A41_B957_DE39B9B2A5B5_.wvu.FilterData" localSheetId="14" hidden="1">#REF!</definedName>
    <definedName name="Z_25C7DFCF_BE54_4A41_B957_DE39B9B2A5B5_.wvu.FilterData" localSheetId="16" hidden="1">#REF!</definedName>
    <definedName name="Z_25C7DFCF_BE54_4A41_B957_DE39B9B2A5B5_.wvu.FilterData" localSheetId="15" hidden="1">#REF!</definedName>
    <definedName name="Z_25C7DFCF_BE54_4A41_B957_DE39B9B2A5B5_.wvu.FilterData" localSheetId="17" hidden="1">#REF!</definedName>
    <definedName name="Z_25C7DFCF_BE54_4A41_B957_DE39B9B2A5B5_.wvu.FilterData" localSheetId="11" hidden="1">#REF!</definedName>
    <definedName name="Z_25C7DFCF_BE54_4A41_B957_DE39B9B2A5B5_.wvu.FilterData" localSheetId="10" hidden="1">#REF!</definedName>
    <definedName name="Z_25C7DFCF_BE54_4A41_B957_DE39B9B2A5B5_.wvu.FilterData" localSheetId="22" hidden="1">#REF!</definedName>
    <definedName name="Z_25C7DFCF_BE54_4A41_B957_DE39B9B2A5B5_.wvu.FilterData" localSheetId="24" hidden="1">#REF!</definedName>
    <definedName name="Z_25C7DFCF_BE54_4A41_B957_DE39B9B2A5B5_.wvu.FilterData" localSheetId="23" hidden="1">#REF!</definedName>
    <definedName name="Z_25C7DFCF_BE54_4A41_B957_DE39B9B2A5B5_.wvu.FilterData" localSheetId="20" hidden="1">#REF!</definedName>
    <definedName name="Z_25C7DFCF_BE54_4A41_B957_DE39B9B2A5B5_.wvu.FilterData" localSheetId="19" hidden="1">#REF!</definedName>
    <definedName name="Z_25C7DFCF_BE54_4A41_B957_DE39B9B2A5B5_.wvu.FilterData" localSheetId="26" hidden="1">#REF!</definedName>
    <definedName name="Z_25C7DFCF_BE54_4A41_B957_DE39B9B2A5B5_.wvu.FilterData" localSheetId="27" hidden="1">#REF!</definedName>
    <definedName name="Z_25C7DFCF_BE54_4A41_B957_DE39B9B2A5B5_.wvu.FilterData" localSheetId="25" hidden="1">#REF!</definedName>
    <definedName name="Z_25C7DFCF_BE54_4A41_B957_DE39B9B2A5B5_.wvu.FilterData" localSheetId="7" hidden="1">#REF!</definedName>
    <definedName name="Z_25C7DFCF_BE54_4A41_B957_DE39B9B2A5B5_.wvu.FilterData" localSheetId="4" hidden="1">#REF!</definedName>
    <definedName name="Z_25C7DFCF_BE54_4A41_B957_DE39B9B2A5B5_.wvu.FilterData" localSheetId="5" hidden="1">#REF!</definedName>
    <definedName name="Z_25C7DFCF_BE54_4A41_B957_DE39B9B2A5B5_.wvu.FilterData" localSheetId="2" hidden="1">#REF!</definedName>
    <definedName name="Z_25C7DFCF_BE54_4A41_B957_DE39B9B2A5B5_.wvu.FilterData" localSheetId="3" hidden="1">#REF!</definedName>
    <definedName name="Z_25C7DFCF_BE54_4A41_B957_DE39B9B2A5B5_.wvu.FilterData" hidden="1">#REF!</definedName>
    <definedName name="Z_272E0E4D_901D_11D7_B59C_0050DAB35C7B_.wvu.FilterData" localSheetId="21" hidden="1">#REF!</definedName>
    <definedName name="Z_272E0E4D_901D_11D7_B59C_0050DAB35C7B_.wvu.FilterData" localSheetId="12" hidden="1">#REF!</definedName>
    <definedName name="Z_272E0E4D_901D_11D7_B59C_0050DAB35C7B_.wvu.FilterData" localSheetId="13" hidden="1">#REF!</definedName>
    <definedName name="Z_272E0E4D_901D_11D7_B59C_0050DAB35C7B_.wvu.FilterData" localSheetId="14" hidden="1">#REF!</definedName>
    <definedName name="Z_272E0E4D_901D_11D7_B59C_0050DAB35C7B_.wvu.FilterData" localSheetId="16" hidden="1">#REF!</definedName>
    <definedName name="Z_272E0E4D_901D_11D7_B59C_0050DAB35C7B_.wvu.FilterData" localSheetId="15" hidden="1">#REF!</definedName>
    <definedName name="Z_272E0E4D_901D_11D7_B59C_0050DAB35C7B_.wvu.FilterData" localSheetId="17" hidden="1">#REF!</definedName>
    <definedName name="Z_272E0E4D_901D_11D7_B59C_0050DAB35C7B_.wvu.FilterData" localSheetId="11" hidden="1">#REF!</definedName>
    <definedName name="Z_272E0E4D_901D_11D7_B59C_0050DAB35C7B_.wvu.FilterData" localSheetId="10" hidden="1">#REF!</definedName>
    <definedName name="Z_272E0E4D_901D_11D7_B59C_0050DAB35C7B_.wvu.FilterData" localSheetId="22" hidden="1">#REF!</definedName>
    <definedName name="Z_272E0E4D_901D_11D7_B59C_0050DAB35C7B_.wvu.FilterData" localSheetId="24" hidden="1">#REF!</definedName>
    <definedName name="Z_272E0E4D_901D_11D7_B59C_0050DAB35C7B_.wvu.FilterData" localSheetId="23" hidden="1">#REF!</definedName>
    <definedName name="Z_272E0E4D_901D_11D7_B59C_0050DAB35C7B_.wvu.FilterData" localSheetId="20" hidden="1">#REF!</definedName>
    <definedName name="Z_272E0E4D_901D_11D7_B59C_0050DAB35C7B_.wvu.FilterData" localSheetId="19" hidden="1">#REF!</definedName>
    <definedName name="Z_272E0E4D_901D_11D7_B59C_0050DAB35C7B_.wvu.FilterData" localSheetId="26" hidden="1">#REF!</definedName>
    <definedName name="Z_272E0E4D_901D_11D7_B59C_0050DAB35C7B_.wvu.FilterData" localSheetId="27" hidden="1">#REF!</definedName>
    <definedName name="Z_272E0E4D_901D_11D7_B59C_0050DAB35C7B_.wvu.FilterData" localSheetId="25" hidden="1">#REF!</definedName>
    <definedName name="Z_272E0E4D_901D_11D7_B59C_0050DAB35C7B_.wvu.FilterData" localSheetId="7" hidden="1">#REF!</definedName>
    <definedName name="Z_272E0E4D_901D_11D7_B59C_0050DAB35C7B_.wvu.FilterData" localSheetId="4" hidden="1">#REF!</definedName>
    <definedName name="Z_272E0E4D_901D_11D7_B59C_0050DAB35C7B_.wvu.FilterData" localSheetId="5" hidden="1">#REF!</definedName>
    <definedName name="Z_272E0E4D_901D_11D7_B59C_0050DAB35C7B_.wvu.FilterData" localSheetId="2" hidden="1">#REF!</definedName>
    <definedName name="Z_272E0E4D_901D_11D7_B59C_0050DAB35C7B_.wvu.FilterData" localSheetId="3" hidden="1">#REF!</definedName>
    <definedName name="Z_272E0E4D_901D_11D7_B59C_0050DAB35C7B_.wvu.FilterData" hidden="1">#REF!</definedName>
    <definedName name="Z_27D9353E_5A5F_49BF_8724_FA312A4073FF_.wvu.FilterData" localSheetId="21" hidden="1">#REF!</definedName>
    <definedName name="Z_27D9353E_5A5F_49BF_8724_FA312A4073FF_.wvu.FilterData" localSheetId="12" hidden="1">#REF!</definedName>
    <definedName name="Z_27D9353E_5A5F_49BF_8724_FA312A4073FF_.wvu.FilterData" localSheetId="13" hidden="1">#REF!</definedName>
    <definedName name="Z_27D9353E_5A5F_49BF_8724_FA312A4073FF_.wvu.FilterData" localSheetId="14" hidden="1">#REF!</definedName>
    <definedName name="Z_27D9353E_5A5F_49BF_8724_FA312A4073FF_.wvu.FilterData" localSheetId="16" hidden="1">#REF!</definedName>
    <definedName name="Z_27D9353E_5A5F_49BF_8724_FA312A4073FF_.wvu.FilterData" localSheetId="15" hidden="1">#REF!</definedName>
    <definedName name="Z_27D9353E_5A5F_49BF_8724_FA312A4073FF_.wvu.FilterData" localSheetId="17" hidden="1">#REF!</definedName>
    <definedName name="Z_27D9353E_5A5F_49BF_8724_FA312A4073FF_.wvu.FilterData" localSheetId="11" hidden="1">#REF!</definedName>
    <definedName name="Z_27D9353E_5A5F_49BF_8724_FA312A4073FF_.wvu.FilterData" localSheetId="10" hidden="1">#REF!</definedName>
    <definedName name="Z_27D9353E_5A5F_49BF_8724_FA312A4073FF_.wvu.FilterData" localSheetId="22" hidden="1">#REF!</definedName>
    <definedName name="Z_27D9353E_5A5F_49BF_8724_FA312A4073FF_.wvu.FilterData" localSheetId="24" hidden="1">#REF!</definedName>
    <definedName name="Z_27D9353E_5A5F_49BF_8724_FA312A4073FF_.wvu.FilterData" localSheetId="23" hidden="1">#REF!</definedName>
    <definedName name="Z_27D9353E_5A5F_49BF_8724_FA312A4073FF_.wvu.FilterData" localSheetId="20" hidden="1">#REF!</definedName>
    <definedName name="Z_27D9353E_5A5F_49BF_8724_FA312A4073FF_.wvu.FilterData" localSheetId="19" hidden="1">#REF!</definedName>
    <definedName name="Z_27D9353E_5A5F_49BF_8724_FA312A4073FF_.wvu.FilterData" localSheetId="26" hidden="1">#REF!</definedName>
    <definedName name="Z_27D9353E_5A5F_49BF_8724_FA312A4073FF_.wvu.FilterData" localSheetId="27" hidden="1">#REF!</definedName>
    <definedName name="Z_27D9353E_5A5F_49BF_8724_FA312A4073FF_.wvu.FilterData" localSheetId="25" hidden="1">#REF!</definedName>
    <definedName name="Z_27D9353E_5A5F_49BF_8724_FA312A4073FF_.wvu.FilterData" localSheetId="7" hidden="1">#REF!</definedName>
    <definedName name="Z_27D9353E_5A5F_49BF_8724_FA312A4073FF_.wvu.FilterData" localSheetId="4" hidden="1">#REF!</definedName>
    <definedName name="Z_27D9353E_5A5F_49BF_8724_FA312A4073FF_.wvu.FilterData" localSheetId="5" hidden="1">#REF!</definedName>
    <definedName name="Z_27D9353E_5A5F_49BF_8724_FA312A4073FF_.wvu.FilterData" localSheetId="2" hidden="1">#REF!</definedName>
    <definedName name="Z_27D9353E_5A5F_49BF_8724_FA312A4073FF_.wvu.FilterData" localSheetId="3" hidden="1">#REF!</definedName>
    <definedName name="Z_27D9353E_5A5F_49BF_8724_FA312A4073FF_.wvu.FilterData" hidden="1">#REF!</definedName>
    <definedName name="Z_299BE965_B904_49FA_A79D_B9538F94936F_.wvu.FilterData" localSheetId="21" hidden="1">#REF!</definedName>
    <definedName name="Z_299BE965_B904_49FA_A79D_B9538F94936F_.wvu.FilterData" localSheetId="12" hidden="1">#REF!</definedName>
    <definedName name="Z_299BE965_B904_49FA_A79D_B9538F94936F_.wvu.FilterData" localSheetId="13" hidden="1">#REF!</definedName>
    <definedName name="Z_299BE965_B904_49FA_A79D_B9538F94936F_.wvu.FilterData" localSheetId="14" hidden="1">#REF!</definedName>
    <definedName name="Z_299BE965_B904_49FA_A79D_B9538F94936F_.wvu.FilterData" localSheetId="16" hidden="1">#REF!</definedName>
    <definedName name="Z_299BE965_B904_49FA_A79D_B9538F94936F_.wvu.FilterData" localSheetId="15" hidden="1">#REF!</definedName>
    <definedName name="Z_299BE965_B904_49FA_A79D_B9538F94936F_.wvu.FilterData" localSheetId="17" hidden="1">#REF!</definedName>
    <definedName name="Z_299BE965_B904_49FA_A79D_B9538F94936F_.wvu.FilterData" localSheetId="11" hidden="1">#REF!</definedName>
    <definedName name="Z_299BE965_B904_49FA_A79D_B9538F94936F_.wvu.FilterData" localSheetId="10" hidden="1">#REF!</definedName>
    <definedName name="Z_299BE965_B904_49FA_A79D_B9538F94936F_.wvu.FilterData" localSheetId="22" hidden="1">#REF!</definedName>
    <definedName name="Z_299BE965_B904_49FA_A79D_B9538F94936F_.wvu.FilterData" localSheetId="24" hidden="1">#REF!</definedName>
    <definedName name="Z_299BE965_B904_49FA_A79D_B9538F94936F_.wvu.FilterData" localSheetId="23" hidden="1">#REF!</definedName>
    <definedName name="Z_299BE965_B904_49FA_A79D_B9538F94936F_.wvu.FilterData" localSheetId="20" hidden="1">#REF!</definedName>
    <definedName name="Z_299BE965_B904_49FA_A79D_B9538F94936F_.wvu.FilterData" localSheetId="19" hidden="1">#REF!</definedName>
    <definedName name="Z_299BE965_B904_49FA_A79D_B9538F94936F_.wvu.FilterData" localSheetId="26" hidden="1">#REF!</definedName>
    <definedName name="Z_299BE965_B904_49FA_A79D_B9538F94936F_.wvu.FilterData" localSheetId="27" hidden="1">#REF!</definedName>
    <definedName name="Z_299BE965_B904_49FA_A79D_B9538F94936F_.wvu.FilterData" localSheetId="25" hidden="1">#REF!</definedName>
    <definedName name="Z_299BE965_B904_49FA_A79D_B9538F94936F_.wvu.FilterData" localSheetId="7" hidden="1">#REF!</definedName>
    <definedName name="Z_299BE965_B904_49FA_A79D_B9538F94936F_.wvu.FilterData" localSheetId="4" hidden="1">#REF!</definedName>
    <definedName name="Z_299BE965_B904_49FA_A79D_B9538F94936F_.wvu.FilterData" localSheetId="5" hidden="1">#REF!</definedName>
    <definedName name="Z_299BE965_B904_49FA_A79D_B9538F94936F_.wvu.FilterData" localSheetId="2" hidden="1">#REF!</definedName>
    <definedName name="Z_299BE965_B904_49FA_A79D_B9538F94936F_.wvu.FilterData" localSheetId="3" hidden="1">#REF!</definedName>
    <definedName name="Z_299BE965_B904_49FA_A79D_B9538F94936F_.wvu.FilterData" hidden="1">#REF!</definedName>
    <definedName name="Z_29D37CE9_76D1_4D09_99A0_55ABA6929929_.wvu.FilterData" localSheetId="21" hidden="1">#REF!</definedName>
    <definedName name="Z_29D37CE9_76D1_4D09_99A0_55ABA6929929_.wvu.FilterData" localSheetId="12" hidden="1">#REF!</definedName>
    <definedName name="Z_29D37CE9_76D1_4D09_99A0_55ABA6929929_.wvu.FilterData" localSheetId="13" hidden="1">#REF!</definedName>
    <definedName name="Z_29D37CE9_76D1_4D09_99A0_55ABA6929929_.wvu.FilterData" localSheetId="14" hidden="1">#REF!</definedName>
    <definedName name="Z_29D37CE9_76D1_4D09_99A0_55ABA6929929_.wvu.FilterData" localSheetId="16" hidden="1">#REF!</definedName>
    <definedName name="Z_29D37CE9_76D1_4D09_99A0_55ABA6929929_.wvu.FilterData" localSheetId="15" hidden="1">#REF!</definedName>
    <definedName name="Z_29D37CE9_76D1_4D09_99A0_55ABA6929929_.wvu.FilterData" localSheetId="17" hidden="1">#REF!</definedName>
    <definedName name="Z_29D37CE9_76D1_4D09_99A0_55ABA6929929_.wvu.FilterData" localSheetId="11" hidden="1">#REF!</definedName>
    <definedName name="Z_29D37CE9_76D1_4D09_99A0_55ABA6929929_.wvu.FilterData" localSheetId="10" hidden="1">#REF!</definedName>
    <definedName name="Z_29D37CE9_76D1_4D09_99A0_55ABA6929929_.wvu.FilterData" localSheetId="22" hidden="1">#REF!</definedName>
    <definedName name="Z_29D37CE9_76D1_4D09_99A0_55ABA6929929_.wvu.FilterData" localSheetId="24" hidden="1">#REF!</definedName>
    <definedName name="Z_29D37CE9_76D1_4D09_99A0_55ABA6929929_.wvu.FilterData" localSheetId="23" hidden="1">#REF!</definedName>
    <definedName name="Z_29D37CE9_76D1_4D09_99A0_55ABA6929929_.wvu.FilterData" localSheetId="20" hidden="1">#REF!</definedName>
    <definedName name="Z_29D37CE9_76D1_4D09_99A0_55ABA6929929_.wvu.FilterData" localSheetId="19" hidden="1">#REF!</definedName>
    <definedName name="Z_29D37CE9_76D1_4D09_99A0_55ABA6929929_.wvu.FilterData" localSheetId="26" hidden="1">#REF!</definedName>
    <definedName name="Z_29D37CE9_76D1_4D09_99A0_55ABA6929929_.wvu.FilterData" localSheetId="27" hidden="1">#REF!</definedName>
    <definedName name="Z_29D37CE9_76D1_4D09_99A0_55ABA6929929_.wvu.FilterData" localSheetId="25" hidden="1">#REF!</definedName>
    <definedName name="Z_29D37CE9_76D1_4D09_99A0_55ABA6929929_.wvu.FilterData" localSheetId="7" hidden="1">#REF!</definedName>
    <definedName name="Z_29D37CE9_76D1_4D09_99A0_55ABA6929929_.wvu.FilterData" localSheetId="4" hidden="1">#REF!</definedName>
    <definedName name="Z_29D37CE9_76D1_4D09_99A0_55ABA6929929_.wvu.FilterData" localSheetId="5" hidden="1">#REF!</definedName>
    <definedName name="Z_29D37CE9_76D1_4D09_99A0_55ABA6929929_.wvu.FilterData" localSheetId="2" hidden="1">#REF!</definedName>
    <definedName name="Z_29D37CE9_76D1_4D09_99A0_55ABA6929929_.wvu.FilterData" localSheetId="3" hidden="1">#REF!</definedName>
    <definedName name="Z_29D37CE9_76D1_4D09_99A0_55ABA6929929_.wvu.FilterData" hidden="1">#REF!</definedName>
    <definedName name="Z_2C05BC27_731C_41F4_980F_CD81E4A7A662_.wvu.FilterData" localSheetId="21" hidden="1">#REF!</definedName>
    <definedName name="Z_2C05BC27_731C_41F4_980F_CD81E4A7A662_.wvu.FilterData" localSheetId="12" hidden="1">#REF!</definedName>
    <definedName name="Z_2C05BC27_731C_41F4_980F_CD81E4A7A662_.wvu.FilterData" localSheetId="13" hidden="1">#REF!</definedName>
    <definedName name="Z_2C05BC27_731C_41F4_980F_CD81E4A7A662_.wvu.FilterData" localSheetId="14" hidden="1">#REF!</definedName>
    <definedName name="Z_2C05BC27_731C_41F4_980F_CD81E4A7A662_.wvu.FilterData" localSheetId="16" hidden="1">#REF!</definedName>
    <definedName name="Z_2C05BC27_731C_41F4_980F_CD81E4A7A662_.wvu.FilterData" localSheetId="15" hidden="1">#REF!</definedName>
    <definedName name="Z_2C05BC27_731C_41F4_980F_CD81E4A7A662_.wvu.FilterData" localSheetId="17" hidden="1">#REF!</definedName>
    <definedName name="Z_2C05BC27_731C_41F4_980F_CD81E4A7A662_.wvu.FilterData" localSheetId="11" hidden="1">#REF!</definedName>
    <definedName name="Z_2C05BC27_731C_41F4_980F_CD81E4A7A662_.wvu.FilterData" localSheetId="10" hidden="1">#REF!</definedName>
    <definedName name="Z_2C05BC27_731C_41F4_980F_CD81E4A7A662_.wvu.FilterData" localSheetId="22" hidden="1">#REF!</definedName>
    <definedName name="Z_2C05BC27_731C_41F4_980F_CD81E4A7A662_.wvu.FilterData" localSheetId="24" hidden="1">#REF!</definedName>
    <definedName name="Z_2C05BC27_731C_41F4_980F_CD81E4A7A662_.wvu.FilterData" localSheetId="23" hidden="1">#REF!</definedName>
    <definedName name="Z_2C05BC27_731C_41F4_980F_CD81E4A7A662_.wvu.FilterData" localSheetId="20" hidden="1">#REF!</definedName>
    <definedName name="Z_2C05BC27_731C_41F4_980F_CD81E4A7A662_.wvu.FilterData" localSheetId="19" hidden="1">#REF!</definedName>
    <definedName name="Z_2C05BC27_731C_41F4_980F_CD81E4A7A662_.wvu.FilterData" localSheetId="26" hidden="1">#REF!</definedName>
    <definedName name="Z_2C05BC27_731C_41F4_980F_CD81E4A7A662_.wvu.FilterData" localSheetId="27" hidden="1">#REF!</definedName>
    <definedName name="Z_2C05BC27_731C_41F4_980F_CD81E4A7A662_.wvu.FilterData" localSheetId="25" hidden="1">#REF!</definedName>
    <definedName name="Z_2C05BC27_731C_41F4_980F_CD81E4A7A662_.wvu.FilterData" localSheetId="7" hidden="1">#REF!</definedName>
    <definedName name="Z_2C05BC27_731C_41F4_980F_CD81E4A7A662_.wvu.FilterData" localSheetId="4" hidden="1">#REF!</definedName>
    <definedName name="Z_2C05BC27_731C_41F4_980F_CD81E4A7A662_.wvu.FilterData" localSheetId="5" hidden="1">#REF!</definedName>
    <definedName name="Z_2C05BC27_731C_41F4_980F_CD81E4A7A662_.wvu.FilterData" localSheetId="2" hidden="1">#REF!</definedName>
    <definedName name="Z_2C05BC27_731C_41F4_980F_CD81E4A7A662_.wvu.FilterData" localSheetId="3" hidden="1">#REF!</definedName>
    <definedName name="Z_2C05BC27_731C_41F4_980F_CD81E4A7A662_.wvu.FilterData" hidden="1">#REF!</definedName>
    <definedName name="Z_2C0BDCBF_705B_4E5A_9659_05D99EC56641_.wvu.FilterData" localSheetId="21" hidden="1">#REF!</definedName>
    <definedName name="Z_2C0BDCBF_705B_4E5A_9659_05D99EC56641_.wvu.FilterData" localSheetId="12" hidden="1">#REF!</definedName>
    <definedName name="Z_2C0BDCBF_705B_4E5A_9659_05D99EC56641_.wvu.FilterData" localSheetId="13" hidden="1">#REF!</definedName>
    <definedName name="Z_2C0BDCBF_705B_4E5A_9659_05D99EC56641_.wvu.FilterData" localSheetId="14" hidden="1">#REF!</definedName>
    <definedName name="Z_2C0BDCBF_705B_4E5A_9659_05D99EC56641_.wvu.FilterData" localSheetId="16" hidden="1">#REF!</definedName>
    <definedName name="Z_2C0BDCBF_705B_4E5A_9659_05D99EC56641_.wvu.FilterData" localSheetId="15" hidden="1">#REF!</definedName>
    <definedName name="Z_2C0BDCBF_705B_4E5A_9659_05D99EC56641_.wvu.FilterData" localSheetId="17" hidden="1">#REF!</definedName>
    <definedName name="Z_2C0BDCBF_705B_4E5A_9659_05D99EC56641_.wvu.FilterData" localSheetId="11" hidden="1">#REF!</definedName>
    <definedName name="Z_2C0BDCBF_705B_4E5A_9659_05D99EC56641_.wvu.FilterData" localSheetId="10" hidden="1">#REF!</definedName>
    <definedName name="Z_2C0BDCBF_705B_4E5A_9659_05D99EC56641_.wvu.FilterData" localSheetId="22" hidden="1">#REF!</definedName>
    <definedName name="Z_2C0BDCBF_705B_4E5A_9659_05D99EC56641_.wvu.FilterData" localSheetId="24" hidden="1">#REF!</definedName>
    <definedName name="Z_2C0BDCBF_705B_4E5A_9659_05D99EC56641_.wvu.FilterData" localSheetId="23" hidden="1">#REF!</definedName>
    <definedName name="Z_2C0BDCBF_705B_4E5A_9659_05D99EC56641_.wvu.FilterData" localSheetId="20" hidden="1">#REF!</definedName>
    <definedName name="Z_2C0BDCBF_705B_4E5A_9659_05D99EC56641_.wvu.FilterData" localSheetId="19" hidden="1">#REF!</definedName>
    <definedName name="Z_2C0BDCBF_705B_4E5A_9659_05D99EC56641_.wvu.FilterData" localSheetId="26" hidden="1">#REF!</definedName>
    <definedName name="Z_2C0BDCBF_705B_4E5A_9659_05D99EC56641_.wvu.FilterData" localSheetId="27" hidden="1">#REF!</definedName>
    <definedName name="Z_2C0BDCBF_705B_4E5A_9659_05D99EC56641_.wvu.FilterData" localSheetId="25" hidden="1">#REF!</definedName>
    <definedName name="Z_2C0BDCBF_705B_4E5A_9659_05D99EC56641_.wvu.FilterData" localSheetId="7" hidden="1">#REF!</definedName>
    <definedName name="Z_2C0BDCBF_705B_4E5A_9659_05D99EC56641_.wvu.FilterData" localSheetId="4" hidden="1">#REF!</definedName>
    <definedName name="Z_2C0BDCBF_705B_4E5A_9659_05D99EC56641_.wvu.FilterData" localSheetId="5" hidden="1">#REF!</definedName>
    <definedName name="Z_2C0BDCBF_705B_4E5A_9659_05D99EC56641_.wvu.FilterData" localSheetId="2" hidden="1">#REF!</definedName>
    <definedName name="Z_2C0BDCBF_705B_4E5A_9659_05D99EC56641_.wvu.FilterData" localSheetId="3" hidden="1">#REF!</definedName>
    <definedName name="Z_2C0BDCBF_705B_4E5A_9659_05D99EC56641_.wvu.FilterData" hidden="1">#REF!</definedName>
    <definedName name="Z_2CD580B5_D99D_45ED_AC1E_45F8CBBBB9F1_.wvu.FilterData" localSheetId="21" hidden="1">#REF!</definedName>
    <definedName name="Z_2CD580B5_D99D_45ED_AC1E_45F8CBBBB9F1_.wvu.FilterData" localSheetId="12" hidden="1">#REF!</definedName>
    <definedName name="Z_2CD580B5_D99D_45ED_AC1E_45F8CBBBB9F1_.wvu.FilterData" localSheetId="13" hidden="1">#REF!</definedName>
    <definedName name="Z_2CD580B5_D99D_45ED_AC1E_45F8CBBBB9F1_.wvu.FilterData" localSheetId="14" hidden="1">#REF!</definedName>
    <definedName name="Z_2CD580B5_D99D_45ED_AC1E_45F8CBBBB9F1_.wvu.FilterData" localSheetId="16" hidden="1">#REF!</definedName>
    <definedName name="Z_2CD580B5_D99D_45ED_AC1E_45F8CBBBB9F1_.wvu.FilterData" localSheetId="15" hidden="1">#REF!</definedName>
    <definedName name="Z_2CD580B5_D99D_45ED_AC1E_45F8CBBBB9F1_.wvu.FilterData" localSheetId="17" hidden="1">#REF!</definedName>
    <definedName name="Z_2CD580B5_D99D_45ED_AC1E_45F8CBBBB9F1_.wvu.FilterData" localSheetId="11" hidden="1">#REF!</definedName>
    <definedName name="Z_2CD580B5_D99D_45ED_AC1E_45F8CBBBB9F1_.wvu.FilterData" localSheetId="10" hidden="1">#REF!</definedName>
    <definedName name="Z_2CD580B5_D99D_45ED_AC1E_45F8CBBBB9F1_.wvu.FilterData" localSheetId="22" hidden="1">#REF!</definedName>
    <definedName name="Z_2CD580B5_D99D_45ED_AC1E_45F8CBBBB9F1_.wvu.FilterData" localSheetId="24" hidden="1">#REF!</definedName>
    <definedName name="Z_2CD580B5_D99D_45ED_AC1E_45F8CBBBB9F1_.wvu.FilterData" localSheetId="23" hidden="1">#REF!</definedName>
    <definedName name="Z_2CD580B5_D99D_45ED_AC1E_45F8CBBBB9F1_.wvu.FilterData" localSheetId="20" hidden="1">#REF!</definedName>
    <definedName name="Z_2CD580B5_D99D_45ED_AC1E_45F8CBBBB9F1_.wvu.FilterData" localSheetId="19" hidden="1">#REF!</definedName>
    <definedName name="Z_2CD580B5_D99D_45ED_AC1E_45F8CBBBB9F1_.wvu.FilterData" localSheetId="26" hidden="1">#REF!</definedName>
    <definedName name="Z_2CD580B5_D99D_45ED_AC1E_45F8CBBBB9F1_.wvu.FilterData" localSheetId="27" hidden="1">#REF!</definedName>
    <definedName name="Z_2CD580B5_D99D_45ED_AC1E_45F8CBBBB9F1_.wvu.FilterData" localSheetId="25" hidden="1">#REF!</definedName>
    <definedName name="Z_2CD580B5_D99D_45ED_AC1E_45F8CBBBB9F1_.wvu.FilterData" localSheetId="7" hidden="1">#REF!</definedName>
    <definedName name="Z_2CD580B5_D99D_45ED_AC1E_45F8CBBBB9F1_.wvu.FilterData" localSheetId="4" hidden="1">#REF!</definedName>
    <definedName name="Z_2CD580B5_D99D_45ED_AC1E_45F8CBBBB9F1_.wvu.FilterData" localSheetId="5" hidden="1">#REF!</definedName>
    <definedName name="Z_2CD580B5_D99D_45ED_AC1E_45F8CBBBB9F1_.wvu.FilterData" localSheetId="2" hidden="1">#REF!</definedName>
    <definedName name="Z_2CD580B5_D99D_45ED_AC1E_45F8CBBBB9F1_.wvu.FilterData" localSheetId="3" hidden="1">#REF!</definedName>
    <definedName name="Z_2CD580B5_D99D_45ED_AC1E_45F8CBBBB9F1_.wvu.FilterData" hidden="1">#REF!</definedName>
    <definedName name="Z_2D98D706_A306_4353_8B3D_DA92F9EAEC9A_.wvu.FilterData" localSheetId="21" hidden="1">#REF!</definedName>
    <definedName name="Z_2D98D706_A306_4353_8B3D_DA92F9EAEC9A_.wvu.FilterData" localSheetId="12" hidden="1">#REF!</definedName>
    <definedName name="Z_2D98D706_A306_4353_8B3D_DA92F9EAEC9A_.wvu.FilterData" localSheetId="13" hidden="1">#REF!</definedName>
    <definedName name="Z_2D98D706_A306_4353_8B3D_DA92F9EAEC9A_.wvu.FilterData" localSheetId="14" hidden="1">#REF!</definedName>
    <definedName name="Z_2D98D706_A306_4353_8B3D_DA92F9EAEC9A_.wvu.FilterData" localSheetId="16" hidden="1">#REF!</definedName>
    <definedName name="Z_2D98D706_A306_4353_8B3D_DA92F9EAEC9A_.wvu.FilterData" localSheetId="15" hidden="1">#REF!</definedName>
    <definedName name="Z_2D98D706_A306_4353_8B3D_DA92F9EAEC9A_.wvu.FilterData" localSheetId="17" hidden="1">#REF!</definedName>
    <definedName name="Z_2D98D706_A306_4353_8B3D_DA92F9EAEC9A_.wvu.FilterData" localSheetId="11" hidden="1">#REF!</definedName>
    <definedName name="Z_2D98D706_A306_4353_8B3D_DA92F9EAEC9A_.wvu.FilterData" localSheetId="10" hidden="1">#REF!</definedName>
    <definedName name="Z_2D98D706_A306_4353_8B3D_DA92F9EAEC9A_.wvu.FilterData" localSheetId="22" hidden="1">#REF!</definedName>
    <definedName name="Z_2D98D706_A306_4353_8B3D_DA92F9EAEC9A_.wvu.FilterData" localSheetId="24" hidden="1">#REF!</definedName>
    <definedName name="Z_2D98D706_A306_4353_8B3D_DA92F9EAEC9A_.wvu.FilterData" localSheetId="23" hidden="1">#REF!</definedName>
    <definedName name="Z_2D98D706_A306_4353_8B3D_DA92F9EAEC9A_.wvu.FilterData" localSheetId="20" hidden="1">#REF!</definedName>
    <definedName name="Z_2D98D706_A306_4353_8B3D_DA92F9EAEC9A_.wvu.FilterData" localSheetId="19" hidden="1">#REF!</definedName>
    <definedName name="Z_2D98D706_A306_4353_8B3D_DA92F9EAEC9A_.wvu.FilterData" localSheetId="26" hidden="1">#REF!</definedName>
    <definedName name="Z_2D98D706_A306_4353_8B3D_DA92F9EAEC9A_.wvu.FilterData" localSheetId="27" hidden="1">#REF!</definedName>
    <definedName name="Z_2D98D706_A306_4353_8B3D_DA92F9EAEC9A_.wvu.FilterData" localSheetId="25" hidden="1">#REF!</definedName>
    <definedName name="Z_2D98D706_A306_4353_8B3D_DA92F9EAEC9A_.wvu.FilterData" localSheetId="7" hidden="1">#REF!</definedName>
    <definedName name="Z_2D98D706_A306_4353_8B3D_DA92F9EAEC9A_.wvu.FilterData" localSheetId="4" hidden="1">#REF!</definedName>
    <definedName name="Z_2D98D706_A306_4353_8B3D_DA92F9EAEC9A_.wvu.FilterData" localSheetId="5" hidden="1">#REF!</definedName>
    <definedName name="Z_2D98D706_A306_4353_8B3D_DA92F9EAEC9A_.wvu.FilterData" localSheetId="2" hidden="1">#REF!</definedName>
    <definedName name="Z_2D98D706_A306_4353_8B3D_DA92F9EAEC9A_.wvu.FilterData" localSheetId="3" hidden="1">#REF!</definedName>
    <definedName name="Z_2D98D706_A306_4353_8B3D_DA92F9EAEC9A_.wvu.FilterData" hidden="1">#REF!</definedName>
    <definedName name="Z_2F8736FC_F07E_49E8_9C13_8E0A0F5EFE5F_.wvu.FilterData" localSheetId="21" hidden="1">#REF!</definedName>
    <definedName name="Z_2F8736FC_F07E_49E8_9C13_8E0A0F5EFE5F_.wvu.FilterData" localSheetId="12" hidden="1">#REF!</definedName>
    <definedName name="Z_2F8736FC_F07E_49E8_9C13_8E0A0F5EFE5F_.wvu.FilterData" localSheetId="13" hidden="1">#REF!</definedName>
    <definedName name="Z_2F8736FC_F07E_49E8_9C13_8E0A0F5EFE5F_.wvu.FilterData" localSheetId="14" hidden="1">#REF!</definedName>
    <definedName name="Z_2F8736FC_F07E_49E8_9C13_8E0A0F5EFE5F_.wvu.FilterData" localSheetId="16" hidden="1">#REF!</definedName>
    <definedName name="Z_2F8736FC_F07E_49E8_9C13_8E0A0F5EFE5F_.wvu.FilterData" localSheetId="15" hidden="1">#REF!</definedName>
    <definedName name="Z_2F8736FC_F07E_49E8_9C13_8E0A0F5EFE5F_.wvu.FilterData" localSheetId="17" hidden="1">#REF!</definedName>
    <definedName name="Z_2F8736FC_F07E_49E8_9C13_8E0A0F5EFE5F_.wvu.FilterData" localSheetId="11" hidden="1">#REF!</definedName>
    <definedName name="Z_2F8736FC_F07E_49E8_9C13_8E0A0F5EFE5F_.wvu.FilterData" localSheetId="10" hidden="1">#REF!</definedName>
    <definedName name="Z_2F8736FC_F07E_49E8_9C13_8E0A0F5EFE5F_.wvu.FilterData" localSheetId="22" hidden="1">#REF!</definedName>
    <definedName name="Z_2F8736FC_F07E_49E8_9C13_8E0A0F5EFE5F_.wvu.FilterData" localSheetId="24" hidden="1">#REF!</definedName>
    <definedName name="Z_2F8736FC_F07E_49E8_9C13_8E0A0F5EFE5F_.wvu.FilterData" localSheetId="23" hidden="1">#REF!</definedName>
    <definedName name="Z_2F8736FC_F07E_49E8_9C13_8E0A0F5EFE5F_.wvu.FilterData" localSheetId="20" hidden="1">#REF!</definedName>
    <definedName name="Z_2F8736FC_F07E_49E8_9C13_8E0A0F5EFE5F_.wvu.FilterData" localSheetId="19" hidden="1">#REF!</definedName>
    <definedName name="Z_2F8736FC_F07E_49E8_9C13_8E0A0F5EFE5F_.wvu.FilterData" localSheetId="26" hidden="1">#REF!</definedName>
    <definedName name="Z_2F8736FC_F07E_49E8_9C13_8E0A0F5EFE5F_.wvu.FilterData" localSheetId="27" hidden="1">#REF!</definedName>
    <definedName name="Z_2F8736FC_F07E_49E8_9C13_8E0A0F5EFE5F_.wvu.FilterData" localSheetId="25" hidden="1">#REF!</definedName>
    <definedName name="Z_2F8736FC_F07E_49E8_9C13_8E0A0F5EFE5F_.wvu.FilterData" localSheetId="7" hidden="1">#REF!</definedName>
    <definedName name="Z_2F8736FC_F07E_49E8_9C13_8E0A0F5EFE5F_.wvu.FilterData" localSheetId="4" hidden="1">#REF!</definedName>
    <definedName name="Z_2F8736FC_F07E_49E8_9C13_8E0A0F5EFE5F_.wvu.FilterData" localSheetId="5" hidden="1">#REF!</definedName>
    <definedName name="Z_2F8736FC_F07E_49E8_9C13_8E0A0F5EFE5F_.wvu.FilterData" localSheetId="2" hidden="1">#REF!</definedName>
    <definedName name="Z_2F8736FC_F07E_49E8_9C13_8E0A0F5EFE5F_.wvu.FilterData" localSheetId="3" hidden="1">#REF!</definedName>
    <definedName name="Z_2F8736FC_F07E_49E8_9C13_8E0A0F5EFE5F_.wvu.FilterData" hidden="1">#REF!</definedName>
    <definedName name="Z_304C2F7A_D3A6_4DBA_A568_C3E56D7C6E2F_.wvu.FilterData" localSheetId="21" hidden="1">#REF!</definedName>
    <definedName name="Z_304C2F7A_D3A6_4DBA_A568_C3E56D7C6E2F_.wvu.FilterData" localSheetId="12" hidden="1">#REF!</definedName>
    <definedName name="Z_304C2F7A_D3A6_4DBA_A568_C3E56D7C6E2F_.wvu.FilterData" localSheetId="13" hidden="1">#REF!</definedName>
    <definedName name="Z_304C2F7A_D3A6_4DBA_A568_C3E56D7C6E2F_.wvu.FilterData" localSheetId="14" hidden="1">#REF!</definedName>
    <definedName name="Z_304C2F7A_D3A6_4DBA_A568_C3E56D7C6E2F_.wvu.FilterData" localSheetId="16" hidden="1">#REF!</definedName>
    <definedName name="Z_304C2F7A_D3A6_4DBA_A568_C3E56D7C6E2F_.wvu.FilterData" localSheetId="15" hidden="1">#REF!</definedName>
    <definedName name="Z_304C2F7A_D3A6_4DBA_A568_C3E56D7C6E2F_.wvu.FilterData" localSheetId="17" hidden="1">#REF!</definedName>
    <definedName name="Z_304C2F7A_D3A6_4DBA_A568_C3E56D7C6E2F_.wvu.FilterData" localSheetId="11" hidden="1">#REF!</definedName>
    <definedName name="Z_304C2F7A_D3A6_4DBA_A568_C3E56D7C6E2F_.wvu.FilterData" localSheetId="10" hidden="1">#REF!</definedName>
    <definedName name="Z_304C2F7A_D3A6_4DBA_A568_C3E56D7C6E2F_.wvu.FilterData" localSheetId="22" hidden="1">#REF!</definedName>
    <definedName name="Z_304C2F7A_D3A6_4DBA_A568_C3E56D7C6E2F_.wvu.FilterData" localSheetId="24" hidden="1">#REF!</definedName>
    <definedName name="Z_304C2F7A_D3A6_4DBA_A568_C3E56D7C6E2F_.wvu.FilterData" localSheetId="23" hidden="1">#REF!</definedName>
    <definedName name="Z_304C2F7A_D3A6_4DBA_A568_C3E56D7C6E2F_.wvu.FilterData" localSheetId="20" hidden="1">#REF!</definedName>
    <definedName name="Z_304C2F7A_D3A6_4DBA_A568_C3E56D7C6E2F_.wvu.FilterData" localSheetId="19" hidden="1">#REF!</definedName>
    <definedName name="Z_304C2F7A_D3A6_4DBA_A568_C3E56D7C6E2F_.wvu.FilterData" localSheetId="26" hidden="1">#REF!</definedName>
    <definedName name="Z_304C2F7A_D3A6_4DBA_A568_C3E56D7C6E2F_.wvu.FilterData" localSheetId="27" hidden="1">#REF!</definedName>
    <definedName name="Z_304C2F7A_D3A6_4DBA_A568_C3E56D7C6E2F_.wvu.FilterData" localSheetId="25" hidden="1">#REF!</definedName>
    <definedName name="Z_304C2F7A_D3A6_4DBA_A568_C3E56D7C6E2F_.wvu.FilterData" localSheetId="7" hidden="1">#REF!</definedName>
    <definedName name="Z_304C2F7A_D3A6_4DBA_A568_C3E56D7C6E2F_.wvu.FilterData" localSheetId="4" hidden="1">#REF!</definedName>
    <definedName name="Z_304C2F7A_D3A6_4DBA_A568_C3E56D7C6E2F_.wvu.FilterData" localSheetId="5" hidden="1">#REF!</definedName>
    <definedName name="Z_304C2F7A_D3A6_4DBA_A568_C3E56D7C6E2F_.wvu.FilterData" localSheetId="2" hidden="1">#REF!</definedName>
    <definedName name="Z_304C2F7A_D3A6_4DBA_A568_C3E56D7C6E2F_.wvu.FilterData" localSheetId="3" hidden="1">#REF!</definedName>
    <definedName name="Z_304C2F7A_D3A6_4DBA_A568_C3E56D7C6E2F_.wvu.FilterData" hidden="1">#REF!</definedName>
    <definedName name="Z_30E0ACE8_B29A_44E9_B542_E8C1CA3FD802_.wvu.FilterData" localSheetId="21" hidden="1">#REF!</definedName>
    <definedName name="Z_30E0ACE8_B29A_44E9_B542_E8C1CA3FD802_.wvu.FilterData" localSheetId="12" hidden="1">#REF!</definedName>
    <definedName name="Z_30E0ACE8_B29A_44E9_B542_E8C1CA3FD802_.wvu.FilterData" localSheetId="13" hidden="1">#REF!</definedName>
    <definedName name="Z_30E0ACE8_B29A_44E9_B542_E8C1CA3FD802_.wvu.FilterData" localSheetId="14" hidden="1">#REF!</definedName>
    <definedName name="Z_30E0ACE8_B29A_44E9_B542_E8C1CA3FD802_.wvu.FilterData" localSheetId="16" hidden="1">#REF!</definedName>
    <definedName name="Z_30E0ACE8_B29A_44E9_B542_E8C1CA3FD802_.wvu.FilterData" localSheetId="15" hidden="1">#REF!</definedName>
    <definedName name="Z_30E0ACE8_B29A_44E9_B542_E8C1CA3FD802_.wvu.FilterData" localSheetId="17" hidden="1">#REF!</definedName>
    <definedName name="Z_30E0ACE8_B29A_44E9_B542_E8C1CA3FD802_.wvu.FilterData" localSheetId="11" hidden="1">#REF!</definedName>
    <definedName name="Z_30E0ACE8_B29A_44E9_B542_E8C1CA3FD802_.wvu.FilterData" localSheetId="10" hidden="1">#REF!</definedName>
    <definedName name="Z_30E0ACE8_B29A_44E9_B542_E8C1CA3FD802_.wvu.FilterData" localSheetId="22" hidden="1">#REF!</definedName>
    <definedName name="Z_30E0ACE8_B29A_44E9_B542_E8C1CA3FD802_.wvu.FilterData" localSheetId="24" hidden="1">#REF!</definedName>
    <definedName name="Z_30E0ACE8_B29A_44E9_B542_E8C1CA3FD802_.wvu.FilterData" localSheetId="23" hidden="1">#REF!</definedName>
    <definedName name="Z_30E0ACE8_B29A_44E9_B542_E8C1CA3FD802_.wvu.FilterData" localSheetId="20" hidden="1">#REF!</definedName>
    <definedName name="Z_30E0ACE8_B29A_44E9_B542_E8C1CA3FD802_.wvu.FilterData" localSheetId="19" hidden="1">#REF!</definedName>
    <definedName name="Z_30E0ACE8_B29A_44E9_B542_E8C1CA3FD802_.wvu.FilterData" localSheetId="26" hidden="1">#REF!</definedName>
    <definedName name="Z_30E0ACE8_B29A_44E9_B542_E8C1CA3FD802_.wvu.FilterData" localSheetId="27" hidden="1">#REF!</definedName>
    <definedName name="Z_30E0ACE8_B29A_44E9_B542_E8C1CA3FD802_.wvu.FilterData" localSheetId="25" hidden="1">#REF!</definedName>
    <definedName name="Z_30E0ACE8_B29A_44E9_B542_E8C1CA3FD802_.wvu.FilterData" localSheetId="7" hidden="1">#REF!</definedName>
    <definedName name="Z_30E0ACE8_B29A_44E9_B542_E8C1CA3FD802_.wvu.FilterData" localSheetId="4" hidden="1">#REF!</definedName>
    <definedName name="Z_30E0ACE8_B29A_44E9_B542_E8C1CA3FD802_.wvu.FilterData" localSheetId="5" hidden="1">#REF!</definedName>
    <definedName name="Z_30E0ACE8_B29A_44E9_B542_E8C1CA3FD802_.wvu.FilterData" localSheetId="2" hidden="1">#REF!</definedName>
    <definedName name="Z_30E0ACE8_B29A_44E9_B542_E8C1CA3FD802_.wvu.FilterData" localSheetId="3" hidden="1">#REF!</definedName>
    <definedName name="Z_30E0ACE8_B29A_44E9_B542_E8C1CA3FD802_.wvu.FilterData" hidden="1">#REF!</definedName>
    <definedName name="Z_31A27EA2_D574_43B8_A671_7419A12151C9_.wvu.FilterData" localSheetId="21" hidden="1">#REF!</definedName>
    <definedName name="Z_31A27EA2_D574_43B8_A671_7419A12151C9_.wvu.FilterData" localSheetId="12" hidden="1">#REF!</definedName>
    <definedName name="Z_31A27EA2_D574_43B8_A671_7419A12151C9_.wvu.FilterData" localSheetId="13" hidden="1">#REF!</definedName>
    <definedName name="Z_31A27EA2_D574_43B8_A671_7419A12151C9_.wvu.FilterData" localSheetId="14" hidden="1">#REF!</definedName>
    <definedName name="Z_31A27EA2_D574_43B8_A671_7419A12151C9_.wvu.FilterData" localSheetId="16" hidden="1">#REF!</definedName>
    <definedName name="Z_31A27EA2_D574_43B8_A671_7419A12151C9_.wvu.FilterData" localSheetId="15" hidden="1">#REF!</definedName>
    <definedName name="Z_31A27EA2_D574_43B8_A671_7419A12151C9_.wvu.FilterData" localSheetId="17" hidden="1">#REF!</definedName>
    <definedName name="Z_31A27EA2_D574_43B8_A671_7419A12151C9_.wvu.FilterData" localSheetId="11" hidden="1">#REF!</definedName>
    <definedName name="Z_31A27EA2_D574_43B8_A671_7419A12151C9_.wvu.FilterData" localSheetId="10" hidden="1">#REF!</definedName>
    <definedName name="Z_31A27EA2_D574_43B8_A671_7419A12151C9_.wvu.FilterData" localSheetId="22" hidden="1">#REF!</definedName>
    <definedName name="Z_31A27EA2_D574_43B8_A671_7419A12151C9_.wvu.FilterData" localSheetId="24" hidden="1">#REF!</definedName>
    <definedName name="Z_31A27EA2_D574_43B8_A671_7419A12151C9_.wvu.FilterData" localSheetId="23" hidden="1">#REF!</definedName>
    <definedName name="Z_31A27EA2_D574_43B8_A671_7419A12151C9_.wvu.FilterData" localSheetId="20" hidden="1">#REF!</definedName>
    <definedName name="Z_31A27EA2_D574_43B8_A671_7419A12151C9_.wvu.FilterData" localSheetId="19" hidden="1">#REF!</definedName>
    <definedName name="Z_31A27EA2_D574_43B8_A671_7419A12151C9_.wvu.FilterData" localSheetId="26" hidden="1">#REF!</definedName>
    <definedName name="Z_31A27EA2_D574_43B8_A671_7419A12151C9_.wvu.FilterData" localSheetId="27" hidden="1">#REF!</definedName>
    <definedName name="Z_31A27EA2_D574_43B8_A671_7419A12151C9_.wvu.FilterData" localSheetId="25" hidden="1">#REF!</definedName>
    <definedName name="Z_31A27EA2_D574_43B8_A671_7419A12151C9_.wvu.FilterData" localSheetId="7" hidden="1">#REF!</definedName>
    <definedName name="Z_31A27EA2_D574_43B8_A671_7419A12151C9_.wvu.FilterData" localSheetId="4" hidden="1">#REF!</definedName>
    <definedName name="Z_31A27EA2_D574_43B8_A671_7419A12151C9_.wvu.FilterData" localSheetId="5" hidden="1">#REF!</definedName>
    <definedName name="Z_31A27EA2_D574_43B8_A671_7419A12151C9_.wvu.FilterData" localSheetId="2" hidden="1">#REF!</definedName>
    <definedName name="Z_31A27EA2_D574_43B8_A671_7419A12151C9_.wvu.FilterData" localSheetId="3" hidden="1">#REF!</definedName>
    <definedName name="Z_31A27EA2_D574_43B8_A671_7419A12151C9_.wvu.FilterData" hidden="1">#REF!</definedName>
    <definedName name="Z_32D1B352_62AB_4105_8DFC_EAA2DF743365_.wvu.FilterData" localSheetId="21" hidden="1">#REF!</definedName>
    <definedName name="Z_32D1B352_62AB_4105_8DFC_EAA2DF743365_.wvu.FilterData" localSheetId="12" hidden="1">#REF!</definedName>
    <definedName name="Z_32D1B352_62AB_4105_8DFC_EAA2DF743365_.wvu.FilterData" localSheetId="13" hidden="1">#REF!</definedName>
    <definedName name="Z_32D1B352_62AB_4105_8DFC_EAA2DF743365_.wvu.FilterData" localSheetId="14" hidden="1">#REF!</definedName>
    <definedName name="Z_32D1B352_62AB_4105_8DFC_EAA2DF743365_.wvu.FilterData" localSheetId="16" hidden="1">#REF!</definedName>
    <definedName name="Z_32D1B352_62AB_4105_8DFC_EAA2DF743365_.wvu.FilterData" localSheetId="15" hidden="1">#REF!</definedName>
    <definedName name="Z_32D1B352_62AB_4105_8DFC_EAA2DF743365_.wvu.FilterData" localSheetId="17" hidden="1">#REF!</definedName>
    <definedName name="Z_32D1B352_62AB_4105_8DFC_EAA2DF743365_.wvu.FilterData" localSheetId="11" hidden="1">#REF!</definedName>
    <definedName name="Z_32D1B352_62AB_4105_8DFC_EAA2DF743365_.wvu.FilterData" localSheetId="10" hidden="1">#REF!</definedName>
    <definedName name="Z_32D1B352_62AB_4105_8DFC_EAA2DF743365_.wvu.FilterData" localSheetId="22" hidden="1">#REF!</definedName>
    <definedName name="Z_32D1B352_62AB_4105_8DFC_EAA2DF743365_.wvu.FilterData" localSheetId="24" hidden="1">#REF!</definedName>
    <definedName name="Z_32D1B352_62AB_4105_8DFC_EAA2DF743365_.wvu.FilterData" localSheetId="23" hidden="1">#REF!</definedName>
    <definedName name="Z_32D1B352_62AB_4105_8DFC_EAA2DF743365_.wvu.FilterData" localSheetId="20" hidden="1">#REF!</definedName>
    <definedName name="Z_32D1B352_62AB_4105_8DFC_EAA2DF743365_.wvu.FilterData" localSheetId="19" hidden="1">#REF!</definedName>
    <definedName name="Z_32D1B352_62AB_4105_8DFC_EAA2DF743365_.wvu.FilterData" localSheetId="26" hidden="1">#REF!</definedName>
    <definedName name="Z_32D1B352_62AB_4105_8DFC_EAA2DF743365_.wvu.FilterData" localSheetId="27" hidden="1">#REF!</definedName>
    <definedName name="Z_32D1B352_62AB_4105_8DFC_EAA2DF743365_.wvu.FilterData" localSheetId="25" hidden="1">#REF!</definedName>
    <definedName name="Z_32D1B352_62AB_4105_8DFC_EAA2DF743365_.wvu.FilterData" localSheetId="7" hidden="1">#REF!</definedName>
    <definedName name="Z_32D1B352_62AB_4105_8DFC_EAA2DF743365_.wvu.FilterData" localSheetId="4" hidden="1">#REF!</definedName>
    <definedName name="Z_32D1B352_62AB_4105_8DFC_EAA2DF743365_.wvu.FilterData" localSheetId="5" hidden="1">#REF!</definedName>
    <definedName name="Z_32D1B352_62AB_4105_8DFC_EAA2DF743365_.wvu.FilterData" localSheetId="2" hidden="1">#REF!</definedName>
    <definedName name="Z_32D1B352_62AB_4105_8DFC_EAA2DF743365_.wvu.FilterData" localSheetId="3" hidden="1">#REF!</definedName>
    <definedName name="Z_32D1B352_62AB_4105_8DFC_EAA2DF743365_.wvu.FilterData" hidden="1">#REF!</definedName>
    <definedName name="Z_330DF436_5BED_40AF_AC51_73D268BD9DF4_.wvu.FilterData" localSheetId="21" hidden="1">#REF!</definedName>
    <definedName name="Z_330DF436_5BED_40AF_AC51_73D268BD9DF4_.wvu.FilterData" localSheetId="12" hidden="1">#REF!</definedName>
    <definedName name="Z_330DF436_5BED_40AF_AC51_73D268BD9DF4_.wvu.FilterData" localSheetId="13" hidden="1">#REF!</definedName>
    <definedName name="Z_330DF436_5BED_40AF_AC51_73D268BD9DF4_.wvu.FilterData" localSheetId="14" hidden="1">#REF!</definedName>
    <definedName name="Z_330DF436_5BED_40AF_AC51_73D268BD9DF4_.wvu.FilterData" localSheetId="16" hidden="1">#REF!</definedName>
    <definedName name="Z_330DF436_5BED_40AF_AC51_73D268BD9DF4_.wvu.FilterData" localSheetId="15" hidden="1">#REF!</definedName>
    <definedName name="Z_330DF436_5BED_40AF_AC51_73D268BD9DF4_.wvu.FilterData" localSheetId="17" hidden="1">#REF!</definedName>
    <definedName name="Z_330DF436_5BED_40AF_AC51_73D268BD9DF4_.wvu.FilterData" localSheetId="11" hidden="1">#REF!</definedName>
    <definedName name="Z_330DF436_5BED_40AF_AC51_73D268BD9DF4_.wvu.FilterData" localSheetId="10" hidden="1">#REF!</definedName>
    <definedName name="Z_330DF436_5BED_40AF_AC51_73D268BD9DF4_.wvu.FilterData" localSheetId="22" hidden="1">#REF!</definedName>
    <definedName name="Z_330DF436_5BED_40AF_AC51_73D268BD9DF4_.wvu.FilterData" localSheetId="24" hidden="1">#REF!</definedName>
    <definedName name="Z_330DF436_5BED_40AF_AC51_73D268BD9DF4_.wvu.FilterData" localSheetId="23" hidden="1">#REF!</definedName>
    <definedName name="Z_330DF436_5BED_40AF_AC51_73D268BD9DF4_.wvu.FilterData" localSheetId="20" hidden="1">#REF!</definedName>
    <definedName name="Z_330DF436_5BED_40AF_AC51_73D268BD9DF4_.wvu.FilterData" localSheetId="19" hidden="1">#REF!</definedName>
    <definedName name="Z_330DF436_5BED_40AF_AC51_73D268BD9DF4_.wvu.FilterData" localSheetId="26" hidden="1">#REF!</definedName>
    <definedName name="Z_330DF436_5BED_40AF_AC51_73D268BD9DF4_.wvu.FilterData" localSheetId="27" hidden="1">#REF!</definedName>
    <definedName name="Z_330DF436_5BED_40AF_AC51_73D268BD9DF4_.wvu.FilterData" localSheetId="25" hidden="1">#REF!</definedName>
    <definedName name="Z_330DF436_5BED_40AF_AC51_73D268BD9DF4_.wvu.FilterData" localSheetId="7" hidden="1">#REF!</definedName>
    <definedName name="Z_330DF436_5BED_40AF_AC51_73D268BD9DF4_.wvu.FilterData" localSheetId="4" hidden="1">#REF!</definedName>
    <definedName name="Z_330DF436_5BED_40AF_AC51_73D268BD9DF4_.wvu.FilterData" localSheetId="5" hidden="1">#REF!</definedName>
    <definedName name="Z_330DF436_5BED_40AF_AC51_73D268BD9DF4_.wvu.FilterData" localSheetId="2" hidden="1">#REF!</definedName>
    <definedName name="Z_330DF436_5BED_40AF_AC51_73D268BD9DF4_.wvu.FilterData" localSheetId="3" hidden="1">#REF!</definedName>
    <definedName name="Z_330DF436_5BED_40AF_AC51_73D268BD9DF4_.wvu.FilterData" hidden="1">#REF!</definedName>
    <definedName name="Z_33B8EF57_2FB1_4600_9590_B0A2F2FE409B_.wvu.FilterData" localSheetId="21" hidden="1">#REF!</definedName>
    <definedName name="Z_33B8EF57_2FB1_4600_9590_B0A2F2FE409B_.wvu.FilterData" localSheetId="12" hidden="1">#REF!</definedName>
    <definedName name="Z_33B8EF57_2FB1_4600_9590_B0A2F2FE409B_.wvu.FilterData" localSheetId="13" hidden="1">#REF!</definedName>
    <definedName name="Z_33B8EF57_2FB1_4600_9590_B0A2F2FE409B_.wvu.FilterData" localSheetId="14" hidden="1">#REF!</definedName>
    <definedName name="Z_33B8EF57_2FB1_4600_9590_B0A2F2FE409B_.wvu.FilterData" localSheetId="16" hidden="1">#REF!</definedName>
    <definedName name="Z_33B8EF57_2FB1_4600_9590_B0A2F2FE409B_.wvu.FilterData" localSheetId="15" hidden="1">#REF!</definedName>
    <definedName name="Z_33B8EF57_2FB1_4600_9590_B0A2F2FE409B_.wvu.FilterData" localSheetId="17" hidden="1">#REF!</definedName>
    <definedName name="Z_33B8EF57_2FB1_4600_9590_B0A2F2FE409B_.wvu.FilterData" localSheetId="11" hidden="1">#REF!</definedName>
    <definedName name="Z_33B8EF57_2FB1_4600_9590_B0A2F2FE409B_.wvu.FilterData" localSheetId="10" hidden="1">#REF!</definedName>
    <definedName name="Z_33B8EF57_2FB1_4600_9590_B0A2F2FE409B_.wvu.FilterData" localSheetId="22" hidden="1">#REF!</definedName>
    <definedName name="Z_33B8EF57_2FB1_4600_9590_B0A2F2FE409B_.wvu.FilterData" localSheetId="24" hidden="1">#REF!</definedName>
    <definedName name="Z_33B8EF57_2FB1_4600_9590_B0A2F2FE409B_.wvu.FilterData" localSheetId="23" hidden="1">#REF!</definedName>
    <definedName name="Z_33B8EF57_2FB1_4600_9590_B0A2F2FE409B_.wvu.FilterData" localSheetId="20" hidden="1">#REF!</definedName>
    <definedName name="Z_33B8EF57_2FB1_4600_9590_B0A2F2FE409B_.wvu.FilterData" localSheetId="19" hidden="1">#REF!</definedName>
    <definedName name="Z_33B8EF57_2FB1_4600_9590_B0A2F2FE409B_.wvu.FilterData" localSheetId="26" hidden="1">#REF!</definedName>
    <definedName name="Z_33B8EF57_2FB1_4600_9590_B0A2F2FE409B_.wvu.FilterData" localSheetId="27" hidden="1">#REF!</definedName>
    <definedName name="Z_33B8EF57_2FB1_4600_9590_B0A2F2FE409B_.wvu.FilterData" localSheetId="25" hidden="1">#REF!</definedName>
    <definedName name="Z_33B8EF57_2FB1_4600_9590_B0A2F2FE409B_.wvu.FilterData" localSheetId="7" hidden="1">#REF!</definedName>
    <definedName name="Z_33B8EF57_2FB1_4600_9590_B0A2F2FE409B_.wvu.FilterData" localSheetId="4" hidden="1">#REF!</definedName>
    <definedName name="Z_33B8EF57_2FB1_4600_9590_B0A2F2FE409B_.wvu.FilterData" localSheetId="5" hidden="1">#REF!</definedName>
    <definedName name="Z_33B8EF57_2FB1_4600_9590_B0A2F2FE409B_.wvu.FilterData" localSheetId="2" hidden="1">#REF!</definedName>
    <definedName name="Z_33B8EF57_2FB1_4600_9590_B0A2F2FE409B_.wvu.FilterData" localSheetId="3" hidden="1">#REF!</definedName>
    <definedName name="Z_33B8EF57_2FB1_4600_9590_B0A2F2FE409B_.wvu.FilterData" hidden="1">#REF!</definedName>
    <definedName name="Z_3404588C_6CE7_4C97_A62C_D19D9EE290D3_.wvu.FilterData" localSheetId="21" hidden="1">#REF!</definedName>
    <definedName name="Z_3404588C_6CE7_4C97_A62C_D19D9EE290D3_.wvu.FilterData" localSheetId="12" hidden="1">#REF!</definedName>
    <definedName name="Z_3404588C_6CE7_4C97_A62C_D19D9EE290D3_.wvu.FilterData" localSheetId="13" hidden="1">#REF!</definedName>
    <definedName name="Z_3404588C_6CE7_4C97_A62C_D19D9EE290D3_.wvu.FilterData" localSheetId="14" hidden="1">#REF!</definedName>
    <definedName name="Z_3404588C_6CE7_4C97_A62C_D19D9EE290D3_.wvu.FilterData" localSheetId="16" hidden="1">#REF!</definedName>
    <definedName name="Z_3404588C_6CE7_4C97_A62C_D19D9EE290D3_.wvu.FilterData" localSheetId="15" hidden="1">#REF!</definedName>
    <definedName name="Z_3404588C_6CE7_4C97_A62C_D19D9EE290D3_.wvu.FilterData" localSheetId="17" hidden="1">#REF!</definedName>
    <definedName name="Z_3404588C_6CE7_4C97_A62C_D19D9EE290D3_.wvu.FilterData" localSheetId="11" hidden="1">#REF!</definedName>
    <definedName name="Z_3404588C_6CE7_4C97_A62C_D19D9EE290D3_.wvu.FilterData" localSheetId="10" hidden="1">#REF!</definedName>
    <definedName name="Z_3404588C_6CE7_4C97_A62C_D19D9EE290D3_.wvu.FilterData" localSheetId="22" hidden="1">#REF!</definedName>
    <definedName name="Z_3404588C_6CE7_4C97_A62C_D19D9EE290D3_.wvu.FilterData" localSheetId="24" hidden="1">#REF!</definedName>
    <definedName name="Z_3404588C_6CE7_4C97_A62C_D19D9EE290D3_.wvu.FilterData" localSheetId="23" hidden="1">#REF!</definedName>
    <definedName name="Z_3404588C_6CE7_4C97_A62C_D19D9EE290D3_.wvu.FilterData" localSheetId="20" hidden="1">#REF!</definedName>
    <definedName name="Z_3404588C_6CE7_4C97_A62C_D19D9EE290D3_.wvu.FilterData" localSheetId="19" hidden="1">#REF!</definedName>
    <definedName name="Z_3404588C_6CE7_4C97_A62C_D19D9EE290D3_.wvu.FilterData" localSheetId="26" hidden="1">#REF!</definedName>
    <definedName name="Z_3404588C_6CE7_4C97_A62C_D19D9EE290D3_.wvu.FilterData" localSheetId="27" hidden="1">#REF!</definedName>
    <definedName name="Z_3404588C_6CE7_4C97_A62C_D19D9EE290D3_.wvu.FilterData" localSheetId="25" hidden="1">#REF!</definedName>
    <definedName name="Z_3404588C_6CE7_4C97_A62C_D19D9EE290D3_.wvu.FilterData" localSheetId="7" hidden="1">#REF!</definedName>
    <definedName name="Z_3404588C_6CE7_4C97_A62C_D19D9EE290D3_.wvu.FilterData" localSheetId="4" hidden="1">#REF!</definedName>
    <definedName name="Z_3404588C_6CE7_4C97_A62C_D19D9EE290D3_.wvu.FilterData" localSheetId="5" hidden="1">#REF!</definedName>
    <definedName name="Z_3404588C_6CE7_4C97_A62C_D19D9EE290D3_.wvu.FilterData" localSheetId="2" hidden="1">#REF!</definedName>
    <definedName name="Z_3404588C_6CE7_4C97_A62C_D19D9EE290D3_.wvu.FilterData" localSheetId="3" hidden="1">#REF!</definedName>
    <definedName name="Z_3404588C_6CE7_4C97_A62C_D19D9EE290D3_.wvu.FilterData" hidden="1">#REF!</definedName>
    <definedName name="Z_34E71878_8D1A_4343_91A1_3FE085136D2B_.wvu.FilterData" localSheetId="21" hidden="1">#REF!</definedName>
    <definedName name="Z_34E71878_8D1A_4343_91A1_3FE085136D2B_.wvu.FilterData" localSheetId="12" hidden="1">#REF!</definedName>
    <definedName name="Z_34E71878_8D1A_4343_91A1_3FE085136D2B_.wvu.FilterData" localSheetId="13" hidden="1">#REF!</definedName>
    <definedName name="Z_34E71878_8D1A_4343_91A1_3FE085136D2B_.wvu.FilterData" localSheetId="14" hidden="1">#REF!</definedName>
    <definedName name="Z_34E71878_8D1A_4343_91A1_3FE085136D2B_.wvu.FilterData" localSheetId="16" hidden="1">#REF!</definedName>
    <definedName name="Z_34E71878_8D1A_4343_91A1_3FE085136D2B_.wvu.FilterData" localSheetId="15" hidden="1">#REF!</definedName>
    <definedName name="Z_34E71878_8D1A_4343_91A1_3FE085136D2B_.wvu.FilterData" localSheetId="17" hidden="1">#REF!</definedName>
    <definedName name="Z_34E71878_8D1A_4343_91A1_3FE085136D2B_.wvu.FilterData" localSheetId="11" hidden="1">#REF!</definedName>
    <definedName name="Z_34E71878_8D1A_4343_91A1_3FE085136D2B_.wvu.FilterData" localSheetId="10" hidden="1">#REF!</definedName>
    <definedName name="Z_34E71878_8D1A_4343_91A1_3FE085136D2B_.wvu.FilterData" localSheetId="22" hidden="1">#REF!</definedName>
    <definedName name="Z_34E71878_8D1A_4343_91A1_3FE085136D2B_.wvu.FilterData" localSheetId="24" hidden="1">#REF!</definedName>
    <definedName name="Z_34E71878_8D1A_4343_91A1_3FE085136D2B_.wvu.FilterData" localSheetId="23" hidden="1">#REF!</definedName>
    <definedName name="Z_34E71878_8D1A_4343_91A1_3FE085136D2B_.wvu.FilterData" localSheetId="20" hidden="1">#REF!</definedName>
    <definedName name="Z_34E71878_8D1A_4343_91A1_3FE085136D2B_.wvu.FilterData" localSheetId="19" hidden="1">#REF!</definedName>
    <definedName name="Z_34E71878_8D1A_4343_91A1_3FE085136D2B_.wvu.FilterData" localSheetId="26" hidden="1">#REF!</definedName>
    <definedName name="Z_34E71878_8D1A_4343_91A1_3FE085136D2B_.wvu.FilterData" localSheetId="27" hidden="1">#REF!</definedName>
    <definedName name="Z_34E71878_8D1A_4343_91A1_3FE085136D2B_.wvu.FilterData" localSheetId="25" hidden="1">#REF!</definedName>
    <definedName name="Z_34E71878_8D1A_4343_91A1_3FE085136D2B_.wvu.FilterData" localSheetId="7" hidden="1">#REF!</definedName>
    <definedName name="Z_34E71878_8D1A_4343_91A1_3FE085136D2B_.wvu.FilterData" localSheetId="4" hidden="1">#REF!</definedName>
    <definedName name="Z_34E71878_8D1A_4343_91A1_3FE085136D2B_.wvu.FilterData" localSheetId="5" hidden="1">#REF!</definedName>
    <definedName name="Z_34E71878_8D1A_4343_91A1_3FE085136D2B_.wvu.FilterData" localSheetId="2" hidden="1">#REF!</definedName>
    <definedName name="Z_34E71878_8D1A_4343_91A1_3FE085136D2B_.wvu.FilterData" localSheetId="3" hidden="1">#REF!</definedName>
    <definedName name="Z_34E71878_8D1A_4343_91A1_3FE085136D2B_.wvu.FilterData" hidden="1">#REF!</definedName>
    <definedName name="Z_37611AA0_E86A_42C8_8705_108B25E060A1_.wvu.FilterData" localSheetId="21" hidden="1">#REF!</definedName>
    <definedName name="Z_37611AA0_E86A_42C8_8705_108B25E060A1_.wvu.FilterData" localSheetId="12" hidden="1">#REF!</definedName>
    <definedName name="Z_37611AA0_E86A_42C8_8705_108B25E060A1_.wvu.FilterData" localSheetId="13" hidden="1">#REF!</definedName>
    <definedName name="Z_37611AA0_E86A_42C8_8705_108B25E060A1_.wvu.FilterData" localSheetId="14" hidden="1">#REF!</definedName>
    <definedName name="Z_37611AA0_E86A_42C8_8705_108B25E060A1_.wvu.FilterData" localSheetId="16" hidden="1">#REF!</definedName>
    <definedName name="Z_37611AA0_E86A_42C8_8705_108B25E060A1_.wvu.FilterData" localSheetId="15" hidden="1">#REF!</definedName>
    <definedName name="Z_37611AA0_E86A_42C8_8705_108B25E060A1_.wvu.FilterData" localSheetId="17" hidden="1">#REF!</definedName>
    <definedName name="Z_37611AA0_E86A_42C8_8705_108B25E060A1_.wvu.FilterData" localSheetId="11" hidden="1">#REF!</definedName>
    <definedName name="Z_37611AA0_E86A_42C8_8705_108B25E060A1_.wvu.FilterData" localSheetId="10" hidden="1">#REF!</definedName>
    <definedName name="Z_37611AA0_E86A_42C8_8705_108B25E060A1_.wvu.FilterData" localSheetId="22" hidden="1">#REF!</definedName>
    <definedName name="Z_37611AA0_E86A_42C8_8705_108B25E060A1_.wvu.FilterData" localSheetId="24" hidden="1">#REF!</definedName>
    <definedName name="Z_37611AA0_E86A_42C8_8705_108B25E060A1_.wvu.FilterData" localSheetId="23" hidden="1">#REF!</definedName>
    <definedName name="Z_37611AA0_E86A_42C8_8705_108B25E060A1_.wvu.FilterData" localSheetId="20" hidden="1">#REF!</definedName>
    <definedName name="Z_37611AA0_E86A_42C8_8705_108B25E060A1_.wvu.FilterData" localSheetId="19" hidden="1">#REF!</definedName>
    <definedName name="Z_37611AA0_E86A_42C8_8705_108B25E060A1_.wvu.FilterData" localSheetId="26" hidden="1">#REF!</definedName>
    <definedName name="Z_37611AA0_E86A_42C8_8705_108B25E060A1_.wvu.FilterData" localSheetId="27" hidden="1">#REF!</definedName>
    <definedName name="Z_37611AA0_E86A_42C8_8705_108B25E060A1_.wvu.FilterData" localSheetId="25" hidden="1">#REF!</definedName>
    <definedName name="Z_37611AA0_E86A_42C8_8705_108B25E060A1_.wvu.FilterData" localSheetId="7" hidden="1">#REF!</definedName>
    <definedName name="Z_37611AA0_E86A_42C8_8705_108B25E060A1_.wvu.FilterData" localSheetId="4" hidden="1">#REF!</definedName>
    <definedName name="Z_37611AA0_E86A_42C8_8705_108B25E060A1_.wvu.FilterData" localSheetId="5" hidden="1">#REF!</definedName>
    <definedName name="Z_37611AA0_E86A_42C8_8705_108B25E060A1_.wvu.FilterData" localSheetId="2" hidden="1">#REF!</definedName>
    <definedName name="Z_37611AA0_E86A_42C8_8705_108B25E060A1_.wvu.FilterData" localSheetId="3" hidden="1">#REF!</definedName>
    <definedName name="Z_37611AA0_E86A_42C8_8705_108B25E060A1_.wvu.FilterData" hidden="1">#REF!</definedName>
    <definedName name="Z_38FE6CED_4C19_4332_9788_ACC902B20A46_.wvu.FilterData" localSheetId="21" hidden="1">#REF!</definedName>
    <definedName name="Z_38FE6CED_4C19_4332_9788_ACC902B20A46_.wvu.FilterData" localSheetId="12" hidden="1">#REF!</definedName>
    <definedName name="Z_38FE6CED_4C19_4332_9788_ACC902B20A46_.wvu.FilterData" localSheetId="13" hidden="1">#REF!</definedName>
    <definedName name="Z_38FE6CED_4C19_4332_9788_ACC902B20A46_.wvu.FilterData" localSheetId="14" hidden="1">#REF!</definedName>
    <definedName name="Z_38FE6CED_4C19_4332_9788_ACC902B20A46_.wvu.FilterData" localSheetId="16" hidden="1">#REF!</definedName>
    <definedName name="Z_38FE6CED_4C19_4332_9788_ACC902B20A46_.wvu.FilterData" localSheetId="15" hidden="1">#REF!</definedName>
    <definedName name="Z_38FE6CED_4C19_4332_9788_ACC902B20A46_.wvu.FilterData" localSheetId="17" hidden="1">#REF!</definedName>
    <definedName name="Z_38FE6CED_4C19_4332_9788_ACC902B20A46_.wvu.FilterData" localSheetId="11" hidden="1">#REF!</definedName>
    <definedName name="Z_38FE6CED_4C19_4332_9788_ACC902B20A46_.wvu.FilterData" localSheetId="10" hidden="1">#REF!</definedName>
    <definedName name="Z_38FE6CED_4C19_4332_9788_ACC902B20A46_.wvu.FilterData" localSheetId="22" hidden="1">#REF!</definedName>
    <definedName name="Z_38FE6CED_4C19_4332_9788_ACC902B20A46_.wvu.FilterData" localSheetId="24" hidden="1">#REF!</definedName>
    <definedName name="Z_38FE6CED_4C19_4332_9788_ACC902B20A46_.wvu.FilterData" localSheetId="23" hidden="1">#REF!</definedName>
    <definedName name="Z_38FE6CED_4C19_4332_9788_ACC902B20A46_.wvu.FilterData" localSheetId="20" hidden="1">#REF!</definedName>
    <definedName name="Z_38FE6CED_4C19_4332_9788_ACC902B20A46_.wvu.FilterData" localSheetId="19" hidden="1">#REF!</definedName>
    <definedName name="Z_38FE6CED_4C19_4332_9788_ACC902B20A46_.wvu.FilterData" localSheetId="26" hidden="1">#REF!</definedName>
    <definedName name="Z_38FE6CED_4C19_4332_9788_ACC902B20A46_.wvu.FilterData" localSheetId="27" hidden="1">#REF!</definedName>
    <definedName name="Z_38FE6CED_4C19_4332_9788_ACC902B20A46_.wvu.FilterData" localSheetId="25" hidden="1">#REF!</definedName>
    <definedName name="Z_38FE6CED_4C19_4332_9788_ACC902B20A46_.wvu.FilterData" localSheetId="7" hidden="1">#REF!</definedName>
    <definedName name="Z_38FE6CED_4C19_4332_9788_ACC902B20A46_.wvu.FilterData" localSheetId="4" hidden="1">#REF!</definedName>
    <definedName name="Z_38FE6CED_4C19_4332_9788_ACC902B20A46_.wvu.FilterData" localSheetId="5" hidden="1">#REF!</definedName>
    <definedName name="Z_38FE6CED_4C19_4332_9788_ACC902B20A46_.wvu.FilterData" localSheetId="2" hidden="1">#REF!</definedName>
    <definedName name="Z_38FE6CED_4C19_4332_9788_ACC902B20A46_.wvu.FilterData" localSheetId="3" hidden="1">#REF!</definedName>
    <definedName name="Z_38FE6CED_4C19_4332_9788_ACC902B20A46_.wvu.FilterData" hidden="1">#REF!</definedName>
    <definedName name="Z_394E75CB_4F7F_4C88_A08F_29E48E587341_.wvu.FilterData" localSheetId="21" hidden="1">#REF!</definedName>
    <definedName name="Z_394E75CB_4F7F_4C88_A08F_29E48E587341_.wvu.FilterData" localSheetId="12" hidden="1">#REF!</definedName>
    <definedName name="Z_394E75CB_4F7F_4C88_A08F_29E48E587341_.wvu.FilterData" localSheetId="13" hidden="1">#REF!</definedName>
    <definedName name="Z_394E75CB_4F7F_4C88_A08F_29E48E587341_.wvu.FilterData" localSheetId="14" hidden="1">#REF!</definedName>
    <definedName name="Z_394E75CB_4F7F_4C88_A08F_29E48E587341_.wvu.FilterData" localSheetId="16" hidden="1">#REF!</definedName>
    <definedName name="Z_394E75CB_4F7F_4C88_A08F_29E48E587341_.wvu.FilterData" localSheetId="15" hidden="1">#REF!</definedName>
    <definedName name="Z_394E75CB_4F7F_4C88_A08F_29E48E587341_.wvu.FilterData" localSheetId="17" hidden="1">#REF!</definedName>
    <definedName name="Z_394E75CB_4F7F_4C88_A08F_29E48E587341_.wvu.FilterData" localSheetId="11" hidden="1">#REF!</definedName>
    <definedName name="Z_394E75CB_4F7F_4C88_A08F_29E48E587341_.wvu.FilterData" localSheetId="10" hidden="1">#REF!</definedName>
    <definedName name="Z_394E75CB_4F7F_4C88_A08F_29E48E587341_.wvu.FilterData" localSheetId="22" hidden="1">#REF!</definedName>
    <definedName name="Z_394E75CB_4F7F_4C88_A08F_29E48E587341_.wvu.FilterData" localSheetId="24" hidden="1">#REF!</definedName>
    <definedName name="Z_394E75CB_4F7F_4C88_A08F_29E48E587341_.wvu.FilterData" localSheetId="23" hidden="1">#REF!</definedName>
    <definedName name="Z_394E75CB_4F7F_4C88_A08F_29E48E587341_.wvu.FilterData" localSheetId="20" hidden="1">#REF!</definedName>
    <definedName name="Z_394E75CB_4F7F_4C88_A08F_29E48E587341_.wvu.FilterData" localSheetId="19" hidden="1">#REF!</definedName>
    <definedName name="Z_394E75CB_4F7F_4C88_A08F_29E48E587341_.wvu.FilterData" localSheetId="26" hidden="1">#REF!</definedName>
    <definedName name="Z_394E75CB_4F7F_4C88_A08F_29E48E587341_.wvu.FilterData" localSheetId="27" hidden="1">#REF!</definedName>
    <definedName name="Z_394E75CB_4F7F_4C88_A08F_29E48E587341_.wvu.FilterData" localSheetId="25" hidden="1">#REF!</definedName>
    <definedName name="Z_394E75CB_4F7F_4C88_A08F_29E48E587341_.wvu.FilterData" localSheetId="7" hidden="1">#REF!</definedName>
    <definedName name="Z_394E75CB_4F7F_4C88_A08F_29E48E587341_.wvu.FilterData" localSheetId="4" hidden="1">#REF!</definedName>
    <definedName name="Z_394E75CB_4F7F_4C88_A08F_29E48E587341_.wvu.FilterData" localSheetId="5" hidden="1">#REF!</definedName>
    <definedName name="Z_394E75CB_4F7F_4C88_A08F_29E48E587341_.wvu.FilterData" localSheetId="2" hidden="1">#REF!</definedName>
    <definedName name="Z_394E75CB_4F7F_4C88_A08F_29E48E587341_.wvu.FilterData" localSheetId="3" hidden="1">#REF!</definedName>
    <definedName name="Z_394E75CB_4F7F_4C88_A08F_29E48E587341_.wvu.FilterData" hidden="1">#REF!</definedName>
    <definedName name="Z_3C200595_20A3_4A0C_B071_705F4AD5DAD3_.wvu.FilterData" localSheetId="21" hidden="1">#REF!</definedName>
    <definedName name="Z_3C200595_20A3_4A0C_B071_705F4AD5DAD3_.wvu.FilterData" localSheetId="12" hidden="1">#REF!</definedName>
    <definedName name="Z_3C200595_20A3_4A0C_B071_705F4AD5DAD3_.wvu.FilterData" localSheetId="13" hidden="1">#REF!</definedName>
    <definedName name="Z_3C200595_20A3_4A0C_B071_705F4AD5DAD3_.wvu.FilterData" localSheetId="14" hidden="1">#REF!</definedName>
    <definedName name="Z_3C200595_20A3_4A0C_B071_705F4AD5DAD3_.wvu.FilterData" localSheetId="16" hidden="1">#REF!</definedName>
    <definedName name="Z_3C200595_20A3_4A0C_B071_705F4AD5DAD3_.wvu.FilterData" localSheetId="15" hidden="1">#REF!</definedName>
    <definedName name="Z_3C200595_20A3_4A0C_B071_705F4AD5DAD3_.wvu.FilterData" localSheetId="17" hidden="1">#REF!</definedName>
    <definedName name="Z_3C200595_20A3_4A0C_B071_705F4AD5DAD3_.wvu.FilterData" localSheetId="11" hidden="1">#REF!</definedName>
    <definedName name="Z_3C200595_20A3_4A0C_B071_705F4AD5DAD3_.wvu.FilterData" localSheetId="10" hidden="1">#REF!</definedName>
    <definedName name="Z_3C200595_20A3_4A0C_B071_705F4AD5DAD3_.wvu.FilterData" localSheetId="22" hidden="1">#REF!</definedName>
    <definedName name="Z_3C200595_20A3_4A0C_B071_705F4AD5DAD3_.wvu.FilterData" localSheetId="24" hidden="1">#REF!</definedName>
    <definedName name="Z_3C200595_20A3_4A0C_B071_705F4AD5DAD3_.wvu.FilterData" localSheetId="23" hidden="1">#REF!</definedName>
    <definedName name="Z_3C200595_20A3_4A0C_B071_705F4AD5DAD3_.wvu.FilterData" localSheetId="20" hidden="1">#REF!</definedName>
    <definedName name="Z_3C200595_20A3_4A0C_B071_705F4AD5DAD3_.wvu.FilterData" localSheetId="19" hidden="1">#REF!</definedName>
    <definedName name="Z_3C200595_20A3_4A0C_B071_705F4AD5DAD3_.wvu.FilterData" localSheetId="26" hidden="1">#REF!</definedName>
    <definedName name="Z_3C200595_20A3_4A0C_B071_705F4AD5DAD3_.wvu.FilterData" localSheetId="27" hidden="1">#REF!</definedName>
    <definedName name="Z_3C200595_20A3_4A0C_B071_705F4AD5DAD3_.wvu.FilterData" localSheetId="25" hidden="1">#REF!</definedName>
    <definedName name="Z_3C200595_20A3_4A0C_B071_705F4AD5DAD3_.wvu.FilterData" localSheetId="7" hidden="1">#REF!</definedName>
    <definedName name="Z_3C200595_20A3_4A0C_B071_705F4AD5DAD3_.wvu.FilterData" localSheetId="4" hidden="1">#REF!</definedName>
    <definedName name="Z_3C200595_20A3_4A0C_B071_705F4AD5DAD3_.wvu.FilterData" localSheetId="5" hidden="1">#REF!</definedName>
    <definedName name="Z_3C200595_20A3_4A0C_B071_705F4AD5DAD3_.wvu.FilterData" localSheetId="2" hidden="1">#REF!</definedName>
    <definedName name="Z_3C200595_20A3_4A0C_B071_705F4AD5DAD3_.wvu.FilterData" localSheetId="3" hidden="1">#REF!</definedName>
    <definedName name="Z_3C200595_20A3_4A0C_B071_705F4AD5DAD3_.wvu.FilterData" hidden="1">#REF!</definedName>
    <definedName name="Z_3E93FF4A_0B7F_475C_A63C_54FBDB9DB4C5_.wvu.FilterData" localSheetId="21" hidden="1">#REF!</definedName>
    <definedName name="Z_3E93FF4A_0B7F_475C_A63C_54FBDB9DB4C5_.wvu.FilterData" localSheetId="12" hidden="1">#REF!</definedName>
    <definedName name="Z_3E93FF4A_0B7F_475C_A63C_54FBDB9DB4C5_.wvu.FilterData" localSheetId="13" hidden="1">#REF!</definedName>
    <definedName name="Z_3E93FF4A_0B7F_475C_A63C_54FBDB9DB4C5_.wvu.FilterData" localSheetId="14" hidden="1">#REF!</definedName>
    <definedName name="Z_3E93FF4A_0B7F_475C_A63C_54FBDB9DB4C5_.wvu.FilterData" localSheetId="16" hidden="1">#REF!</definedName>
    <definedName name="Z_3E93FF4A_0B7F_475C_A63C_54FBDB9DB4C5_.wvu.FilterData" localSheetId="15" hidden="1">#REF!</definedName>
    <definedName name="Z_3E93FF4A_0B7F_475C_A63C_54FBDB9DB4C5_.wvu.FilterData" localSheetId="17" hidden="1">#REF!</definedName>
    <definedName name="Z_3E93FF4A_0B7F_475C_A63C_54FBDB9DB4C5_.wvu.FilterData" localSheetId="11" hidden="1">#REF!</definedName>
    <definedName name="Z_3E93FF4A_0B7F_475C_A63C_54FBDB9DB4C5_.wvu.FilterData" localSheetId="10" hidden="1">#REF!</definedName>
    <definedName name="Z_3E93FF4A_0B7F_475C_A63C_54FBDB9DB4C5_.wvu.FilterData" localSheetId="22" hidden="1">#REF!</definedName>
    <definedName name="Z_3E93FF4A_0B7F_475C_A63C_54FBDB9DB4C5_.wvu.FilterData" localSheetId="24" hidden="1">#REF!</definedName>
    <definedName name="Z_3E93FF4A_0B7F_475C_A63C_54FBDB9DB4C5_.wvu.FilterData" localSheetId="23" hidden="1">#REF!</definedName>
    <definedName name="Z_3E93FF4A_0B7F_475C_A63C_54FBDB9DB4C5_.wvu.FilterData" localSheetId="20" hidden="1">#REF!</definedName>
    <definedName name="Z_3E93FF4A_0B7F_475C_A63C_54FBDB9DB4C5_.wvu.FilterData" localSheetId="19" hidden="1">#REF!</definedName>
    <definedName name="Z_3E93FF4A_0B7F_475C_A63C_54FBDB9DB4C5_.wvu.FilterData" localSheetId="26" hidden="1">#REF!</definedName>
    <definedName name="Z_3E93FF4A_0B7F_475C_A63C_54FBDB9DB4C5_.wvu.FilterData" localSheetId="27" hidden="1">#REF!</definedName>
    <definedName name="Z_3E93FF4A_0B7F_475C_A63C_54FBDB9DB4C5_.wvu.FilterData" localSheetId="25" hidden="1">#REF!</definedName>
    <definedName name="Z_3E93FF4A_0B7F_475C_A63C_54FBDB9DB4C5_.wvu.FilterData" localSheetId="7" hidden="1">#REF!</definedName>
    <definedName name="Z_3E93FF4A_0B7F_475C_A63C_54FBDB9DB4C5_.wvu.FilterData" localSheetId="4" hidden="1">#REF!</definedName>
    <definedName name="Z_3E93FF4A_0B7F_475C_A63C_54FBDB9DB4C5_.wvu.FilterData" localSheetId="5" hidden="1">#REF!</definedName>
    <definedName name="Z_3E93FF4A_0B7F_475C_A63C_54FBDB9DB4C5_.wvu.FilterData" localSheetId="2" hidden="1">#REF!</definedName>
    <definedName name="Z_3E93FF4A_0B7F_475C_A63C_54FBDB9DB4C5_.wvu.FilterData" localSheetId="3" hidden="1">#REF!</definedName>
    <definedName name="Z_3E93FF4A_0B7F_475C_A63C_54FBDB9DB4C5_.wvu.FilterData" hidden="1">#REF!</definedName>
    <definedName name="Z_3FF05DC4_CA9E_470D_A193_91785ACE00EF_.wvu.FilterData" localSheetId="21" hidden="1">#REF!</definedName>
    <definedName name="Z_3FF05DC4_CA9E_470D_A193_91785ACE00EF_.wvu.FilterData" localSheetId="12" hidden="1">#REF!</definedName>
    <definedName name="Z_3FF05DC4_CA9E_470D_A193_91785ACE00EF_.wvu.FilterData" localSheetId="13" hidden="1">#REF!</definedName>
    <definedName name="Z_3FF05DC4_CA9E_470D_A193_91785ACE00EF_.wvu.FilterData" localSheetId="14" hidden="1">#REF!</definedName>
    <definedName name="Z_3FF05DC4_CA9E_470D_A193_91785ACE00EF_.wvu.FilterData" localSheetId="16" hidden="1">#REF!</definedName>
    <definedName name="Z_3FF05DC4_CA9E_470D_A193_91785ACE00EF_.wvu.FilterData" localSheetId="15" hidden="1">#REF!</definedName>
    <definedName name="Z_3FF05DC4_CA9E_470D_A193_91785ACE00EF_.wvu.FilterData" localSheetId="17" hidden="1">#REF!</definedName>
    <definedName name="Z_3FF05DC4_CA9E_470D_A193_91785ACE00EF_.wvu.FilterData" localSheetId="11" hidden="1">#REF!</definedName>
    <definedName name="Z_3FF05DC4_CA9E_470D_A193_91785ACE00EF_.wvu.FilterData" localSheetId="10" hidden="1">#REF!</definedName>
    <definedName name="Z_3FF05DC4_CA9E_470D_A193_91785ACE00EF_.wvu.FilterData" localSheetId="22" hidden="1">#REF!</definedName>
    <definedName name="Z_3FF05DC4_CA9E_470D_A193_91785ACE00EF_.wvu.FilterData" localSheetId="24" hidden="1">#REF!</definedName>
    <definedName name="Z_3FF05DC4_CA9E_470D_A193_91785ACE00EF_.wvu.FilterData" localSheetId="23" hidden="1">#REF!</definedName>
    <definedName name="Z_3FF05DC4_CA9E_470D_A193_91785ACE00EF_.wvu.FilterData" localSheetId="20" hidden="1">#REF!</definedName>
    <definedName name="Z_3FF05DC4_CA9E_470D_A193_91785ACE00EF_.wvu.FilterData" localSheetId="19" hidden="1">#REF!</definedName>
    <definedName name="Z_3FF05DC4_CA9E_470D_A193_91785ACE00EF_.wvu.FilterData" localSheetId="26" hidden="1">#REF!</definedName>
    <definedName name="Z_3FF05DC4_CA9E_470D_A193_91785ACE00EF_.wvu.FilterData" localSheetId="27" hidden="1">#REF!</definedName>
    <definedName name="Z_3FF05DC4_CA9E_470D_A193_91785ACE00EF_.wvu.FilterData" localSheetId="25" hidden="1">#REF!</definedName>
    <definedName name="Z_3FF05DC4_CA9E_470D_A193_91785ACE00EF_.wvu.FilterData" localSheetId="7" hidden="1">#REF!</definedName>
    <definedName name="Z_3FF05DC4_CA9E_470D_A193_91785ACE00EF_.wvu.FilterData" localSheetId="4" hidden="1">#REF!</definedName>
    <definedName name="Z_3FF05DC4_CA9E_470D_A193_91785ACE00EF_.wvu.FilterData" localSheetId="5" hidden="1">#REF!</definedName>
    <definedName name="Z_3FF05DC4_CA9E_470D_A193_91785ACE00EF_.wvu.FilterData" localSheetId="2" hidden="1">#REF!</definedName>
    <definedName name="Z_3FF05DC4_CA9E_470D_A193_91785ACE00EF_.wvu.FilterData" localSheetId="3" hidden="1">#REF!</definedName>
    <definedName name="Z_3FF05DC4_CA9E_470D_A193_91785ACE00EF_.wvu.FilterData" hidden="1">#REF!</definedName>
    <definedName name="Z_43791B95_57D7_42F4_8815_D1B7E488543E_.wvu.FilterData" localSheetId="21" hidden="1">#REF!</definedName>
    <definedName name="Z_43791B95_57D7_42F4_8815_D1B7E488543E_.wvu.FilterData" localSheetId="12" hidden="1">#REF!</definedName>
    <definedName name="Z_43791B95_57D7_42F4_8815_D1B7E488543E_.wvu.FilterData" localSheetId="13" hidden="1">#REF!</definedName>
    <definedName name="Z_43791B95_57D7_42F4_8815_D1B7E488543E_.wvu.FilterData" localSheetId="14" hidden="1">#REF!</definedName>
    <definedName name="Z_43791B95_57D7_42F4_8815_D1B7E488543E_.wvu.FilterData" localSheetId="16" hidden="1">#REF!</definedName>
    <definedName name="Z_43791B95_57D7_42F4_8815_D1B7E488543E_.wvu.FilterData" localSheetId="15" hidden="1">#REF!</definedName>
    <definedName name="Z_43791B95_57D7_42F4_8815_D1B7E488543E_.wvu.FilterData" localSheetId="17" hidden="1">#REF!</definedName>
    <definedName name="Z_43791B95_57D7_42F4_8815_D1B7E488543E_.wvu.FilterData" localSheetId="11" hidden="1">#REF!</definedName>
    <definedName name="Z_43791B95_57D7_42F4_8815_D1B7E488543E_.wvu.FilterData" localSheetId="10" hidden="1">#REF!</definedName>
    <definedName name="Z_43791B95_57D7_42F4_8815_D1B7E488543E_.wvu.FilterData" localSheetId="22" hidden="1">#REF!</definedName>
    <definedName name="Z_43791B95_57D7_42F4_8815_D1B7E488543E_.wvu.FilterData" localSheetId="24" hidden="1">#REF!</definedName>
    <definedName name="Z_43791B95_57D7_42F4_8815_D1B7E488543E_.wvu.FilterData" localSheetId="23" hidden="1">#REF!</definedName>
    <definedName name="Z_43791B95_57D7_42F4_8815_D1B7E488543E_.wvu.FilterData" localSheetId="20" hidden="1">#REF!</definedName>
    <definedName name="Z_43791B95_57D7_42F4_8815_D1B7E488543E_.wvu.FilterData" localSheetId="19" hidden="1">#REF!</definedName>
    <definedName name="Z_43791B95_57D7_42F4_8815_D1B7E488543E_.wvu.FilterData" localSheetId="26" hidden="1">#REF!</definedName>
    <definedName name="Z_43791B95_57D7_42F4_8815_D1B7E488543E_.wvu.FilterData" localSheetId="27" hidden="1">#REF!</definedName>
    <definedName name="Z_43791B95_57D7_42F4_8815_D1B7E488543E_.wvu.FilterData" localSheetId="25" hidden="1">#REF!</definedName>
    <definedName name="Z_43791B95_57D7_42F4_8815_D1B7E488543E_.wvu.FilterData" localSheetId="7" hidden="1">#REF!</definedName>
    <definedName name="Z_43791B95_57D7_42F4_8815_D1B7E488543E_.wvu.FilterData" localSheetId="4" hidden="1">#REF!</definedName>
    <definedName name="Z_43791B95_57D7_42F4_8815_D1B7E488543E_.wvu.FilterData" localSheetId="5" hidden="1">#REF!</definedName>
    <definedName name="Z_43791B95_57D7_42F4_8815_D1B7E488543E_.wvu.FilterData" localSheetId="2" hidden="1">#REF!</definedName>
    <definedName name="Z_43791B95_57D7_42F4_8815_D1B7E488543E_.wvu.FilterData" localSheetId="3" hidden="1">#REF!</definedName>
    <definedName name="Z_43791B95_57D7_42F4_8815_D1B7E488543E_.wvu.FilterData" hidden="1">#REF!</definedName>
    <definedName name="Z_445AA90F_6D9B_40F5_8E1D_CE1EF57CF450_.wvu.FilterData" localSheetId="21" hidden="1">#REF!</definedName>
    <definedName name="Z_445AA90F_6D9B_40F5_8E1D_CE1EF57CF450_.wvu.FilterData" localSheetId="12" hidden="1">#REF!</definedName>
    <definedName name="Z_445AA90F_6D9B_40F5_8E1D_CE1EF57CF450_.wvu.FilterData" localSheetId="13" hidden="1">#REF!</definedName>
    <definedName name="Z_445AA90F_6D9B_40F5_8E1D_CE1EF57CF450_.wvu.FilterData" localSheetId="14" hidden="1">#REF!</definedName>
    <definedName name="Z_445AA90F_6D9B_40F5_8E1D_CE1EF57CF450_.wvu.FilterData" localSheetId="16" hidden="1">#REF!</definedName>
    <definedName name="Z_445AA90F_6D9B_40F5_8E1D_CE1EF57CF450_.wvu.FilterData" localSheetId="15" hidden="1">#REF!</definedName>
    <definedName name="Z_445AA90F_6D9B_40F5_8E1D_CE1EF57CF450_.wvu.FilterData" localSheetId="17" hidden="1">#REF!</definedName>
    <definedName name="Z_445AA90F_6D9B_40F5_8E1D_CE1EF57CF450_.wvu.FilterData" localSheetId="11" hidden="1">#REF!</definedName>
    <definedName name="Z_445AA90F_6D9B_40F5_8E1D_CE1EF57CF450_.wvu.FilterData" localSheetId="10" hidden="1">#REF!</definedName>
    <definedName name="Z_445AA90F_6D9B_40F5_8E1D_CE1EF57CF450_.wvu.FilterData" localSheetId="22" hidden="1">#REF!</definedName>
    <definedName name="Z_445AA90F_6D9B_40F5_8E1D_CE1EF57CF450_.wvu.FilterData" localSheetId="24" hidden="1">#REF!</definedName>
    <definedName name="Z_445AA90F_6D9B_40F5_8E1D_CE1EF57CF450_.wvu.FilterData" localSheetId="23" hidden="1">#REF!</definedName>
    <definedName name="Z_445AA90F_6D9B_40F5_8E1D_CE1EF57CF450_.wvu.FilterData" localSheetId="20" hidden="1">#REF!</definedName>
    <definedName name="Z_445AA90F_6D9B_40F5_8E1D_CE1EF57CF450_.wvu.FilterData" localSheetId="19" hidden="1">#REF!</definedName>
    <definedName name="Z_445AA90F_6D9B_40F5_8E1D_CE1EF57CF450_.wvu.FilterData" localSheetId="26" hidden="1">#REF!</definedName>
    <definedName name="Z_445AA90F_6D9B_40F5_8E1D_CE1EF57CF450_.wvu.FilterData" localSheetId="27" hidden="1">#REF!</definedName>
    <definedName name="Z_445AA90F_6D9B_40F5_8E1D_CE1EF57CF450_.wvu.FilterData" localSheetId="25" hidden="1">#REF!</definedName>
    <definedName name="Z_445AA90F_6D9B_40F5_8E1D_CE1EF57CF450_.wvu.FilterData" localSheetId="7" hidden="1">#REF!</definedName>
    <definedName name="Z_445AA90F_6D9B_40F5_8E1D_CE1EF57CF450_.wvu.FilterData" localSheetId="4" hidden="1">#REF!</definedName>
    <definedName name="Z_445AA90F_6D9B_40F5_8E1D_CE1EF57CF450_.wvu.FilterData" localSheetId="5" hidden="1">#REF!</definedName>
    <definedName name="Z_445AA90F_6D9B_40F5_8E1D_CE1EF57CF450_.wvu.FilterData" localSheetId="2" hidden="1">#REF!</definedName>
    <definedName name="Z_445AA90F_6D9B_40F5_8E1D_CE1EF57CF450_.wvu.FilterData" localSheetId="3" hidden="1">#REF!</definedName>
    <definedName name="Z_445AA90F_6D9B_40F5_8E1D_CE1EF57CF450_.wvu.FilterData" hidden="1">#REF!</definedName>
    <definedName name="Z_454E0C40_F84F_42A3_A371_6F23C1F38595_.wvu.FilterData" localSheetId="21" hidden="1">#REF!</definedName>
    <definedName name="Z_454E0C40_F84F_42A3_A371_6F23C1F38595_.wvu.FilterData" localSheetId="12" hidden="1">#REF!</definedName>
    <definedName name="Z_454E0C40_F84F_42A3_A371_6F23C1F38595_.wvu.FilterData" localSheetId="13" hidden="1">#REF!</definedName>
    <definedName name="Z_454E0C40_F84F_42A3_A371_6F23C1F38595_.wvu.FilterData" localSheetId="14" hidden="1">#REF!</definedName>
    <definedName name="Z_454E0C40_F84F_42A3_A371_6F23C1F38595_.wvu.FilterData" localSheetId="16" hidden="1">#REF!</definedName>
    <definedName name="Z_454E0C40_F84F_42A3_A371_6F23C1F38595_.wvu.FilterData" localSheetId="15" hidden="1">#REF!</definedName>
    <definedName name="Z_454E0C40_F84F_42A3_A371_6F23C1F38595_.wvu.FilterData" localSheetId="17" hidden="1">#REF!</definedName>
    <definedName name="Z_454E0C40_F84F_42A3_A371_6F23C1F38595_.wvu.FilterData" localSheetId="11" hidden="1">#REF!</definedName>
    <definedName name="Z_454E0C40_F84F_42A3_A371_6F23C1F38595_.wvu.FilterData" localSheetId="10" hidden="1">#REF!</definedName>
    <definedName name="Z_454E0C40_F84F_42A3_A371_6F23C1F38595_.wvu.FilterData" localSheetId="22" hidden="1">#REF!</definedName>
    <definedName name="Z_454E0C40_F84F_42A3_A371_6F23C1F38595_.wvu.FilterData" localSheetId="24" hidden="1">#REF!</definedName>
    <definedName name="Z_454E0C40_F84F_42A3_A371_6F23C1F38595_.wvu.FilterData" localSheetId="23" hidden="1">#REF!</definedName>
    <definedName name="Z_454E0C40_F84F_42A3_A371_6F23C1F38595_.wvu.FilterData" localSheetId="20" hidden="1">#REF!</definedName>
    <definedName name="Z_454E0C40_F84F_42A3_A371_6F23C1F38595_.wvu.FilterData" localSheetId="19" hidden="1">#REF!</definedName>
    <definedName name="Z_454E0C40_F84F_42A3_A371_6F23C1F38595_.wvu.FilterData" localSheetId="26" hidden="1">#REF!</definedName>
    <definedName name="Z_454E0C40_F84F_42A3_A371_6F23C1F38595_.wvu.FilterData" localSheetId="27" hidden="1">#REF!</definedName>
    <definedName name="Z_454E0C40_F84F_42A3_A371_6F23C1F38595_.wvu.FilterData" localSheetId="25" hidden="1">#REF!</definedName>
    <definedName name="Z_454E0C40_F84F_42A3_A371_6F23C1F38595_.wvu.FilterData" localSheetId="7" hidden="1">#REF!</definedName>
    <definedName name="Z_454E0C40_F84F_42A3_A371_6F23C1F38595_.wvu.FilterData" localSheetId="4" hidden="1">#REF!</definedName>
    <definedName name="Z_454E0C40_F84F_42A3_A371_6F23C1F38595_.wvu.FilterData" localSheetId="5" hidden="1">#REF!</definedName>
    <definedName name="Z_454E0C40_F84F_42A3_A371_6F23C1F38595_.wvu.FilterData" localSheetId="2" hidden="1">#REF!</definedName>
    <definedName name="Z_454E0C40_F84F_42A3_A371_6F23C1F38595_.wvu.FilterData" localSheetId="3" hidden="1">#REF!</definedName>
    <definedName name="Z_454E0C40_F84F_42A3_A371_6F23C1F38595_.wvu.FilterData" hidden="1">#REF!</definedName>
    <definedName name="Z_4608FCB3_3552_4D58_B6CE_B8F34D78221E_.wvu.FilterData" localSheetId="21" hidden="1">#REF!</definedName>
    <definedName name="Z_4608FCB3_3552_4D58_B6CE_B8F34D78221E_.wvu.FilterData" localSheetId="12" hidden="1">#REF!</definedName>
    <definedName name="Z_4608FCB3_3552_4D58_B6CE_B8F34D78221E_.wvu.FilterData" localSheetId="13" hidden="1">#REF!</definedName>
    <definedName name="Z_4608FCB3_3552_4D58_B6CE_B8F34D78221E_.wvu.FilterData" localSheetId="14" hidden="1">#REF!</definedName>
    <definedName name="Z_4608FCB3_3552_4D58_B6CE_B8F34D78221E_.wvu.FilterData" localSheetId="16" hidden="1">#REF!</definedName>
    <definedName name="Z_4608FCB3_3552_4D58_B6CE_B8F34D78221E_.wvu.FilterData" localSheetId="15" hidden="1">#REF!</definedName>
    <definedName name="Z_4608FCB3_3552_4D58_B6CE_B8F34D78221E_.wvu.FilterData" localSheetId="17" hidden="1">#REF!</definedName>
    <definedName name="Z_4608FCB3_3552_4D58_B6CE_B8F34D78221E_.wvu.FilterData" localSheetId="11" hidden="1">#REF!</definedName>
    <definedName name="Z_4608FCB3_3552_4D58_B6CE_B8F34D78221E_.wvu.FilterData" localSheetId="10" hidden="1">#REF!</definedName>
    <definedName name="Z_4608FCB3_3552_4D58_B6CE_B8F34D78221E_.wvu.FilterData" localSheetId="22" hidden="1">#REF!</definedName>
    <definedName name="Z_4608FCB3_3552_4D58_B6CE_B8F34D78221E_.wvu.FilterData" localSheetId="24" hidden="1">#REF!</definedName>
    <definedName name="Z_4608FCB3_3552_4D58_B6CE_B8F34D78221E_.wvu.FilterData" localSheetId="23" hidden="1">#REF!</definedName>
    <definedName name="Z_4608FCB3_3552_4D58_B6CE_B8F34D78221E_.wvu.FilterData" localSheetId="20" hidden="1">#REF!</definedName>
    <definedName name="Z_4608FCB3_3552_4D58_B6CE_B8F34D78221E_.wvu.FilterData" localSheetId="19" hidden="1">#REF!</definedName>
    <definedName name="Z_4608FCB3_3552_4D58_B6CE_B8F34D78221E_.wvu.FilterData" localSheetId="26" hidden="1">#REF!</definedName>
    <definedName name="Z_4608FCB3_3552_4D58_B6CE_B8F34D78221E_.wvu.FilterData" localSheetId="27" hidden="1">#REF!</definedName>
    <definedName name="Z_4608FCB3_3552_4D58_B6CE_B8F34D78221E_.wvu.FilterData" localSheetId="25" hidden="1">#REF!</definedName>
    <definedName name="Z_4608FCB3_3552_4D58_B6CE_B8F34D78221E_.wvu.FilterData" localSheetId="7" hidden="1">#REF!</definedName>
    <definedName name="Z_4608FCB3_3552_4D58_B6CE_B8F34D78221E_.wvu.FilterData" localSheetId="4" hidden="1">#REF!</definedName>
    <definedName name="Z_4608FCB3_3552_4D58_B6CE_B8F34D78221E_.wvu.FilterData" localSheetId="5" hidden="1">#REF!</definedName>
    <definedName name="Z_4608FCB3_3552_4D58_B6CE_B8F34D78221E_.wvu.FilterData" localSheetId="2" hidden="1">#REF!</definedName>
    <definedName name="Z_4608FCB3_3552_4D58_B6CE_B8F34D78221E_.wvu.FilterData" localSheetId="3" hidden="1">#REF!</definedName>
    <definedName name="Z_4608FCB3_3552_4D58_B6CE_B8F34D78221E_.wvu.FilterData" hidden="1">#REF!</definedName>
    <definedName name="Z_46E47F7C_9185_4E39_BED5_B4A69FF64CC1_.wvu.FilterData" localSheetId="21" hidden="1">#REF!</definedName>
    <definedName name="Z_46E47F7C_9185_4E39_BED5_B4A69FF64CC1_.wvu.FilterData" localSheetId="12" hidden="1">#REF!</definedName>
    <definedName name="Z_46E47F7C_9185_4E39_BED5_B4A69FF64CC1_.wvu.FilterData" localSheetId="13" hidden="1">#REF!</definedName>
    <definedName name="Z_46E47F7C_9185_4E39_BED5_B4A69FF64CC1_.wvu.FilterData" localSheetId="14" hidden="1">#REF!</definedName>
    <definedName name="Z_46E47F7C_9185_4E39_BED5_B4A69FF64CC1_.wvu.FilterData" localSheetId="16" hidden="1">#REF!</definedName>
    <definedName name="Z_46E47F7C_9185_4E39_BED5_B4A69FF64CC1_.wvu.FilterData" localSheetId="15" hidden="1">#REF!</definedName>
    <definedName name="Z_46E47F7C_9185_4E39_BED5_B4A69FF64CC1_.wvu.FilterData" localSheetId="17" hidden="1">#REF!</definedName>
    <definedName name="Z_46E47F7C_9185_4E39_BED5_B4A69FF64CC1_.wvu.FilterData" localSheetId="11" hidden="1">#REF!</definedName>
    <definedName name="Z_46E47F7C_9185_4E39_BED5_B4A69FF64CC1_.wvu.FilterData" localSheetId="10" hidden="1">#REF!</definedName>
    <definedName name="Z_46E47F7C_9185_4E39_BED5_B4A69FF64CC1_.wvu.FilterData" localSheetId="22" hidden="1">#REF!</definedName>
    <definedName name="Z_46E47F7C_9185_4E39_BED5_B4A69FF64CC1_.wvu.FilterData" localSheetId="24" hidden="1">#REF!</definedName>
    <definedName name="Z_46E47F7C_9185_4E39_BED5_B4A69FF64CC1_.wvu.FilterData" localSheetId="23" hidden="1">#REF!</definedName>
    <definedName name="Z_46E47F7C_9185_4E39_BED5_B4A69FF64CC1_.wvu.FilterData" localSheetId="20" hidden="1">#REF!</definedName>
    <definedName name="Z_46E47F7C_9185_4E39_BED5_B4A69FF64CC1_.wvu.FilterData" localSheetId="19" hidden="1">#REF!</definedName>
    <definedName name="Z_46E47F7C_9185_4E39_BED5_B4A69FF64CC1_.wvu.FilterData" localSheetId="26" hidden="1">#REF!</definedName>
    <definedName name="Z_46E47F7C_9185_4E39_BED5_B4A69FF64CC1_.wvu.FilterData" localSheetId="27" hidden="1">#REF!</definedName>
    <definedName name="Z_46E47F7C_9185_4E39_BED5_B4A69FF64CC1_.wvu.FilterData" localSheetId="25" hidden="1">#REF!</definedName>
    <definedName name="Z_46E47F7C_9185_4E39_BED5_B4A69FF64CC1_.wvu.FilterData" localSheetId="7" hidden="1">#REF!</definedName>
    <definedName name="Z_46E47F7C_9185_4E39_BED5_B4A69FF64CC1_.wvu.FilterData" localSheetId="4" hidden="1">#REF!</definedName>
    <definedName name="Z_46E47F7C_9185_4E39_BED5_B4A69FF64CC1_.wvu.FilterData" localSheetId="5" hidden="1">#REF!</definedName>
    <definedName name="Z_46E47F7C_9185_4E39_BED5_B4A69FF64CC1_.wvu.FilterData" localSheetId="2" hidden="1">#REF!</definedName>
    <definedName name="Z_46E47F7C_9185_4E39_BED5_B4A69FF64CC1_.wvu.FilterData" localSheetId="3" hidden="1">#REF!</definedName>
    <definedName name="Z_46E47F7C_9185_4E39_BED5_B4A69FF64CC1_.wvu.FilterData" hidden="1">#REF!</definedName>
    <definedName name="Z_48202D5D_77CB_41DE_8C59_9325C98D7C97_.wvu.FilterData" localSheetId="21" hidden="1">#REF!</definedName>
    <definedName name="Z_48202D5D_77CB_41DE_8C59_9325C98D7C97_.wvu.FilterData" localSheetId="12" hidden="1">#REF!</definedName>
    <definedName name="Z_48202D5D_77CB_41DE_8C59_9325C98D7C97_.wvu.FilterData" localSheetId="13" hidden="1">#REF!</definedName>
    <definedName name="Z_48202D5D_77CB_41DE_8C59_9325C98D7C97_.wvu.FilterData" localSheetId="14" hidden="1">#REF!</definedName>
    <definedName name="Z_48202D5D_77CB_41DE_8C59_9325C98D7C97_.wvu.FilterData" localSheetId="16" hidden="1">#REF!</definedName>
    <definedName name="Z_48202D5D_77CB_41DE_8C59_9325C98D7C97_.wvu.FilterData" localSheetId="15" hidden="1">#REF!</definedName>
    <definedName name="Z_48202D5D_77CB_41DE_8C59_9325C98D7C97_.wvu.FilterData" localSheetId="17" hidden="1">#REF!</definedName>
    <definedName name="Z_48202D5D_77CB_41DE_8C59_9325C98D7C97_.wvu.FilterData" localSheetId="11" hidden="1">#REF!</definedName>
    <definedName name="Z_48202D5D_77CB_41DE_8C59_9325C98D7C97_.wvu.FilterData" localSheetId="10" hidden="1">#REF!</definedName>
    <definedName name="Z_48202D5D_77CB_41DE_8C59_9325C98D7C97_.wvu.FilterData" localSheetId="22" hidden="1">#REF!</definedName>
    <definedName name="Z_48202D5D_77CB_41DE_8C59_9325C98D7C97_.wvu.FilterData" localSheetId="24" hidden="1">#REF!</definedName>
    <definedName name="Z_48202D5D_77CB_41DE_8C59_9325C98D7C97_.wvu.FilterData" localSheetId="23" hidden="1">#REF!</definedName>
    <definedName name="Z_48202D5D_77CB_41DE_8C59_9325C98D7C97_.wvu.FilterData" localSheetId="20" hidden="1">#REF!</definedName>
    <definedName name="Z_48202D5D_77CB_41DE_8C59_9325C98D7C97_.wvu.FilterData" localSheetId="19" hidden="1">#REF!</definedName>
    <definedName name="Z_48202D5D_77CB_41DE_8C59_9325C98D7C97_.wvu.FilterData" localSheetId="26" hidden="1">#REF!</definedName>
    <definedName name="Z_48202D5D_77CB_41DE_8C59_9325C98D7C97_.wvu.FilterData" localSheetId="27" hidden="1">#REF!</definedName>
    <definedName name="Z_48202D5D_77CB_41DE_8C59_9325C98D7C97_.wvu.FilterData" localSheetId="25" hidden="1">#REF!</definedName>
    <definedName name="Z_48202D5D_77CB_41DE_8C59_9325C98D7C97_.wvu.FilterData" localSheetId="7" hidden="1">#REF!</definedName>
    <definedName name="Z_48202D5D_77CB_41DE_8C59_9325C98D7C97_.wvu.FilterData" localSheetId="4" hidden="1">#REF!</definedName>
    <definedName name="Z_48202D5D_77CB_41DE_8C59_9325C98D7C97_.wvu.FilterData" localSheetId="5" hidden="1">#REF!</definedName>
    <definedName name="Z_48202D5D_77CB_41DE_8C59_9325C98D7C97_.wvu.FilterData" localSheetId="2" hidden="1">#REF!</definedName>
    <definedName name="Z_48202D5D_77CB_41DE_8C59_9325C98D7C97_.wvu.FilterData" localSheetId="3" hidden="1">#REF!</definedName>
    <definedName name="Z_48202D5D_77CB_41DE_8C59_9325C98D7C97_.wvu.FilterData" hidden="1">#REF!</definedName>
    <definedName name="Z_48824DFE_B714_4D0B_9E95_F01C5BAD5D1F_.wvu.FilterData" localSheetId="21" hidden="1">#REF!</definedName>
    <definedName name="Z_48824DFE_B714_4D0B_9E95_F01C5BAD5D1F_.wvu.FilterData" localSheetId="12" hidden="1">#REF!</definedName>
    <definedName name="Z_48824DFE_B714_4D0B_9E95_F01C5BAD5D1F_.wvu.FilterData" localSheetId="13" hidden="1">#REF!</definedName>
    <definedName name="Z_48824DFE_B714_4D0B_9E95_F01C5BAD5D1F_.wvu.FilterData" localSheetId="14" hidden="1">#REF!</definedName>
    <definedName name="Z_48824DFE_B714_4D0B_9E95_F01C5BAD5D1F_.wvu.FilterData" localSheetId="16" hidden="1">#REF!</definedName>
    <definedName name="Z_48824DFE_B714_4D0B_9E95_F01C5BAD5D1F_.wvu.FilterData" localSheetId="15" hidden="1">#REF!</definedName>
    <definedName name="Z_48824DFE_B714_4D0B_9E95_F01C5BAD5D1F_.wvu.FilterData" localSheetId="17" hidden="1">#REF!</definedName>
    <definedName name="Z_48824DFE_B714_4D0B_9E95_F01C5BAD5D1F_.wvu.FilterData" localSheetId="11" hidden="1">#REF!</definedName>
    <definedName name="Z_48824DFE_B714_4D0B_9E95_F01C5BAD5D1F_.wvu.FilterData" localSheetId="10" hidden="1">#REF!</definedName>
    <definedName name="Z_48824DFE_B714_4D0B_9E95_F01C5BAD5D1F_.wvu.FilterData" localSheetId="22" hidden="1">#REF!</definedName>
    <definedName name="Z_48824DFE_B714_4D0B_9E95_F01C5BAD5D1F_.wvu.FilterData" localSheetId="24" hidden="1">#REF!</definedName>
    <definedName name="Z_48824DFE_B714_4D0B_9E95_F01C5BAD5D1F_.wvu.FilterData" localSheetId="23" hidden="1">#REF!</definedName>
    <definedName name="Z_48824DFE_B714_4D0B_9E95_F01C5BAD5D1F_.wvu.FilterData" localSheetId="20" hidden="1">#REF!</definedName>
    <definedName name="Z_48824DFE_B714_4D0B_9E95_F01C5BAD5D1F_.wvu.FilterData" localSheetId="19" hidden="1">#REF!</definedName>
    <definedName name="Z_48824DFE_B714_4D0B_9E95_F01C5BAD5D1F_.wvu.FilterData" localSheetId="26" hidden="1">#REF!</definedName>
    <definedName name="Z_48824DFE_B714_4D0B_9E95_F01C5BAD5D1F_.wvu.FilterData" localSheetId="27" hidden="1">#REF!</definedName>
    <definedName name="Z_48824DFE_B714_4D0B_9E95_F01C5BAD5D1F_.wvu.FilterData" localSheetId="25" hidden="1">#REF!</definedName>
    <definedName name="Z_48824DFE_B714_4D0B_9E95_F01C5BAD5D1F_.wvu.FilterData" localSheetId="7" hidden="1">#REF!</definedName>
    <definedName name="Z_48824DFE_B714_4D0B_9E95_F01C5BAD5D1F_.wvu.FilterData" localSheetId="4" hidden="1">#REF!</definedName>
    <definedName name="Z_48824DFE_B714_4D0B_9E95_F01C5BAD5D1F_.wvu.FilterData" localSheetId="5" hidden="1">#REF!</definedName>
    <definedName name="Z_48824DFE_B714_4D0B_9E95_F01C5BAD5D1F_.wvu.FilterData" localSheetId="2" hidden="1">#REF!</definedName>
    <definedName name="Z_48824DFE_B714_4D0B_9E95_F01C5BAD5D1F_.wvu.FilterData" localSheetId="3" hidden="1">#REF!</definedName>
    <definedName name="Z_48824DFE_B714_4D0B_9E95_F01C5BAD5D1F_.wvu.FilterData" hidden="1">#REF!</definedName>
    <definedName name="Z_4C45D885_33EE_4DA9_BF96_6B10CFBA5596_.wvu.FilterData" localSheetId="21" hidden="1">#REF!</definedName>
    <definedName name="Z_4C45D885_33EE_4DA9_BF96_6B10CFBA5596_.wvu.FilterData" localSheetId="12" hidden="1">#REF!</definedName>
    <definedName name="Z_4C45D885_33EE_4DA9_BF96_6B10CFBA5596_.wvu.FilterData" localSheetId="13" hidden="1">#REF!</definedName>
    <definedName name="Z_4C45D885_33EE_4DA9_BF96_6B10CFBA5596_.wvu.FilterData" localSheetId="14" hidden="1">#REF!</definedName>
    <definedName name="Z_4C45D885_33EE_4DA9_BF96_6B10CFBA5596_.wvu.FilterData" localSheetId="16" hidden="1">#REF!</definedName>
    <definedName name="Z_4C45D885_33EE_4DA9_BF96_6B10CFBA5596_.wvu.FilterData" localSheetId="15" hidden="1">#REF!</definedName>
    <definedName name="Z_4C45D885_33EE_4DA9_BF96_6B10CFBA5596_.wvu.FilterData" localSheetId="17" hidden="1">#REF!</definedName>
    <definedName name="Z_4C45D885_33EE_4DA9_BF96_6B10CFBA5596_.wvu.FilterData" localSheetId="11" hidden="1">#REF!</definedName>
    <definedName name="Z_4C45D885_33EE_4DA9_BF96_6B10CFBA5596_.wvu.FilterData" localSheetId="10" hidden="1">#REF!</definedName>
    <definedName name="Z_4C45D885_33EE_4DA9_BF96_6B10CFBA5596_.wvu.FilterData" localSheetId="22" hidden="1">#REF!</definedName>
    <definedName name="Z_4C45D885_33EE_4DA9_BF96_6B10CFBA5596_.wvu.FilterData" localSheetId="24" hidden="1">#REF!</definedName>
    <definedName name="Z_4C45D885_33EE_4DA9_BF96_6B10CFBA5596_.wvu.FilterData" localSheetId="23" hidden="1">#REF!</definedName>
    <definedName name="Z_4C45D885_33EE_4DA9_BF96_6B10CFBA5596_.wvu.FilterData" localSheetId="20" hidden="1">#REF!</definedName>
    <definedName name="Z_4C45D885_33EE_4DA9_BF96_6B10CFBA5596_.wvu.FilterData" localSheetId="19" hidden="1">#REF!</definedName>
    <definedName name="Z_4C45D885_33EE_4DA9_BF96_6B10CFBA5596_.wvu.FilterData" localSheetId="26" hidden="1">#REF!</definedName>
    <definedName name="Z_4C45D885_33EE_4DA9_BF96_6B10CFBA5596_.wvu.FilterData" localSheetId="27" hidden="1">#REF!</definedName>
    <definedName name="Z_4C45D885_33EE_4DA9_BF96_6B10CFBA5596_.wvu.FilterData" localSheetId="25" hidden="1">#REF!</definedName>
    <definedName name="Z_4C45D885_33EE_4DA9_BF96_6B10CFBA5596_.wvu.FilterData" localSheetId="7" hidden="1">#REF!</definedName>
    <definedName name="Z_4C45D885_33EE_4DA9_BF96_6B10CFBA5596_.wvu.FilterData" localSheetId="4" hidden="1">#REF!</definedName>
    <definedName name="Z_4C45D885_33EE_4DA9_BF96_6B10CFBA5596_.wvu.FilterData" localSheetId="5" hidden="1">#REF!</definedName>
    <definedName name="Z_4C45D885_33EE_4DA9_BF96_6B10CFBA5596_.wvu.FilterData" localSheetId="2" hidden="1">#REF!</definedName>
    <definedName name="Z_4C45D885_33EE_4DA9_BF96_6B10CFBA5596_.wvu.FilterData" localSheetId="3" hidden="1">#REF!</definedName>
    <definedName name="Z_4C45D885_33EE_4DA9_BF96_6B10CFBA5596_.wvu.FilterData" hidden="1">#REF!</definedName>
    <definedName name="Z_4D344757_9064_4D2F_A3A5_69132D23B7B9_.wvu.FilterData" localSheetId="21" hidden="1">#REF!</definedName>
    <definedName name="Z_4D344757_9064_4D2F_A3A5_69132D23B7B9_.wvu.FilterData" localSheetId="12" hidden="1">#REF!</definedName>
    <definedName name="Z_4D344757_9064_4D2F_A3A5_69132D23B7B9_.wvu.FilterData" localSheetId="13" hidden="1">#REF!</definedName>
    <definedName name="Z_4D344757_9064_4D2F_A3A5_69132D23B7B9_.wvu.FilterData" localSheetId="14" hidden="1">#REF!</definedName>
    <definedName name="Z_4D344757_9064_4D2F_A3A5_69132D23B7B9_.wvu.FilterData" localSheetId="16" hidden="1">#REF!</definedName>
    <definedName name="Z_4D344757_9064_4D2F_A3A5_69132D23B7B9_.wvu.FilterData" localSheetId="15" hidden="1">#REF!</definedName>
    <definedName name="Z_4D344757_9064_4D2F_A3A5_69132D23B7B9_.wvu.FilterData" localSheetId="17" hidden="1">#REF!</definedName>
    <definedName name="Z_4D344757_9064_4D2F_A3A5_69132D23B7B9_.wvu.FilterData" localSheetId="11" hidden="1">#REF!</definedName>
    <definedName name="Z_4D344757_9064_4D2F_A3A5_69132D23B7B9_.wvu.FilterData" localSheetId="10" hidden="1">#REF!</definedName>
    <definedName name="Z_4D344757_9064_4D2F_A3A5_69132D23B7B9_.wvu.FilterData" localSheetId="22" hidden="1">#REF!</definedName>
    <definedName name="Z_4D344757_9064_4D2F_A3A5_69132D23B7B9_.wvu.FilterData" localSheetId="24" hidden="1">#REF!</definedName>
    <definedName name="Z_4D344757_9064_4D2F_A3A5_69132D23B7B9_.wvu.FilterData" localSheetId="23" hidden="1">#REF!</definedName>
    <definedName name="Z_4D344757_9064_4D2F_A3A5_69132D23B7B9_.wvu.FilterData" localSheetId="20" hidden="1">#REF!</definedName>
    <definedName name="Z_4D344757_9064_4D2F_A3A5_69132D23B7B9_.wvu.FilterData" localSheetId="19" hidden="1">#REF!</definedName>
    <definedName name="Z_4D344757_9064_4D2F_A3A5_69132D23B7B9_.wvu.FilterData" localSheetId="26" hidden="1">#REF!</definedName>
    <definedName name="Z_4D344757_9064_4D2F_A3A5_69132D23B7B9_.wvu.FilterData" localSheetId="27" hidden="1">#REF!</definedName>
    <definedName name="Z_4D344757_9064_4D2F_A3A5_69132D23B7B9_.wvu.FilterData" localSheetId="25" hidden="1">#REF!</definedName>
    <definedName name="Z_4D344757_9064_4D2F_A3A5_69132D23B7B9_.wvu.FilterData" localSheetId="7" hidden="1">#REF!</definedName>
    <definedName name="Z_4D344757_9064_4D2F_A3A5_69132D23B7B9_.wvu.FilterData" localSheetId="4" hidden="1">#REF!</definedName>
    <definedName name="Z_4D344757_9064_4D2F_A3A5_69132D23B7B9_.wvu.FilterData" localSheetId="5" hidden="1">#REF!</definedName>
    <definedName name="Z_4D344757_9064_4D2F_A3A5_69132D23B7B9_.wvu.FilterData" localSheetId="2" hidden="1">#REF!</definedName>
    <definedName name="Z_4D344757_9064_4D2F_A3A5_69132D23B7B9_.wvu.FilterData" localSheetId="3" hidden="1">#REF!</definedName>
    <definedName name="Z_4D344757_9064_4D2F_A3A5_69132D23B7B9_.wvu.FilterData" hidden="1">#REF!</definedName>
    <definedName name="Z_4E773EE1_0A5B_43A9_9C28_FFB0A27D19C3_.wvu.FilterData" localSheetId="21" hidden="1">#REF!</definedName>
    <definedName name="Z_4E773EE1_0A5B_43A9_9C28_FFB0A27D19C3_.wvu.FilterData" localSheetId="12" hidden="1">#REF!</definedName>
    <definedName name="Z_4E773EE1_0A5B_43A9_9C28_FFB0A27D19C3_.wvu.FilterData" localSheetId="13" hidden="1">#REF!</definedName>
    <definedName name="Z_4E773EE1_0A5B_43A9_9C28_FFB0A27D19C3_.wvu.FilterData" localSheetId="14" hidden="1">#REF!</definedName>
    <definedName name="Z_4E773EE1_0A5B_43A9_9C28_FFB0A27D19C3_.wvu.FilterData" localSheetId="16" hidden="1">#REF!</definedName>
    <definedName name="Z_4E773EE1_0A5B_43A9_9C28_FFB0A27D19C3_.wvu.FilterData" localSheetId="15" hidden="1">#REF!</definedName>
    <definedName name="Z_4E773EE1_0A5B_43A9_9C28_FFB0A27D19C3_.wvu.FilterData" localSheetId="17" hidden="1">#REF!</definedName>
    <definedName name="Z_4E773EE1_0A5B_43A9_9C28_FFB0A27D19C3_.wvu.FilterData" localSheetId="11" hidden="1">#REF!</definedName>
    <definedName name="Z_4E773EE1_0A5B_43A9_9C28_FFB0A27D19C3_.wvu.FilterData" localSheetId="10" hidden="1">#REF!</definedName>
    <definedName name="Z_4E773EE1_0A5B_43A9_9C28_FFB0A27D19C3_.wvu.FilterData" localSheetId="22" hidden="1">#REF!</definedName>
    <definedName name="Z_4E773EE1_0A5B_43A9_9C28_FFB0A27D19C3_.wvu.FilterData" localSheetId="24" hidden="1">#REF!</definedName>
    <definedName name="Z_4E773EE1_0A5B_43A9_9C28_FFB0A27D19C3_.wvu.FilterData" localSheetId="23" hidden="1">#REF!</definedName>
    <definedName name="Z_4E773EE1_0A5B_43A9_9C28_FFB0A27D19C3_.wvu.FilterData" localSheetId="20" hidden="1">#REF!</definedName>
    <definedName name="Z_4E773EE1_0A5B_43A9_9C28_FFB0A27D19C3_.wvu.FilterData" localSheetId="19" hidden="1">#REF!</definedName>
    <definedName name="Z_4E773EE1_0A5B_43A9_9C28_FFB0A27D19C3_.wvu.FilterData" localSheetId="26" hidden="1">#REF!</definedName>
    <definedName name="Z_4E773EE1_0A5B_43A9_9C28_FFB0A27D19C3_.wvu.FilterData" localSheetId="27" hidden="1">#REF!</definedName>
    <definedName name="Z_4E773EE1_0A5B_43A9_9C28_FFB0A27D19C3_.wvu.FilterData" localSheetId="25" hidden="1">#REF!</definedName>
    <definedName name="Z_4E773EE1_0A5B_43A9_9C28_FFB0A27D19C3_.wvu.FilterData" localSheetId="7" hidden="1">#REF!</definedName>
    <definedName name="Z_4E773EE1_0A5B_43A9_9C28_FFB0A27D19C3_.wvu.FilterData" localSheetId="4" hidden="1">#REF!</definedName>
    <definedName name="Z_4E773EE1_0A5B_43A9_9C28_FFB0A27D19C3_.wvu.FilterData" localSheetId="5" hidden="1">#REF!</definedName>
    <definedName name="Z_4E773EE1_0A5B_43A9_9C28_FFB0A27D19C3_.wvu.FilterData" localSheetId="2" hidden="1">#REF!</definedName>
    <definedName name="Z_4E773EE1_0A5B_43A9_9C28_FFB0A27D19C3_.wvu.FilterData" localSheetId="3" hidden="1">#REF!</definedName>
    <definedName name="Z_4E773EE1_0A5B_43A9_9C28_FFB0A27D19C3_.wvu.FilterData" hidden="1">#REF!</definedName>
    <definedName name="Z_5122F04C_91B2_4031_BAE2_43203D520992_.wvu.FilterData" localSheetId="21" hidden="1">#REF!</definedName>
    <definedName name="Z_5122F04C_91B2_4031_BAE2_43203D520992_.wvu.FilterData" localSheetId="12" hidden="1">#REF!</definedName>
    <definedName name="Z_5122F04C_91B2_4031_BAE2_43203D520992_.wvu.FilterData" localSheetId="13" hidden="1">#REF!</definedName>
    <definedName name="Z_5122F04C_91B2_4031_BAE2_43203D520992_.wvu.FilterData" localSheetId="14" hidden="1">#REF!</definedName>
    <definedName name="Z_5122F04C_91B2_4031_BAE2_43203D520992_.wvu.FilterData" localSheetId="16" hidden="1">#REF!</definedName>
    <definedName name="Z_5122F04C_91B2_4031_BAE2_43203D520992_.wvu.FilterData" localSheetId="15" hidden="1">#REF!</definedName>
    <definedName name="Z_5122F04C_91B2_4031_BAE2_43203D520992_.wvu.FilterData" localSheetId="17" hidden="1">#REF!</definedName>
    <definedName name="Z_5122F04C_91B2_4031_BAE2_43203D520992_.wvu.FilterData" localSheetId="11" hidden="1">#REF!</definedName>
    <definedName name="Z_5122F04C_91B2_4031_BAE2_43203D520992_.wvu.FilterData" localSheetId="10" hidden="1">#REF!</definedName>
    <definedName name="Z_5122F04C_91B2_4031_BAE2_43203D520992_.wvu.FilterData" localSheetId="22" hidden="1">#REF!</definedName>
    <definedName name="Z_5122F04C_91B2_4031_BAE2_43203D520992_.wvu.FilterData" localSheetId="24" hidden="1">#REF!</definedName>
    <definedName name="Z_5122F04C_91B2_4031_BAE2_43203D520992_.wvu.FilterData" localSheetId="23" hidden="1">#REF!</definedName>
    <definedName name="Z_5122F04C_91B2_4031_BAE2_43203D520992_.wvu.FilterData" localSheetId="20" hidden="1">#REF!</definedName>
    <definedName name="Z_5122F04C_91B2_4031_BAE2_43203D520992_.wvu.FilterData" localSheetId="19" hidden="1">#REF!</definedName>
    <definedName name="Z_5122F04C_91B2_4031_BAE2_43203D520992_.wvu.FilterData" localSheetId="26" hidden="1">#REF!</definedName>
    <definedName name="Z_5122F04C_91B2_4031_BAE2_43203D520992_.wvu.FilterData" localSheetId="27" hidden="1">#REF!</definedName>
    <definedName name="Z_5122F04C_91B2_4031_BAE2_43203D520992_.wvu.FilterData" localSheetId="25" hidden="1">#REF!</definedName>
    <definedName name="Z_5122F04C_91B2_4031_BAE2_43203D520992_.wvu.FilterData" localSheetId="7" hidden="1">#REF!</definedName>
    <definedName name="Z_5122F04C_91B2_4031_BAE2_43203D520992_.wvu.FilterData" localSheetId="4" hidden="1">#REF!</definedName>
    <definedName name="Z_5122F04C_91B2_4031_BAE2_43203D520992_.wvu.FilterData" localSheetId="5" hidden="1">#REF!</definedName>
    <definedName name="Z_5122F04C_91B2_4031_BAE2_43203D520992_.wvu.FilterData" localSheetId="2" hidden="1">#REF!</definedName>
    <definedName name="Z_5122F04C_91B2_4031_BAE2_43203D520992_.wvu.FilterData" localSheetId="3" hidden="1">#REF!</definedName>
    <definedName name="Z_5122F04C_91B2_4031_BAE2_43203D520992_.wvu.FilterData" hidden="1">#REF!</definedName>
    <definedName name="Z_52B8D0B0_5872_4367_8D38_9AA5A4B975B3_.wvu.FilterData" localSheetId="21" hidden="1">#REF!</definedName>
    <definedName name="Z_52B8D0B0_5872_4367_8D38_9AA5A4B975B3_.wvu.FilterData" localSheetId="12" hidden="1">#REF!</definedName>
    <definedName name="Z_52B8D0B0_5872_4367_8D38_9AA5A4B975B3_.wvu.FilterData" localSheetId="13" hidden="1">#REF!</definedName>
    <definedName name="Z_52B8D0B0_5872_4367_8D38_9AA5A4B975B3_.wvu.FilterData" localSheetId="14" hidden="1">#REF!</definedName>
    <definedName name="Z_52B8D0B0_5872_4367_8D38_9AA5A4B975B3_.wvu.FilterData" localSheetId="16" hidden="1">#REF!</definedName>
    <definedName name="Z_52B8D0B0_5872_4367_8D38_9AA5A4B975B3_.wvu.FilterData" localSheetId="15" hidden="1">#REF!</definedName>
    <definedName name="Z_52B8D0B0_5872_4367_8D38_9AA5A4B975B3_.wvu.FilterData" localSheetId="17" hidden="1">#REF!</definedName>
    <definedName name="Z_52B8D0B0_5872_4367_8D38_9AA5A4B975B3_.wvu.FilterData" localSheetId="11" hidden="1">#REF!</definedName>
    <definedName name="Z_52B8D0B0_5872_4367_8D38_9AA5A4B975B3_.wvu.FilterData" localSheetId="10" hidden="1">#REF!</definedName>
    <definedName name="Z_52B8D0B0_5872_4367_8D38_9AA5A4B975B3_.wvu.FilterData" localSheetId="22" hidden="1">#REF!</definedName>
    <definedName name="Z_52B8D0B0_5872_4367_8D38_9AA5A4B975B3_.wvu.FilterData" localSheetId="24" hidden="1">#REF!</definedName>
    <definedName name="Z_52B8D0B0_5872_4367_8D38_9AA5A4B975B3_.wvu.FilterData" localSheetId="23" hidden="1">#REF!</definedName>
    <definedName name="Z_52B8D0B0_5872_4367_8D38_9AA5A4B975B3_.wvu.FilterData" localSheetId="20" hidden="1">#REF!</definedName>
    <definedName name="Z_52B8D0B0_5872_4367_8D38_9AA5A4B975B3_.wvu.FilterData" localSheetId="19" hidden="1">#REF!</definedName>
    <definedName name="Z_52B8D0B0_5872_4367_8D38_9AA5A4B975B3_.wvu.FilterData" localSheetId="26" hidden="1">#REF!</definedName>
    <definedName name="Z_52B8D0B0_5872_4367_8D38_9AA5A4B975B3_.wvu.FilterData" localSheetId="27" hidden="1">#REF!</definedName>
    <definedName name="Z_52B8D0B0_5872_4367_8D38_9AA5A4B975B3_.wvu.FilterData" localSheetId="25" hidden="1">#REF!</definedName>
    <definedName name="Z_52B8D0B0_5872_4367_8D38_9AA5A4B975B3_.wvu.FilterData" localSheetId="7" hidden="1">#REF!</definedName>
    <definedName name="Z_52B8D0B0_5872_4367_8D38_9AA5A4B975B3_.wvu.FilterData" localSheetId="4" hidden="1">#REF!</definedName>
    <definedName name="Z_52B8D0B0_5872_4367_8D38_9AA5A4B975B3_.wvu.FilterData" localSheetId="5" hidden="1">#REF!</definedName>
    <definedName name="Z_52B8D0B0_5872_4367_8D38_9AA5A4B975B3_.wvu.FilterData" localSheetId="2" hidden="1">#REF!</definedName>
    <definedName name="Z_52B8D0B0_5872_4367_8D38_9AA5A4B975B3_.wvu.FilterData" localSheetId="3" hidden="1">#REF!</definedName>
    <definedName name="Z_52B8D0B0_5872_4367_8D38_9AA5A4B975B3_.wvu.FilterData" hidden="1">#REF!</definedName>
    <definedName name="Z_552B9204_1C85_45BC_B148_AF3E206BDAA2_.wvu.FilterData" localSheetId="21" hidden="1">#REF!</definedName>
    <definedName name="Z_552B9204_1C85_45BC_B148_AF3E206BDAA2_.wvu.FilterData" localSheetId="12" hidden="1">#REF!</definedName>
    <definedName name="Z_552B9204_1C85_45BC_B148_AF3E206BDAA2_.wvu.FilterData" localSheetId="13" hidden="1">#REF!</definedName>
    <definedName name="Z_552B9204_1C85_45BC_B148_AF3E206BDAA2_.wvu.FilterData" localSheetId="14" hidden="1">#REF!</definedName>
    <definedName name="Z_552B9204_1C85_45BC_B148_AF3E206BDAA2_.wvu.FilterData" localSheetId="16" hidden="1">#REF!</definedName>
    <definedName name="Z_552B9204_1C85_45BC_B148_AF3E206BDAA2_.wvu.FilterData" localSheetId="15" hidden="1">#REF!</definedName>
    <definedName name="Z_552B9204_1C85_45BC_B148_AF3E206BDAA2_.wvu.FilterData" localSheetId="17" hidden="1">#REF!</definedName>
    <definedName name="Z_552B9204_1C85_45BC_B148_AF3E206BDAA2_.wvu.FilterData" localSheetId="11" hidden="1">#REF!</definedName>
    <definedName name="Z_552B9204_1C85_45BC_B148_AF3E206BDAA2_.wvu.FilterData" localSheetId="10" hidden="1">#REF!</definedName>
    <definedName name="Z_552B9204_1C85_45BC_B148_AF3E206BDAA2_.wvu.FilterData" localSheetId="22" hidden="1">#REF!</definedName>
    <definedName name="Z_552B9204_1C85_45BC_B148_AF3E206BDAA2_.wvu.FilterData" localSheetId="24" hidden="1">#REF!</definedName>
    <definedName name="Z_552B9204_1C85_45BC_B148_AF3E206BDAA2_.wvu.FilterData" localSheetId="23" hidden="1">#REF!</definedName>
    <definedName name="Z_552B9204_1C85_45BC_B148_AF3E206BDAA2_.wvu.FilterData" localSheetId="20" hidden="1">#REF!</definedName>
    <definedName name="Z_552B9204_1C85_45BC_B148_AF3E206BDAA2_.wvu.FilterData" localSheetId="19" hidden="1">#REF!</definedName>
    <definedName name="Z_552B9204_1C85_45BC_B148_AF3E206BDAA2_.wvu.FilterData" localSheetId="26" hidden="1">#REF!</definedName>
    <definedName name="Z_552B9204_1C85_45BC_B148_AF3E206BDAA2_.wvu.FilterData" localSheetId="27" hidden="1">#REF!</definedName>
    <definedName name="Z_552B9204_1C85_45BC_B148_AF3E206BDAA2_.wvu.FilterData" localSheetId="25" hidden="1">#REF!</definedName>
    <definedName name="Z_552B9204_1C85_45BC_B148_AF3E206BDAA2_.wvu.FilterData" localSheetId="7" hidden="1">#REF!</definedName>
    <definedName name="Z_552B9204_1C85_45BC_B148_AF3E206BDAA2_.wvu.FilterData" localSheetId="4" hidden="1">#REF!</definedName>
    <definedName name="Z_552B9204_1C85_45BC_B148_AF3E206BDAA2_.wvu.FilterData" localSheetId="5" hidden="1">#REF!</definedName>
    <definedName name="Z_552B9204_1C85_45BC_B148_AF3E206BDAA2_.wvu.FilterData" localSheetId="2" hidden="1">#REF!</definedName>
    <definedName name="Z_552B9204_1C85_45BC_B148_AF3E206BDAA2_.wvu.FilterData" localSheetId="3" hidden="1">#REF!</definedName>
    <definedName name="Z_552B9204_1C85_45BC_B148_AF3E206BDAA2_.wvu.FilterData" hidden="1">#REF!</definedName>
    <definedName name="Z_566671FC_5910_47FD_B961_1065A17D262D_.wvu.FilterData" localSheetId="21" hidden="1">#REF!</definedName>
    <definedName name="Z_566671FC_5910_47FD_B961_1065A17D262D_.wvu.FilterData" localSheetId="12" hidden="1">#REF!</definedName>
    <definedName name="Z_566671FC_5910_47FD_B961_1065A17D262D_.wvu.FilterData" localSheetId="13" hidden="1">#REF!</definedName>
    <definedName name="Z_566671FC_5910_47FD_B961_1065A17D262D_.wvu.FilterData" localSheetId="14" hidden="1">#REF!</definedName>
    <definedName name="Z_566671FC_5910_47FD_B961_1065A17D262D_.wvu.FilterData" localSheetId="16" hidden="1">#REF!</definedName>
    <definedName name="Z_566671FC_5910_47FD_B961_1065A17D262D_.wvu.FilterData" localSheetId="15" hidden="1">#REF!</definedName>
    <definedName name="Z_566671FC_5910_47FD_B961_1065A17D262D_.wvu.FilterData" localSheetId="17" hidden="1">#REF!</definedName>
    <definedName name="Z_566671FC_5910_47FD_B961_1065A17D262D_.wvu.FilterData" localSheetId="11" hidden="1">#REF!</definedName>
    <definedName name="Z_566671FC_5910_47FD_B961_1065A17D262D_.wvu.FilterData" localSheetId="10" hidden="1">#REF!</definedName>
    <definedName name="Z_566671FC_5910_47FD_B961_1065A17D262D_.wvu.FilterData" localSheetId="22" hidden="1">#REF!</definedName>
    <definedName name="Z_566671FC_5910_47FD_B961_1065A17D262D_.wvu.FilterData" localSheetId="24" hidden="1">#REF!</definedName>
    <definedName name="Z_566671FC_5910_47FD_B961_1065A17D262D_.wvu.FilterData" localSheetId="23" hidden="1">#REF!</definedName>
    <definedName name="Z_566671FC_5910_47FD_B961_1065A17D262D_.wvu.FilterData" localSheetId="20" hidden="1">#REF!</definedName>
    <definedName name="Z_566671FC_5910_47FD_B961_1065A17D262D_.wvu.FilterData" localSheetId="19" hidden="1">#REF!</definedName>
    <definedName name="Z_566671FC_5910_47FD_B961_1065A17D262D_.wvu.FilterData" localSheetId="26" hidden="1">#REF!</definedName>
    <definedName name="Z_566671FC_5910_47FD_B961_1065A17D262D_.wvu.FilterData" localSheetId="27" hidden="1">#REF!</definedName>
    <definedName name="Z_566671FC_5910_47FD_B961_1065A17D262D_.wvu.FilterData" localSheetId="25" hidden="1">#REF!</definedName>
    <definedName name="Z_566671FC_5910_47FD_B961_1065A17D262D_.wvu.FilterData" localSheetId="7" hidden="1">#REF!</definedName>
    <definedName name="Z_566671FC_5910_47FD_B961_1065A17D262D_.wvu.FilterData" localSheetId="4" hidden="1">#REF!</definedName>
    <definedName name="Z_566671FC_5910_47FD_B961_1065A17D262D_.wvu.FilterData" localSheetId="5" hidden="1">#REF!</definedName>
    <definedName name="Z_566671FC_5910_47FD_B961_1065A17D262D_.wvu.FilterData" localSheetId="2" hidden="1">#REF!</definedName>
    <definedName name="Z_566671FC_5910_47FD_B961_1065A17D262D_.wvu.FilterData" localSheetId="3" hidden="1">#REF!</definedName>
    <definedName name="Z_566671FC_5910_47FD_B961_1065A17D262D_.wvu.FilterData" hidden="1">#REF!</definedName>
    <definedName name="Z_569D17FA_30FE_42CA_8D65_E126C1C01EC2_.wvu.FilterData" localSheetId="21" hidden="1">#REF!</definedName>
    <definedName name="Z_569D17FA_30FE_42CA_8D65_E126C1C01EC2_.wvu.FilterData" localSheetId="12" hidden="1">#REF!</definedName>
    <definedName name="Z_569D17FA_30FE_42CA_8D65_E126C1C01EC2_.wvu.FilterData" localSheetId="13" hidden="1">#REF!</definedName>
    <definedName name="Z_569D17FA_30FE_42CA_8D65_E126C1C01EC2_.wvu.FilterData" localSheetId="14" hidden="1">#REF!</definedName>
    <definedName name="Z_569D17FA_30FE_42CA_8D65_E126C1C01EC2_.wvu.FilterData" localSheetId="16" hidden="1">#REF!</definedName>
    <definedName name="Z_569D17FA_30FE_42CA_8D65_E126C1C01EC2_.wvu.FilterData" localSheetId="15" hidden="1">#REF!</definedName>
    <definedName name="Z_569D17FA_30FE_42CA_8D65_E126C1C01EC2_.wvu.FilterData" localSheetId="17" hidden="1">#REF!</definedName>
    <definedName name="Z_569D17FA_30FE_42CA_8D65_E126C1C01EC2_.wvu.FilterData" localSheetId="11" hidden="1">#REF!</definedName>
    <definedName name="Z_569D17FA_30FE_42CA_8D65_E126C1C01EC2_.wvu.FilterData" localSheetId="10" hidden="1">#REF!</definedName>
    <definedName name="Z_569D17FA_30FE_42CA_8D65_E126C1C01EC2_.wvu.FilterData" localSheetId="22" hidden="1">#REF!</definedName>
    <definedName name="Z_569D17FA_30FE_42CA_8D65_E126C1C01EC2_.wvu.FilterData" localSheetId="24" hidden="1">#REF!</definedName>
    <definedName name="Z_569D17FA_30FE_42CA_8D65_E126C1C01EC2_.wvu.FilterData" localSheetId="23" hidden="1">#REF!</definedName>
    <definedName name="Z_569D17FA_30FE_42CA_8D65_E126C1C01EC2_.wvu.FilterData" localSheetId="20" hidden="1">#REF!</definedName>
    <definedName name="Z_569D17FA_30FE_42CA_8D65_E126C1C01EC2_.wvu.FilterData" localSheetId="19" hidden="1">#REF!</definedName>
    <definedName name="Z_569D17FA_30FE_42CA_8D65_E126C1C01EC2_.wvu.FilterData" localSheetId="26" hidden="1">#REF!</definedName>
    <definedName name="Z_569D17FA_30FE_42CA_8D65_E126C1C01EC2_.wvu.FilterData" localSheetId="27" hidden="1">#REF!</definedName>
    <definedName name="Z_569D17FA_30FE_42CA_8D65_E126C1C01EC2_.wvu.FilterData" localSheetId="25" hidden="1">#REF!</definedName>
    <definedName name="Z_569D17FA_30FE_42CA_8D65_E126C1C01EC2_.wvu.FilterData" localSheetId="7" hidden="1">#REF!</definedName>
    <definedName name="Z_569D17FA_30FE_42CA_8D65_E126C1C01EC2_.wvu.FilterData" localSheetId="4" hidden="1">#REF!</definedName>
    <definedName name="Z_569D17FA_30FE_42CA_8D65_E126C1C01EC2_.wvu.FilterData" localSheetId="5" hidden="1">#REF!</definedName>
    <definedName name="Z_569D17FA_30FE_42CA_8D65_E126C1C01EC2_.wvu.FilterData" localSheetId="2" hidden="1">#REF!</definedName>
    <definedName name="Z_569D17FA_30FE_42CA_8D65_E126C1C01EC2_.wvu.FilterData" localSheetId="3" hidden="1">#REF!</definedName>
    <definedName name="Z_569D17FA_30FE_42CA_8D65_E126C1C01EC2_.wvu.FilterData" hidden="1">#REF!</definedName>
    <definedName name="Z_573E904E_5C2F_4CA2_AFCF_918B916322E4_.wvu.FilterData" localSheetId="21" hidden="1">#REF!</definedName>
    <definedName name="Z_573E904E_5C2F_4CA2_AFCF_918B916322E4_.wvu.FilterData" localSheetId="12" hidden="1">#REF!</definedName>
    <definedName name="Z_573E904E_5C2F_4CA2_AFCF_918B916322E4_.wvu.FilterData" localSheetId="13" hidden="1">#REF!</definedName>
    <definedName name="Z_573E904E_5C2F_4CA2_AFCF_918B916322E4_.wvu.FilterData" localSheetId="14" hidden="1">#REF!</definedName>
    <definedName name="Z_573E904E_5C2F_4CA2_AFCF_918B916322E4_.wvu.FilterData" localSheetId="16" hidden="1">#REF!</definedName>
    <definedName name="Z_573E904E_5C2F_4CA2_AFCF_918B916322E4_.wvu.FilterData" localSheetId="15" hidden="1">#REF!</definedName>
    <definedName name="Z_573E904E_5C2F_4CA2_AFCF_918B916322E4_.wvu.FilterData" localSheetId="17" hidden="1">#REF!</definedName>
    <definedName name="Z_573E904E_5C2F_4CA2_AFCF_918B916322E4_.wvu.FilterData" localSheetId="11" hidden="1">#REF!</definedName>
    <definedName name="Z_573E904E_5C2F_4CA2_AFCF_918B916322E4_.wvu.FilterData" localSheetId="10" hidden="1">#REF!</definedName>
    <definedName name="Z_573E904E_5C2F_4CA2_AFCF_918B916322E4_.wvu.FilterData" localSheetId="22" hidden="1">#REF!</definedName>
    <definedName name="Z_573E904E_5C2F_4CA2_AFCF_918B916322E4_.wvu.FilterData" localSheetId="24" hidden="1">#REF!</definedName>
    <definedName name="Z_573E904E_5C2F_4CA2_AFCF_918B916322E4_.wvu.FilterData" localSheetId="23" hidden="1">#REF!</definedName>
    <definedName name="Z_573E904E_5C2F_4CA2_AFCF_918B916322E4_.wvu.FilterData" localSheetId="20" hidden="1">#REF!</definedName>
    <definedName name="Z_573E904E_5C2F_4CA2_AFCF_918B916322E4_.wvu.FilterData" localSheetId="19" hidden="1">#REF!</definedName>
    <definedName name="Z_573E904E_5C2F_4CA2_AFCF_918B916322E4_.wvu.FilterData" localSheetId="26" hidden="1">#REF!</definedName>
    <definedName name="Z_573E904E_5C2F_4CA2_AFCF_918B916322E4_.wvu.FilterData" localSheetId="27" hidden="1">#REF!</definedName>
    <definedName name="Z_573E904E_5C2F_4CA2_AFCF_918B916322E4_.wvu.FilterData" localSheetId="25" hidden="1">#REF!</definedName>
    <definedName name="Z_573E904E_5C2F_4CA2_AFCF_918B916322E4_.wvu.FilterData" localSheetId="7" hidden="1">#REF!</definedName>
    <definedName name="Z_573E904E_5C2F_4CA2_AFCF_918B916322E4_.wvu.FilterData" localSheetId="4" hidden="1">#REF!</definedName>
    <definedName name="Z_573E904E_5C2F_4CA2_AFCF_918B916322E4_.wvu.FilterData" localSheetId="5" hidden="1">#REF!</definedName>
    <definedName name="Z_573E904E_5C2F_4CA2_AFCF_918B916322E4_.wvu.FilterData" localSheetId="2" hidden="1">#REF!</definedName>
    <definedName name="Z_573E904E_5C2F_4CA2_AFCF_918B916322E4_.wvu.FilterData" localSheetId="3" hidden="1">#REF!</definedName>
    <definedName name="Z_573E904E_5C2F_4CA2_AFCF_918B916322E4_.wvu.FilterData" hidden="1">#REF!</definedName>
    <definedName name="Z_58DA6172_DC47_4A5F_B420_207BB6987764_.wvu.FilterData" localSheetId="21" hidden="1">#REF!</definedName>
    <definedName name="Z_58DA6172_DC47_4A5F_B420_207BB6987764_.wvu.FilterData" localSheetId="12" hidden="1">#REF!</definedName>
    <definedName name="Z_58DA6172_DC47_4A5F_B420_207BB6987764_.wvu.FilterData" localSheetId="13" hidden="1">#REF!</definedName>
    <definedName name="Z_58DA6172_DC47_4A5F_B420_207BB6987764_.wvu.FilterData" localSheetId="14" hidden="1">#REF!</definedName>
    <definedName name="Z_58DA6172_DC47_4A5F_B420_207BB6987764_.wvu.FilterData" localSheetId="16" hidden="1">#REF!</definedName>
    <definedName name="Z_58DA6172_DC47_4A5F_B420_207BB6987764_.wvu.FilterData" localSheetId="15" hidden="1">#REF!</definedName>
    <definedName name="Z_58DA6172_DC47_4A5F_B420_207BB6987764_.wvu.FilterData" localSheetId="17" hidden="1">#REF!</definedName>
    <definedName name="Z_58DA6172_DC47_4A5F_B420_207BB6987764_.wvu.FilterData" localSheetId="11" hidden="1">#REF!</definedName>
    <definedName name="Z_58DA6172_DC47_4A5F_B420_207BB6987764_.wvu.FilterData" localSheetId="10" hidden="1">#REF!</definedName>
    <definedName name="Z_58DA6172_DC47_4A5F_B420_207BB6987764_.wvu.FilterData" localSheetId="22" hidden="1">#REF!</definedName>
    <definedName name="Z_58DA6172_DC47_4A5F_B420_207BB6987764_.wvu.FilterData" localSheetId="24" hidden="1">#REF!</definedName>
    <definedName name="Z_58DA6172_DC47_4A5F_B420_207BB6987764_.wvu.FilterData" localSheetId="23" hidden="1">#REF!</definedName>
    <definedName name="Z_58DA6172_DC47_4A5F_B420_207BB6987764_.wvu.FilterData" localSheetId="20" hidden="1">#REF!</definedName>
    <definedName name="Z_58DA6172_DC47_4A5F_B420_207BB6987764_.wvu.FilterData" localSheetId="19" hidden="1">#REF!</definedName>
    <definedName name="Z_58DA6172_DC47_4A5F_B420_207BB6987764_.wvu.FilterData" localSheetId="26" hidden="1">#REF!</definedName>
    <definedName name="Z_58DA6172_DC47_4A5F_B420_207BB6987764_.wvu.FilterData" localSheetId="27" hidden="1">#REF!</definedName>
    <definedName name="Z_58DA6172_DC47_4A5F_B420_207BB6987764_.wvu.FilterData" localSheetId="25" hidden="1">#REF!</definedName>
    <definedName name="Z_58DA6172_DC47_4A5F_B420_207BB6987764_.wvu.FilterData" localSheetId="7" hidden="1">#REF!</definedName>
    <definedName name="Z_58DA6172_DC47_4A5F_B420_207BB6987764_.wvu.FilterData" localSheetId="4" hidden="1">#REF!</definedName>
    <definedName name="Z_58DA6172_DC47_4A5F_B420_207BB6987764_.wvu.FilterData" localSheetId="5" hidden="1">#REF!</definedName>
    <definedName name="Z_58DA6172_DC47_4A5F_B420_207BB6987764_.wvu.FilterData" localSheetId="2" hidden="1">#REF!</definedName>
    <definedName name="Z_58DA6172_DC47_4A5F_B420_207BB6987764_.wvu.FilterData" localSheetId="3" hidden="1">#REF!</definedName>
    <definedName name="Z_58DA6172_DC47_4A5F_B420_207BB6987764_.wvu.FilterData" hidden="1">#REF!</definedName>
    <definedName name="Z_58FCB891_F6F4_46F2_BF6B_861E585C9231_.wvu.FilterData" localSheetId="21" hidden="1">#REF!</definedName>
    <definedName name="Z_58FCB891_F6F4_46F2_BF6B_861E585C9231_.wvu.FilterData" localSheetId="12" hidden="1">#REF!</definedName>
    <definedName name="Z_58FCB891_F6F4_46F2_BF6B_861E585C9231_.wvu.FilterData" localSheetId="13" hidden="1">#REF!</definedName>
    <definedName name="Z_58FCB891_F6F4_46F2_BF6B_861E585C9231_.wvu.FilterData" localSheetId="14" hidden="1">#REF!</definedName>
    <definedName name="Z_58FCB891_F6F4_46F2_BF6B_861E585C9231_.wvu.FilterData" localSheetId="16" hidden="1">#REF!</definedName>
    <definedName name="Z_58FCB891_F6F4_46F2_BF6B_861E585C9231_.wvu.FilterData" localSheetId="15" hidden="1">#REF!</definedName>
    <definedName name="Z_58FCB891_F6F4_46F2_BF6B_861E585C9231_.wvu.FilterData" localSheetId="17" hidden="1">#REF!</definedName>
    <definedName name="Z_58FCB891_F6F4_46F2_BF6B_861E585C9231_.wvu.FilterData" localSheetId="11" hidden="1">#REF!</definedName>
    <definedName name="Z_58FCB891_F6F4_46F2_BF6B_861E585C9231_.wvu.FilterData" localSheetId="10" hidden="1">#REF!</definedName>
    <definedName name="Z_58FCB891_F6F4_46F2_BF6B_861E585C9231_.wvu.FilterData" localSheetId="22" hidden="1">#REF!</definedName>
    <definedName name="Z_58FCB891_F6F4_46F2_BF6B_861E585C9231_.wvu.FilterData" localSheetId="24" hidden="1">#REF!</definedName>
    <definedName name="Z_58FCB891_F6F4_46F2_BF6B_861E585C9231_.wvu.FilterData" localSheetId="23" hidden="1">#REF!</definedName>
    <definedName name="Z_58FCB891_F6F4_46F2_BF6B_861E585C9231_.wvu.FilterData" localSheetId="20" hidden="1">#REF!</definedName>
    <definedName name="Z_58FCB891_F6F4_46F2_BF6B_861E585C9231_.wvu.FilterData" localSheetId="19" hidden="1">#REF!</definedName>
    <definedName name="Z_58FCB891_F6F4_46F2_BF6B_861E585C9231_.wvu.FilterData" localSheetId="26" hidden="1">#REF!</definedName>
    <definedName name="Z_58FCB891_F6F4_46F2_BF6B_861E585C9231_.wvu.FilterData" localSheetId="27" hidden="1">#REF!</definedName>
    <definedName name="Z_58FCB891_F6F4_46F2_BF6B_861E585C9231_.wvu.FilterData" localSheetId="25" hidden="1">#REF!</definedName>
    <definedName name="Z_58FCB891_F6F4_46F2_BF6B_861E585C9231_.wvu.FilterData" localSheetId="7" hidden="1">#REF!</definedName>
    <definedName name="Z_58FCB891_F6F4_46F2_BF6B_861E585C9231_.wvu.FilterData" localSheetId="4" hidden="1">#REF!</definedName>
    <definedName name="Z_58FCB891_F6F4_46F2_BF6B_861E585C9231_.wvu.FilterData" localSheetId="5" hidden="1">#REF!</definedName>
    <definedName name="Z_58FCB891_F6F4_46F2_BF6B_861E585C9231_.wvu.FilterData" localSheetId="2" hidden="1">#REF!</definedName>
    <definedName name="Z_58FCB891_F6F4_46F2_BF6B_861E585C9231_.wvu.FilterData" localSheetId="3" hidden="1">#REF!</definedName>
    <definedName name="Z_58FCB891_F6F4_46F2_BF6B_861E585C9231_.wvu.FilterData" hidden="1">#REF!</definedName>
    <definedName name="Z_59A87EBA_E018_40E8_A580_AB2176E95D7E_.wvu.FilterData" localSheetId="21" hidden="1">#REF!</definedName>
    <definedName name="Z_59A87EBA_E018_40E8_A580_AB2176E95D7E_.wvu.FilterData" localSheetId="12" hidden="1">#REF!</definedName>
    <definedName name="Z_59A87EBA_E018_40E8_A580_AB2176E95D7E_.wvu.FilterData" localSheetId="13" hidden="1">#REF!</definedName>
    <definedName name="Z_59A87EBA_E018_40E8_A580_AB2176E95D7E_.wvu.FilterData" localSheetId="14" hidden="1">#REF!</definedName>
    <definedName name="Z_59A87EBA_E018_40E8_A580_AB2176E95D7E_.wvu.FilterData" localSheetId="16" hidden="1">#REF!</definedName>
    <definedName name="Z_59A87EBA_E018_40E8_A580_AB2176E95D7E_.wvu.FilterData" localSheetId="15" hidden="1">#REF!</definedName>
    <definedName name="Z_59A87EBA_E018_40E8_A580_AB2176E95D7E_.wvu.FilterData" localSheetId="17" hidden="1">#REF!</definedName>
    <definedName name="Z_59A87EBA_E018_40E8_A580_AB2176E95D7E_.wvu.FilterData" localSheetId="11" hidden="1">#REF!</definedName>
    <definedName name="Z_59A87EBA_E018_40E8_A580_AB2176E95D7E_.wvu.FilterData" localSheetId="10" hidden="1">#REF!</definedName>
    <definedName name="Z_59A87EBA_E018_40E8_A580_AB2176E95D7E_.wvu.FilterData" localSheetId="22" hidden="1">#REF!</definedName>
    <definedName name="Z_59A87EBA_E018_40E8_A580_AB2176E95D7E_.wvu.FilterData" localSheetId="24" hidden="1">#REF!</definedName>
    <definedName name="Z_59A87EBA_E018_40E8_A580_AB2176E95D7E_.wvu.FilterData" localSheetId="23" hidden="1">#REF!</definedName>
    <definedName name="Z_59A87EBA_E018_40E8_A580_AB2176E95D7E_.wvu.FilterData" localSheetId="20" hidden="1">#REF!</definedName>
    <definedName name="Z_59A87EBA_E018_40E8_A580_AB2176E95D7E_.wvu.FilterData" localSheetId="19" hidden="1">#REF!</definedName>
    <definedName name="Z_59A87EBA_E018_40E8_A580_AB2176E95D7E_.wvu.FilterData" localSheetId="26" hidden="1">#REF!</definedName>
    <definedName name="Z_59A87EBA_E018_40E8_A580_AB2176E95D7E_.wvu.FilterData" localSheetId="27" hidden="1">#REF!</definedName>
    <definedName name="Z_59A87EBA_E018_40E8_A580_AB2176E95D7E_.wvu.FilterData" localSheetId="25" hidden="1">#REF!</definedName>
    <definedName name="Z_59A87EBA_E018_40E8_A580_AB2176E95D7E_.wvu.FilterData" localSheetId="7" hidden="1">#REF!</definedName>
    <definedName name="Z_59A87EBA_E018_40E8_A580_AB2176E95D7E_.wvu.FilterData" localSheetId="4" hidden="1">#REF!</definedName>
    <definedName name="Z_59A87EBA_E018_40E8_A580_AB2176E95D7E_.wvu.FilterData" localSheetId="5" hidden="1">#REF!</definedName>
    <definedName name="Z_59A87EBA_E018_40E8_A580_AB2176E95D7E_.wvu.FilterData" localSheetId="2" hidden="1">#REF!</definedName>
    <definedName name="Z_59A87EBA_E018_40E8_A580_AB2176E95D7E_.wvu.FilterData" localSheetId="3" hidden="1">#REF!</definedName>
    <definedName name="Z_59A87EBA_E018_40E8_A580_AB2176E95D7E_.wvu.FilterData" hidden="1">#REF!</definedName>
    <definedName name="Z_5A3E740D_87C0_4F85_AB6D_B402AD860D04_.wvu.FilterData" localSheetId="21" hidden="1">#REF!</definedName>
    <definedName name="Z_5A3E740D_87C0_4F85_AB6D_B402AD860D04_.wvu.FilterData" localSheetId="12" hidden="1">#REF!</definedName>
    <definedName name="Z_5A3E740D_87C0_4F85_AB6D_B402AD860D04_.wvu.FilterData" localSheetId="13" hidden="1">#REF!</definedName>
    <definedName name="Z_5A3E740D_87C0_4F85_AB6D_B402AD860D04_.wvu.FilterData" localSheetId="14" hidden="1">#REF!</definedName>
    <definedName name="Z_5A3E740D_87C0_4F85_AB6D_B402AD860D04_.wvu.FilterData" localSheetId="16" hidden="1">#REF!</definedName>
    <definedName name="Z_5A3E740D_87C0_4F85_AB6D_B402AD860D04_.wvu.FilterData" localSheetId="15" hidden="1">#REF!</definedName>
    <definedName name="Z_5A3E740D_87C0_4F85_AB6D_B402AD860D04_.wvu.FilterData" localSheetId="17" hidden="1">#REF!</definedName>
    <definedName name="Z_5A3E740D_87C0_4F85_AB6D_B402AD860D04_.wvu.FilterData" localSheetId="11" hidden="1">#REF!</definedName>
    <definedName name="Z_5A3E740D_87C0_4F85_AB6D_B402AD860D04_.wvu.FilterData" localSheetId="10" hidden="1">#REF!</definedName>
    <definedName name="Z_5A3E740D_87C0_4F85_AB6D_B402AD860D04_.wvu.FilterData" localSheetId="22" hidden="1">#REF!</definedName>
    <definedName name="Z_5A3E740D_87C0_4F85_AB6D_B402AD860D04_.wvu.FilterData" localSheetId="24" hidden="1">#REF!</definedName>
    <definedName name="Z_5A3E740D_87C0_4F85_AB6D_B402AD860D04_.wvu.FilterData" localSheetId="23" hidden="1">#REF!</definedName>
    <definedName name="Z_5A3E740D_87C0_4F85_AB6D_B402AD860D04_.wvu.FilterData" localSheetId="20" hidden="1">#REF!</definedName>
    <definedName name="Z_5A3E740D_87C0_4F85_AB6D_B402AD860D04_.wvu.FilterData" localSheetId="19" hidden="1">#REF!</definedName>
    <definedName name="Z_5A3E740D_87C0_4F85_AB6D_B402AD860D04_.wvu.FilterData" localSheetId="26" hidden="1">#REF!</definedName>
    <definedName name="Z_5A3E740D_87C0_4F85_AB6D_B402AD860D04_.wvu.FilterData" localSheetId="27" hidden="1">#REF!</definedName>
    <definedName name="Z_5A3E740D_87C0_4F85_AB6D_B402AD860D04_.wvu.FilterData" localSheetId="25" hidden="1">#REF!</definedName>
    <definedName name="Z_5A3E740D_87C0_4F85_AB6D_B402AD860D04_.wvu.FilterData" localSheetId="7" hidden="1">#REF!</definedName>
    <definedName name="Z_5A3E740D_87C0_4F85_AB6D_B402AD860D04_.wvu.FilterData" localSheetId="4" hidden="1">#REF!</definedName>
    <definedName name="Z_5A3E740D_87C0_4F85_AB6D_B402AD860D04_.wvu.FilterData" localSheetId="5" hidden="1">#REF!</definedName>
    <definedName name="Z_5A3E740D_87C0_4F85_AB6D_B402AD860D04_.wvu.FilterData" localSheetId="2" hidden="1">#REF!</definedName>
    <definedName name="Z_5A3E740D_87C0_4F85_AB6D_B402AD860D04_.wvu.FilterData" localSheetId="3" hidden="1">#REF!</definedName>
    <definedName name="Z_5A3E740D_87C0_4F85_AB6D_B402AD860D04_.wvu.FilterData" hidden="1">#REF!</definedName>
    <definedName name="Z_5B42E6B5_40AA_4D3F_B932_EF1583491CDE_.wvu.FilterData" localSheetId="21" hidden="1">#REF!</definedName>
    <definedName name="Z_5B42E6B5_40AA_4D3F_B932_EF1583491CDE_.wvu.FilterData" localSheetId="12" hidden="1">#REF!</definedName>
    <definedName name="Z_5B42E6B5_40AA_4D3F_B932_EF1583491CDE_.wvu.FilterData" localSheetId="13" hidden="1">#REF!</definedName>
    <definedName name="Z_5B42E6B5_40AA_4D3F_B932_EF1583491CDE_.wvu.FilterData" localSheetId="14" hidden="1">#REF!</definedName>
    <definedName name="Z_5B42E6B5_40AA_4D3F_B932_EF1583491CDE_.wvu.FilterData" localSheetId="16" hidden="1">#REF!</definedName>
    <definedName name="Z_5B42E6B5_40AA_4D3F_B932_EF1583491CDE_.wvu.FilterData" localSheetId="15" hidden="1">#REF!</definedName>
    <definedName name="Z_5B42E6B5_40AA_4D3F_B932_EF1583491CDE_.wvu.FilterData" localSheetId="17" hidden="1">#REF!</definedName>
    <definedName name="Z_5B42E6B5_40AA_4D3F_B932_EF1583491CDE_.wvu.FilterData" localSheetId="11" hidden="1">#REF!</definedName>
    <definedName name="Z_5B42E6B5_40AA_4D3F_B932_EF1583491CDE_.wvu.FilterData" localSheetId="10" hidden="1">#REF!</definedName>
    <definedName name="Z_5B42E6B5_40AA_4D3F_B932_EF1583491CDE_.wvu.FilterData" localSheetId="22" hidden="1">#REF!</definedName>
    <definedName name="Z_5B42E6B5_40AA_4D3F_B932_EF1583491CDE_.wvu.FilterData" localSheetId="24" hidden="1">#REF!</definedName>
    <definedName name="Z_5B42E6B5_40AA_4D3F_B932_EF1583491CDE_.wvu.FilterData" localSheetId="23" hidden="1">#REF!</definedName>
    <definedName name="Z_5B42E6B5_40AA_4D3F_B932_EF1583491CDE_.wvu.FilterData" localSheetId="20" hidden="1">#REF!</definedName>
    <definedName name="Z_5B42E6B5_40AA_4D3F_B932_EF1583491CDE_.wvu.FilterData" localSheetId="19" hidden="1">#REF!</definedName>
    <definedName name="Z_5B42E6B5_40AA_4D3F_B932_EF1583491CDE_.wvu.FilterData" localSheetId="26" hidden="1">#REF!</definedName>
    <definedName name="Z_5B42E6B5_40AA_4D3F_B932_EF1583491CDE_.wvu.FilterData" localSheetId="27" hidden="1">#REF!</definedName>
    <definedName name="Z_5B42E6B5_40AA_4D3F_B932_EF1583491CDE_.wvu.FilterData" localSheetId="25" hidden="1">#REF!</definedName>
    <definedName name="Z_5B42E6B5_40AA_4D3F_B932_EF1583491CDE_.wvu.FilterData" localSheetId="7" hidden="1">#REF!</definedName>
    <definedName name="Z_5B42E6B5_40AA_4D3F_B932_EF1583491CDE_.wvu.FilterData" localSheetId="4" hidden="1">#REF!</definedName>
    <definedName name="Z_5B42E6B5_40AA_4D3F_B932_EF1583491CDE_.wvu.FilterData" localSheetId="5" hidden="1">#REF!</definedName>
    <definedName name="Z_5B42E6B5_40AA_4D3F_B932_EF1583491CDE_.wvu.FilterData" localSheetId="2" hidden="1">#REF!</definedName>
    <definedName name="Z_5B42E6B5_40AA_4D3F_B932_EF1583491CDE_.wvu.FilterData" localSheetId="3" hidden="1">#REF!</definedName>
    <definedName name="Z_5B42E6B5_40AA_4D3F_B932_EF1583491CDE_.wvu.FilterData" hidden="1">#REF!</definedName>
    <definedName name="Z_5B7B4951_7310_4C66_B906_4D046076272E_.wvu.FilterData" localSheetId="21" hidden="1">#REF!</definedName>
    <definedName name="Z_5B7B4951_7310_4C66_B906_4D046076272E_.wvu.FilterData" localSheetId="12" hidden="1">#REF!</definedName>
    <definedName name="Z_5B7B4951_7310_4C66_B906_4D046076272E_.wvu.FilterData" localSheetId="13" hidden="1">#REF!</definedName>
    <definedName name="Z_5B7B4951_7310_4C66_B906_4D046076272E_.wvu.FilterData" localSheetId="14" hidden="1">#REF!</definedName>
    <definedName name="Z_5B7B4951_7310_4C66_B906_4D046076272E_.wvu.FilterData" localSheetId="16" hidden="1">#REF!</definedName>
    <definedName name="Z_5B7B4951_7310_4C66_B906_4D046076272E_.wvu.FilterData" localSheetId="15" hidden="1">#REF!</definedName>
    <definedName name="Z_5B7B4951_7310_4C66_B906_4D046076272E_.wvu.FilterData" localSheetId="17" hidden="1">#REF!</definedName>
    <definedName name="Z_5B7B4951_7310_4C66_B906_4D046076272E_.wvu.FilterData" localSheetId="11" hidden="1">#REF!</definedName>
    <definedName name="Z_5B7B4951_7310_4C66_B906_4D046076272E_.wvu.FilterData" localSheetId="10" hidden="1">#REF!</definedName>
    <definedName name="Z_5B7B4951_7310_4C66_B906_4D046076272E_.wvu.FilterData" localSheetId="22" hidden="1">#REF!</definedName>
    <definedName name="Z_5B7B4951_7310_4C66_B906_4D046076272E_.wvu.FilterData" localSheetId="24" hidden="1">#REF!</definedName>
    <definedName name="Z_5B7B4951_7310_4C66_B906_4D046076272E_.wvu.FilterData" localSheetId="23" hidden="1">#REF!</definedName>
    <definedName name="Z_5B7B4951_7310_4C66_B906_4D046076272E_.wvu.FilterData" localSheetId="20" hidden="1">#REF!</definedName>
    <definedName name="Z_5B7B4951_7310_4C66_B906_4D046076272E_.wvu.FilterData" localSheetId="19" hidden="1">#REF!</definedName>
    <definedName name="Z_5B7B4951_7310_4C66_B906_4D046076272E_.wvu.FilterData" localSheetId="26" hidden="1">#REF!</definedName>
    <definedName name="Z_5B7B4951_7310_4C66_B906_4D046076272E_.wvu.FilterData" localSheetId="27" hidden="1">#REF!</definedName>
    <definedName name="Z_5B7B4951_7310_4C66_B906_4D046076272E_.wvu.FilterData" localSheetId="25" hidden="1">#REF!</definedName>
    <definedName name="Z_5B7B4951_7310_4C66_B906_4D046076272E_.wvu.FilterData" localSheetId="7" hidden="1">#REF!</definedName>
    <definedName name="Z_5B7B4951_7310_4C66_B906_4D046076272E_.wvu.FilterData" localSheetId="4" hidden="1">#REF!</definedName>
    <definedName name="Z_5B7B4951_7310_4C66_B906_4D046076272E_.wvu.FilterData" localSheetId="5" hidden="1">#REF!</definedName>
    <definedName name="Z_5B7B4951_7310_4C66_B906_4D046076272E_.wvu.FilterData" localSheetId="2" hidden="1">#REF!</definedName>
    <definedName name="Z_5B7B4951_7310_4C66_B906_4D046076272E_.wvu.FilterData" localSheetId="3" hidden="1">#REF!</definedName>
    <definedName name="Z_5B7B4951_7310_4C66_B906_4D046076272E_.wvu.FilterData" hidden="1">#REF!</definedName>
    <definedName name="Z_5D41F4B9_83DF_4509_9C07_453BA5A62846_.wvu.FilterData" localSheetId="21" hidden="1">#REF!</definedName>
    <definedName name="Z_5D41F4B9_83DF_4509_9C07_453BA5A62846_.wvu.FilterData" localSheetId="12" hidden="1">#REF!</definedName>
    <definedName name="Z_5D41F4B9_83DF_4509_9C07_453BA5A62846_.wvu.FilterData" localSheetId="13" hidden="1">#REF!</definedName>
    <definedName name="Z_5D41F4B9_83DF_4509_9C07_453BA5A62846_.wvu.FilterData" localSheetId="14" hidden="1">#REF!</definedName>
    <definedName name="Z_5D41F4B9_83DF_4509_9C07_453BA5A62846_.wvu.FilterData" localSheetId="16" hidden="1">#REF!</definedName>
    <definedName name="Z_5D41F4B9_83DF_4509_9C07_453BA5A62846_.wvu.FilterData" localSheetId="15" hidden="1">#REF!</definedName>
    <definedName name="Z_5D41F4B9_83DF_4509_9C07_453BA5A62846_.wvu.FilterData" localSheetId="17" hidden="1">#REF!</definedName>
    <definedName name="Z_5D41F4B9_83DF_4509_9C07_453BA5A62846_.wvu.FilterData" localSheetId="11" hidden="1">#REF!</definedName>
    <definedName name="Z_5D41F4B9_83DF_4509_9C07_453BA5A62846_.wvu.FilterData" localSheetId="10" hidden="1">#REF!</definedName>
    <definedName name="Z_5D41F4B9_83DF_4509_9C07_453BA5A62846_.wvu.FilterData" localSheetId="22" hidden="1">#REF!</definedName>
    <definedName name="Z_5D41F4B9_83DF_4509_9C07_453BA5A62846_.wvu.FilterData" localSheetId="24" hidden="1">#REF!</definedName>
    <definedName name="Z_5D41F4B9_83DF_4509_9C07_453BA5A62846_.wvu.FilterData" localSheetId="23" hidden="1">#REF!</definedName>
    <definedName name="Z_5D41F4B9_83DF_4509_9C07_453BA5A62846_.wvu.FilterData" localSheetId="20" hidden="1">#REF!</definedName>
    <definedName name="Z_5D41F4B9_83DF_4509_9C07_453BA5A62846_.wvu.FilterData" localSheetId="19" hidden="1">#REF!</definedName>
    <definedName name="Z_5D41F4B9_83DF_4509_9C07_453BA5A62846_.wvu.FilterData" localSheetId="26" hidden="1">#REF!</definedName>
    <definedName name="Z_5D41F4B9_83DF_4509_9C07_453BA5A62846_.wvu.FilterData" localSheetId="27" hidden="1">#REF!</definedName>
    <definedName name="Z_5D41F4B9_83DF_4509_9C07_453BA5A62846_.wvu.FilterData" localSheetId="25" hidden="1">#REF!</definedName>
    <definedName name="Z_5D41F4B9_83DF_4509_9C07_453BA5A62846_.wvu.FilterData" localSheetId="7" hidden="1">#REF!</definedName>
    <definedName name="Z_5D41F4B9_83DF_4509_9C07_453BA5A62846_.wvu.FilterData" localSheetId="4" hidden="1">#REF!</definedName>
    <definedName name="Z_5D41F4B9_83DF_4509_9C07_453BA5A62846_.wvu.FilterData" localSheetId="5" hidden="1">#REF!</definedName>
    <definedName name="Z_5D41F4B9_83DF_4509_9C07_453BA5A62846_.wvu.FilterData" localSheetId="2" hidden="1">#REF!</definedName>
    <definedName name="Z_5D41F4B9_83DF_4509_9C07_453BA5A62846_.wvu.FilterData" localSheetId="3" hidden="1">#REF!</definedName>
    <definedName name="Z_5D41F4B9_83DF_4509_9C07_453BA5A62846_.wvu.FilterData" hidden="1">#REF!</definedName>
    <definedName name="Z_5DB05E9F_8F3B_4886_A6CB_2CC53331BA7A_.wvu.FilterData" localSheetId="21" hidden="1">#REF!</definedName>
    <definedName name="Z_5DB05E9F_8F3B_4886_A6CB_2CC53331BA7A_.wvu.FilterData" localSheetId="12" hidden="1">#REF!</definedName>
    <definedName name="Z_5DB05E9F_8F3B_4886_A6CB_2CC53331BA7A_.wvu.FilterData" localSheetId="13" hidden="1">#REF!</definedName>
    <definedName name="Z_5DB05E9F_8F3B_4886_A6CB_2CC53331BA7A_.wvu.FilterData" localSheetId="14" hidden="1">#REF!</definedName>
    <definedName name="Z_5DB05E9F_8F3B_4886_A6CB_2CC53331BA7A_.wvu.FilterData" localSheetId="16" hidden="1">#REF!</definedName>
    <definedName name="Z_5DB05E9F_8F3B_4886_A6CB_2CC53331BA7A_.wvu.FilterData" localSheetId="15" hidden="1">#REF!</definedName>
    <definedName name="Z_5DB05E9F_8F3B_4886_A6CB_2CC53331BA7A_.wvu.FilterData" localSheetId="17" hidden="1">#REF!</definedName>
    <definedName name="Z_5DB05E9F_8F3B_4886_A6CB_2CC53331BA7A_.wvu.FilterData" localSheetId="11" hidden="1">#REF!</definedName>
    <definedName name="Z_5DB05E9F_8F3B_4886_A6CB_2CC53331BA7A_.wvu.FilterData" localSheetId="10" hidden="1">#REF!</definedName>
    <definedName name="Z_5DB05E9F_8F3B_4886_A6CB_2CC53331BA7A_.wvu.FilterData" localSheetId="22" hidden="1">#REF!</definedName>
    <definedName name="Z_5DB05E9F_8F3B_4886_A6CB_2CC53331BA7A_.wvu.FilterData" localSheetId="24" hidden="1">#REF!</definedName>
    <definedName name="Z_5DB05E9F_8F3B_4886_A6CB_2CC53331BA7A_.wvu.FilterData" localSheetId="23" hidden="1">#REF!</definedName>
    <definedName name="Z_5DB05E9F_8F3B_4886_A6CB_2CC53331BA7A_.wvu.FilterData" localSheetId="20" hidden="1">#REF!</definedName>
    <definedName name="Z_5DB05E9F_8F3B_4886_A6CB_2CC53331BA7A_.wvu.FilterData" localSheetId="19" hidden="1">#REF!</definedName>
    <definedName name="Z_5DB05E9F_8F3B_4886_A6CB_2CC53331BA7A_.wvu.FilterData" localSheetId="26" hidden="1">#REF!</definedName>
    <definedName name="Z_5DB05E9F_8F3B_4886_A6CB_2CC53331BA7A_.wvu.FilterData" localSheetId="27" hidden="1">#REF!</definedName>
    <definedName name="Z_5DB05E9F_8F3B_4886_A6CB_2CC53331BA7A_.wvu.FilterData" localSheetId="25" hidden="1">#REF!</definedName>
    <definedName name="Z_5DB05E9F_8F3B_4886_A6CB_2CC53331BA7A_.wvu.FilterData" localSheetId="7" hidden="1">#REF!</definedName>
    <definedName name="Z_5DB05E9F_8F3B_4886_A6CB_2CC53331BA7A_.wvu.FilterData" localSheetId="4" hidden="1">#REF!</definedName>
    <definedName name="Z_5DB05E9F_8F3B_4886_A6CB_2CC53331BA7A_.wvu.FilterData" localSheetId="5" hidden="1">#REF!</definedName>
    <definedName name="Z_5DB05E9F_8F3B_4886_A6CB_2CC53331BA7A_.wvu.FilterData" localSheetId="2" hidden="1">#REF!</definedName>
    <definedName name="Z_5DB05E9F_8F3B_4886_A6CB_2CC53331BA7A_.wvu.FilterData" localSheetId="3" hidden="1">#REF!</definedName>
    <definedName name="Z_5DB05E9F_8F3B_4886_A6CB_2CC53331BA7A_.wvu.FilterData" hidden="1">#REF!</definedName>
    <definedName name="Z_5F096896_2CB8_4B96_A0FE_9AB50EEEEFAB_.wvu.FilterData" localSheetId="21" hidden="1">#REF!</definedName>
    <definedName name="Z_5F096896_2CB8_4B96_A0FE_9AB50EEEEFAB_.wvu.FilterData" localSheetId="12" hidden="1">#REF!</definedName>
    <definedName name="Z_5F096896_2CB8_4B96_A0FE_9AB50EEEEFAB_.wvu.FilterData" localSheetId="13" hidden="1">#REF!</definedName>
    <definedName name="Z_5F096896_2CB8_4B96_A0FE_9AB50EEEEFAB_.wvu.FilterData" localSheetId="14" hidden="1">#REF!</definedName>
    <definedName name="Z_5F096896_2CB8_4B96_A0FE_9AB50EEEEFAB_.wvu.FilterData" localSheetId="16" hidden="1">#REF!</definedName>
    <definedName name="Z_5F096896_2CB8_4B96_A0FE_9AB50EEEEFAB_.wvu.FilterData" localSheetId="15" hidden="1">#REF!</definedName>
    <definedName name="Z_5F096896_2CB8_4B96_A0FE_9AB50EEEEFAB_.wvu.FilterData" localSheetId="17" hidden="1">#REF!</definedName>
    <definedName name="Z_5F096896_2CB8_4B96_A0FE_9AB50EEEEFAB_.wvu.FilterData" localSheetId="11" hidden="1">#REF!</definedName>
    <definedName name="Z_5F096896_2CB8_4B96_A0FE_9AB50EEEEFAB_.wvu.FilterData" localSheetId="10" hidden="1">#REF!</definedName>
    <definedName name="Z_5F096896_2CB8_4B96_A0FE_9AB50EEEEFAB_.wvu.FilterData" localSheetId="22" hidden="1">#REF!</definedName>
    <definedName name="Z_5F096896_2CB8_4B96_A0FE_9AB50EEEEFAB_.wvu.FilterData" localSheetId="24" hidden="1">#REF!</definedName>
    <definedName name="Z_5F096896_2CB8_4B96_A0FE_9AB50EEEEFAB_.wvu.FilterData" localSheetId="23" hidden="1">#REF!</definedName>
    <definedName name="Z_5F096896_2CB8_4B96_A0FE_9AB50EEEEFAB_.wvu.FilterData" localSheetId="20" hidden="1">#REF!</definedName>
    <definedName name="Z_5F096896_2CB8_4B96_A0FE_9AB50EEEEFAB_.wvu.FilterData" localSheetId="19" hidden="1">#REF!</definedName>
    <definedName name="Z_5F096896_2CB8_4B96_A0FE_9AB50EEEEFAB_.wvu.FilterData" localSheetId="26" hidden="1">#REF!</definedName>
    <definedName name="Z_5F096896_2CB8_4B96_A0FE_9AB50EEEEFAB_.wvu.FilterData" localSheetId="27" hidden="1">#REF!</definedName>
    <definedName name="Z_5F096896_2CB8_4B96_A0FE_9AB50EEEEFAB_.wvu.FilterData" localSheetId="25" hidden="1">#REF!</definedName>
    <definedName name="Z_5F096896_2CB8_4B96_A0FE_9AB50EEEEFAB_.wvu.FilterData" localSheetId="7" hidden="1">#REF!</definedName>
    <definedName name="Z_5F096896_2CB8_4B96_A0FE_9AB50EEEEFAB_.wvu.FilterData" localSheetId="4" hidden="1">#REF!</definedName>
    <definedName name="Z_5F096896_2CB8_4B96_A0FE_9AB50EEEEFAB_.wvu.FilterData" localSheetId="5" hidden="1">#REF!</definedName>
    <definedName name="Z_5F096896_2CB8_4B96_A0FE_9AB50EEEEFAB_.wvu.FilterData" localSheetId="2" hidden="1">#REF!</definedName>
    <definedName name="Z_5F096896_2CB8_4B96_A0FE_9AB50EEEEFAB_.wvu.FilterData" localSheetId="3" hidden="1">#REF!</definedName>
    <definedName name="Z_5F096896_2CB8_4B96_A0FE_9AB50EEEEFAB_.wvu.FilterData" hidden="1">#REF!</definedName>
    <definedName name="Z_60DF8B29_1C1F_4B50_BDA8_B8E0C7DD04C3_.wvu.Cols" hidden="1">[9]Jurídico!$D$1:$D$65536,[9]Jurídico!$F$1:$K$65536</definedName>
    <definedName name="Z_616443B5_6F0D_4082_9223_F71B54305366_.wvu.FilterData" localSheetId="21" hidden="1">#REF!</definedName>
    <definedName name="Z_616443B5_6F0D_4082_9223_F71B54305366_.wvu.FilterData" localSheetId="12" hidden="1">#REF!</definedName>
    <definedName name="Z_616443B5_6F0D_4082_9223_F71B54305366_.wvu.FilterData" localSheetId="13" hidden="1">#REF!</definedName>
    <definedName name="Z_616443B5_6F0D_4082_9223_F71B54305366_.wvu.FilterData" localSheetId="14" hidden="1">#REF!</definedName>
    <definedName name="Z_616443B5_6F0D_4082_9223_F71B54305366_.wvu.FilterData" localSheetId="16" hidden="1">#REF!</definedName>
    <definedName name="Z_616443B5_6F0D_4082_9223_F71B54305366_.wvu.FilterData" localSheetId="15" hidden="1">#REF!</definedName>
    <definedName name="Z_616443B5_6F0D_4082_9223_F71B54305366_.wvu.FilterData" localSheetId="17" hidden="1">#REF!</definedName>
    <definedName name="Z_616443B5_6F0D_4082_9223_F71B54305366_.wvu.FilterData" localSheetId="11" hidden="1">#REF!</definedName>
    <definedName name="Z_616443B5_6F0D_4082_9223_F71B54305366_.wvu.FilterData" localSheetId="10" hidden="1">#REF!</definedName>
    <definedName name="Z_616443B5_6F0D_4082_9223_F71B54305366_.wvu.FilterData" localSheetId="22" hidden="1">#REF!</definedName>
    <definedName name="Z_616443B5_6F0D_4082_9223_F71B54305366_.wvu.FilterData" localSheetId="24" hidden="1">#REF!</definedName>
    <definedName name="Z_616443B5_6F0D_4082_9223_F71B54305366_.wvu.FilterData" localSheetId="23" hidden="1">#REF!</definedName>
    <definedName name="Z_616443B5_6F0D_4082_9223_F71B54305366_.wvu.FilterData" localSheetId="20" hidden="1">#REF!</definedName>
    <definedName name="Z_616443B5_6F0D_4082_9223_F71B54305366_.wvu.FilterData" localSheetId="19" hidden="1">#REF!</definedName>
    <definedName name="Z_616443B5_6F0D_4082_9223_F71B54305366_.wvu.FilterData" localSheetId="26" hidden="1">#REF!</definedName>
    <definedName name="Z_616443B5_6F0D_4082_9223_F71B54305366_.wvu.FilterData" localSheetId="27" hidden="1">#REF!</definedName>
    <definedName name="Z_616443B5_6F0D_4082_9223_F71B54305366_.wvu.FilterData" localSheetId="25" hidden="1">#REF!</definedName>
    <definedName name="Z_616443B5_6F0D_4082_9223_F71B54305366_.wvu.FilterData" localSheetId="7" hidden="1">#REF!</definedName>
    <definedName name="Z_616443B5_6F0D_4082_9223_F71B54305366_.wvu.FilterData" localSheetId="4" hidden="1">#REF!</definedName>
    <definedName name="Z_616443B5_6F0D_4082_9223_F71B54305366_.wvu.FilterData" localSheetId="5" hidden="1">#REF!</definedName>
    <definedName name="Z_616443B5_6F0D_4082_9223_F71B54305366_.wvu.FilterData" localSheetId="2" hidden="1">#REF!</definedName>
    <definedName name="Z_616443B5_6F0D_4082_9223_F71B54305366_.wvu.FilterData" localSheetId="3" hidden="1">#REF!</definedName>
    <definedName name="Z_616443B5_6F0D_4082_9223_F71B54305366_.wvu.FilterData" hidden="1">#REF!</definedName>
    <definedName name="Z_631F0312_B404_409F_AF2B_39FB2D25040B_.wvu.FilterData" localSheetId="21" hidden="1">#REF!</definedName>
    <definedName name="Z_631F0312_B404_409F_AF2B_39FB2D25040B_.wvu.FilterData" localSheetId="12" hidden="1">#REF!</definedName>
    <definedName name="Z_631F0312_B404_409F_AF2B_39FB2D25040B_.wvu.FilterData" localSheetId="13" hidden="1">#REF!</definedName>
    <definedName name="Z_631F0312_B404_409F_AF2B_39FB2D25040B_.wvu.FilterData" localSheetId="14" hidden="1">#REF!</definedName>
    <definedName name="Z_631F0312_B404_409F_AF2B_39FB2D25040B_.wvu.FilterData" localSheetId="16" hidden="1">#REF!</definedName>
    <definedName name="Z_631F0312_B404_409F_AF2B_39FB2D25040B_.wvu.FilterData" localSheetId="15" hidden="1">#REF!</definedName>
    <definedName name="Z_631F0312_B404_409F_AF2B_39FB2D25040B_.wvu.FilterData" localSheetId="17" hidden="1">#REF!</definedName>
    <definedName name="Z_631F0312_B404_409F_AF2B_39FB2D25040B_.wvu.FilterData" localSheetId="11" hidden="1">#REF!</definedName>
    <definedName name="Z_631F0312_B404_409F_AF2B_39FB2D25040B_.wvu.FilterData" localSheetId="10" hidden="1">#REF!</definedName>
    <definedName name="Z_631F0312_B404_409F_AF2B_39FB2D25040B_.wvu.FilterData" localSheetId="22" hidden="1">#REF!</definedName>
    <definedName name="Z_631F0312_B404_409F_AF2B_39FB2D25040B_.wvu.FilterData" localSheetId="24" hidden="1">#REF!</definedName>
    <definedName name="Z_631F0312_B404_409F_AF2B_39FB2D25040B_.wvu.FilterData" localSheetId="23" hidden="1">#REF!</definedName>
    <definedName name="Z_631F0312_B404_409F_AF2B_39FB2D25040B_.wvu.FilterData" localSheetId="20" hidden="1">#REF!</definedName>
    <definedName name="Z_631F0312_B404_409F_AF2B_39FB2D25040B_.wvu.FilterData" localSheetId="19" hidden="1">#REF!</definedName>
    <definedName name="Z_631F0312_B404_409F_AF2B_39FB2D25040B_.wvu.FilterData" localSheetId="26" hidden="1">#REF!</definedName>
    <definedName name="Z_631F0312_B404_409F_AF2B_39FB2D25040B_.wvu.FilterData" localSheetId="27" hidden="1">#REF!</definedName>
    <definedName name="Z_631F0312_B404_409F_AF2B_39FB2D25040B_.wvu.FilterData" localSheetId="25" hidden="1">#REF!</definedName>
    <definedName name="Z_631F0312_B404_409F_AF2B_39FB2D25040B_.wvu.FilterData" localSheetId="7" hidden="1">#REF!</definedName>
    <definedName name="Z_631F0312_B404_409F_AF2B_39FB2D25040B_.wvu.FilterData" localSheetId="4" hidden="1">#REF!</definedName>
    <definedName name="Z_631F0312_B404_409F_AF2B_39FB2D25040B_.wvu.FilterData" localSheetId="5" hidden="1">#REF!</definedName>
    <definedName name="Z_631F0312_B404_409F_AF2B_39FB2D25040B_.wvu.FilterData" localSheetId="2" hidden="1">#REF!</definedName>
    <definedName name="Z_631F0312_B404_409F_AF2B_39FB2D25040B_.wvu.FilterData" localSheetId="3" hidden="1">#REF!</definedName>
    <definedName name="Z_631F0312_B404_409F_AF2B_39FB2D25040B_.wvu.FilterData" hidden="1">#REF!</definedName>
    <definedName name="Z_632CF316_8294_4588_87E1_2B69E184A62B_.wvu.FilterData" localSheetId="21" hidden="1">#REF!</definedName>
    <definedName name="Z_632CF316_8294_4588_87E1_2B69E184A62B_.wvu.FilterData" localSheetId="12" hidden="1">#REF!</definedName>
    <definedName name="Z_632CF316_8294_4588_87E1_2B69E184A62B_.wvu.FilterData" localSheetId="13" hidden="1">#REF!</definedName>
    <definedName name="Z_632CF316_8294_4588_87E1_2B69E184A62B_.wvu.FilterData" localSheetId="14" hidden="1">#REF!</definedName>
    <definedName name="Z_632CF316_8294_4588_87E1_2B69E184A62B_.wvu.FilterData" localSheetId="16" hidden="1">#REF!</definedName>
    <definedName name="Z_632CF316_8294_4588_87E1_2B69E184A62B_.wvu.FilterData" localSheetId="15" hidden="1">#REF!</definedName>
    <definedName name="Z_632CF316_8294_4588_87E1_2B69E184A62B_.wvu.FilterData" localSheetId="17" hidden="1">#REF!</definedName>
    <definedName name="Z_632CF316_8294_4588_87E1_2B69E184A62B_.wvu.FilterData" localSheetId="11" hidden="1">#REF!</definedName>
    <definedName name="Z_632CF316_8294_4588_87E1_2B69E184A62B_.wvu.FilterData" localSheetId="10" hidden="1">#REF!</definedName>
    <definedName name="Z_632CF316_8294_4588_87E1_2B69E184A62B_.wvu.FilterData" localSheetId="22" hidden="1">#REF!</definedName>
    <definedName name="Z_632CF316_8294_4588_87E1_2B69E184A62B_.wvu.FilterData" localSheetId="24" hidden="1">#REF!</definedName>
    <definedName name="Z_632CF316_8294_4588_87E1_2B69E184A62B_.wvu.FilterData" localSheetId="23" hidden="1">#REF!</definedName>
    <definedName name="Z_632CF316_8294_4588_87E1_2B69E184A62B_.wvu.FilterData" localSheetId="20" hidden="1">#REF!</definedName>
    <definedName name="Z_632CF316_8294_4588_87E1_2B69E184A62B_.wvu.FilterData" localSheetId="19" hidden="1">#REF!</definedName>
    <definedName name="Z_632CF316_8294_4588_87E1_2B69E184A62B_.wvu.FilterData" localSheetId="26" hidden="1">#REF!</definedName>
    <definedName name="Z_632CF316_8294_4588_87E1_2B69E184A62B_.wvu.FilterData" localSheetId="27" hidden="1">#REF!</definedName>
    <definedName name="Z_632CF316_8294_4588_87E1_2B69E184A62B_.wvu.FilterData" localSheetId="25" hidden="1">#REF!</definedName>
    <definedName name="Z_632CF316_8294_4588_87E1_2B69E184A62B_.wvu.FilterData" localSheetId="7" hidden="1">#REF!</definedName>
    <definedName name="Z_632CF316_8294_4588_87E1_2B69E184A62B_.wvu.FilterData" localSheetId="4" hidden="1">#REF!</definedName>
    <definedName name="Z_632CF316_8294_4588_87E1_2B69E184A62B_.wvu.FilterData" localSheetId="5" hidden="1">#REF!</definedName>
    <definedName name="Z_632CF316_8294_4588_87E1_2B69E184A62B_.wvu.FilterData" localSheetId="2" hidden="1">#REF!</definedName>
    <definedName name="Z_632CF316_8294_4588_87E1_2B69E184A62B_.wvu.FilterData" localSheetId="3" hidden="1">#REF!</definedName>
    <definedName name="Z_632CF316_8294_4588_87E1_2B69E184A62B_.wvu.FilterData" hidden="1">#REF!</definedName>
    <definedName name="Z_66D1BA5F_F4AE_443C_8583_CE89D6674A73_.wvu.FilterData" localSheetId="21" hidden="1">#REF!</definedName>
    <definedName name="Z_66D1BA5F_F4AE_443C_8583_CE89D6674A73_.wvu.FilterData" localSheetId="12" hidden="1">#REF!</definedName>
    <definedName name="Z_66D1BA5F_F4AE_443C_8583_CE89D6674A73_.wvu.FilterData" localSheetId="13" hidden="1">#REF!</definedName>
    <definedName name="Z_66D1BA5F_F4AE_443C_8583_CE89D6674A73_.wvu.FilterData" localSheetId="14" hidden="1">#REF!</definedName>
    <definedName name="Z_66D1BA5F_F4AE_443C_8583_CE89D6674A73_.wvu.FilterData" localSheetId="16" hidden="1">#REF!</definedName>
    <definedName name="Z_66D1BA5F_F4AE_443C_8583_CE89D6674A73_.wvu.FilterData" localSheetId="15" hidden="1">#REF!</definedName>
    <definedName name="Z_66D1BA5F_F4AE_443C_8583_CE89D6674A73_.wvu.FilterData" localSheetId="17" hidden="1">#REF!</definedName>
    <definedName name="Z_66D1BA5F_F4AE_443C_8583_CE89D6674A73_.wvu.FilterData" localSheetId="11" hidden="1">#REF!</definedName>
    <definedName name="Z_66D1BA5F_F4AE_443C_8583_CE89D6674A73_.wvu.FilterData" localSheetId="10" hidden="1">#REF!</definedName>
    <definedName name="Z_66D1BA5F_F4AE_443C_8583_CE89D6674A73_.wvu.FilterData" localSheetId="22" hidden="1">#REF!</definedName>
    <definedName name="Z_66D1BA5F_F4AE_443C_8583_CE89D6674A73_.wvu.FilterData" localSheetId="24" hidden="1">#REF!</definedName>
    <definedName name="Z_66D1BA5F_F4AE_443C_8583_CE89D6674A73_.wvu.FilterData" localSheetId="23" hidden="1">#REF!</definedName>
    <definedName name="Z_66D1BA5F_F4AE_443C_8583_CE89D6674A73_.wvu.FilterData" localSheetId="20" hidden="1">#REF!</definedName>
    <definedName name="Z_66D1BA5F_F4AE_443C_8583_CE89D6674A73_.wvu.FilterData" localSheetId="19" hidden="1">#REF!</definedName>
    <definedName name="Z_66D1BA5F_F4AE_443C_8583_CE89D6674A73_.wvu.FilterData" localSheetId="26" hidden="1">#REF!</definedName>
    <definedName name="Z_66D1BA5F_F4AE_443C_8583_CE89D6674A73_.wvu.FilterData" localSheetId="27" hidden="1">#REF!</definedName>
    <definedName name="Z_66D1BA5F_F4AE_443C_8583_CE89D6674A73_.wvu.FilterData" localSheetId="25" hidden="1">#REF!</definedName>
    <definedName name="Z_66D1BA5F_F4AE_443C_8583_CE89D6674A73_.wvu.FilterData" localSheetId="7" hidden="1">#REF!</definedName>
    <definedName name="Z_66D1BA5F_F4AE_443C_8583_CE89D6674A73_.wvu.FilterData" localSheetId="4" hidden="1">#REF!</definedName>
    <definedName name="Z_66D1BA5F_F4AE_443C_8583_CE89D6674A73_.wvu.FilterData" localSheetId="5" hidden="1">#REF!</definedName>
    <definedName name="Z_66D1BA5F_F4AE_443C_8583_CE89D6674A73_.wvu.FilterData" localSheetId="2" hidden="1">#REF!</definedName>
    <definedName name="Z_66D1BA5F_F4AE_443C_8583_CE89D6674A73_.wvu.FilterData" localSheetId="3" hidden="1">#REF!</definedName>
    <definedName name="Z_66D1BA5F_F4AE_443C_8583_CE89D6674A73_.wvu.FilterData" hidden="1">#REF!</definedName>
    <definedName name="Z_66DD4806_8039_438A_B1CE_46CC5B464050_.wvu.FilterData" localSheetId="21" hidden="1">#REF!</definedName>
    <definedName name="Z_66DD4806_8039_438A_B1CE_46CC5B464050_.wvu.FilterData" localSheetId="12" hidden="1">#REF!</definedName>
    <definedName name="Z_66DD4806_8039_438A_B1CE_46CC5B464050_.wvu.FilterData" localSheetId="13" hidden="1">#REF!</definedName>
    <definedName name="Z_66DD4806_8039_438A_B1CE_46CC5B464050_.wvu.FilterData" localSheetId="14" hidden="1">#REF!</definedName>
    <definedName name="Z_66DD4806_8039_438A_B1CE_46CC5B464050_.wvu.FilterData" localSheetId="16" hidden="1">#REF!</definedName>
    <definedName name="Z_66DD4806_8039_438A_B1CE_46CC5B464050_.wvu.FilterData" localSheetId="15" hidden="1">#REF!</definedName>
    <definedName name="Z_66DD4806_8039_438A_B1CE_46CC5B464050_.wvu.FilterData" localSheetId="17" hidden="1">#REF!</definedName>
    <definedName name="Z_66DD4806_8039_438A_B1CE_46CC5B464050_.wvu.FilterData" localSheetId="11" hidden="1">#REF!</definedName>
    <definedName name="Z_66DD4806_8039_438A_B1CE_46CC5B464050_.wvu.FilterData" localSheetId="10" hidden="1">#REF!</definedName>
    <definedName name="Z_66DD4806_8039_438A_B1CE_46CC5B464050_.wvu.FilterData" localSheetId="22" hidden="1">#REF!</definedName>
    <definedName name="Z_66DD4806_8039_438A_B1CE_46CC5B464050_.wvu.FilterData" localSheetId="24" hidden="1">#REF!</definedName>
    <definedName name="Z_66DD4806_8039_438A_B1CE_46CC5B464050_.wvu.FilterData" localSheetId="23" hidden="1">#REF!</definedName>
    <definedName name="Z_66DD4806_8039_438A_B1CE_46CC5B464050_.wvu.FilterData" localSheetId="20" hidden="1">#REF!</definedName>
    <definedName name="Z_66DD4806_8039_438A_B1CE_46CC5B464050_.wvu.FilterData" localSheetId="19" hidden="1">#REF!</definedName>
    <definedName name="Z_66DD4806_8039_438A_B1CE_46CC5B464050_.wvu.FilterData" localSheetId="26" hidden="1">#REF!</definedName>
    <definedName name="Z_66DD4806_8039_438A_B1CE_46CC5B464050_.wvu.FilterData" localSheetId="27" hidden="1">#REF!</definedName>
    <definedName name="Z_66DD4806_8039_438A_B1CE_46CC5B464050_.wvu.FilterData" localSheetId="25" hidden="1">#REF!</definedName>
    <definedName name="Z_66DD4806_8039_438A_B1CE_46CC5B464050_.wvu.FilterData" localSheetId="7" hidden="1">#REF!</definedName>
    <definedName name="Z_66DD4806_8039_438A_B1CE_46CC5B464050_.wvu.FilterData" localSheetId="4" hidden="1">#REF!</definedName>
    <definedName name="Z_66DD4806_8039_438A_B1CE_46CC5B464050_.wvu.FilterData" localSheetId="5" hidden="1">#REF!</definedName>
    <definedName name="Z_66DD4806_8039_438A_B1CE_46CC5B464050_.wvu.FilterData" localSheetId="2" hidden="1">#REF!</definedName>
    <definedName name="Z_66DD4806_8039_438A_B1CE_46CC5B464050_.wvu.FilterData" localSheetId="3" hidden="1">#REF!</definedName>
    <definedName name="Z_66DD4806_8039_438A_B1CE_46CC5B464050_.wvu.FilterData" hidden="1">#REF!</definedName>
    <definedName name="Z_67B65FDF_FF67_490E_B8E5_92DC66C9FC9D_.wvu.FilterData" localSheetId="21" hidden="1">#REF!</definedName>
    <definedName name="Z_67B65FDF_FF67_490E_B8E5_92DC66C9FC9D_.wvu.FilterData" localSheetId="12" hidden="1">#REF!</definedName>
    <definedName name="Z_67B65FDF_FF67_490E_B8E5_92DC66C9FC9D_.wvu.FilterData" localSheetId="13" hidden="1">#REF!</definedName>
    <definedName name="Z_67B65FDF_FF67_490E_B8E5_92DC66C9FC9D_.wvu.FilterData" localSheetId="14" hidden="1">#REF!</definedName>
    <definedName name="Z_67B65FDF_FF67_490E_B8E5_92DC66C9FC9D_.wvu.FilterData" localSheetId="16" hidden="1">#REF!</definedName>
    <definedName name="Z_67B65FDF_FF67_490E_B8E5_92DC66C9FC9D_.wvu.FilterData" localSheetId="15" hidden="1">#REF!</definedName>
    <definedName name="Z_67B65FDF_FF67_490E_B8E5_92DC66C9FC9D_.wvu.FilterData" localSheetId="17" hidden="1">#REF!</definedName>
    <definedName name="Z_67B65FDF_FF67_490E_B8E5_92DC66C9FC9D_.wvu.FilterData" localSheetId="11" hidden="1">#REF!</definedName>
    <definedName name="Z_67B65FDF_FF67_490E_B8E5_92DC66C9FC9D_.wvu.FilterData" localSheetId="10" hidden="1">#REF!</definedName>
    <definedName name="Z_67B65FDF_FF67_490E_B8E5_92DC66C9FC9D_.wvu.FilterData" localSheetId="22" hidden="1">#REF!</definedName>
    <definedName name="Z_67B65FDF_FF67_490E_B8E5_92DC66C9FC9D_.wvu.FilterData" localSheetId="24" hidden="1">#REF!</definedName>
    <definedName name="Z_67B65FDF_FF67_490E_B8E5_92DC66C9FC9D_.wvu.FilterData" localSheetId="23" hidden="1">#REF!</definedName>
    <definedName name="Z_67B65FDF_FF67_490E_B8E5_92DC66C9FC9D_.wvu.FilterData" localSheetId="20" hidden="1">#REF!</definedName>
    <definedName name="Z_67B65FDF_FF67_490E_B8E5_92DC66C9FC9D_.wvu.FilterData" localSheetId="19" hidden="1">#REF!</definedName>
    <definedName name="Z_67B65FDF_FF67_490E_B8E5_92DC66C9FC9D_.wvu.FilterData" localSheetId="26" hidden="1">#REF!</definedName>
    <definedName name="Z_67B65FDF_FF67_490E_B8E5_92DC66C9FC9D_.wvu.FilterData" localSheetId="27" hidden="1">#REF!</definedName>
    <definedName name="Z_67B65FDF_FF67_490E_B8E5_92DC66C9FC9D_.wvu.FilterData" localSheetId="25" hidden="1">#REF!</definedName>
    <definedName name="Z_67B65FDF_FF67_490E_B8E5_92DC66C9FC9D_.wvu.FilterData" localSheetId="7" hidden="1">#REF!</definedName>
    <definedName name="Z_67B65FDF_FF67_490E_B8E5_92DC66C9FC9D_.wvu.FilterData" localSheetId="4" hidden="1">#REF!</definedName>
    <definedName name="Z_67B65FDF_FF67_490E_B8E5_92DC66C9FC9D_.wvu.FilterData" localSheetId="5" hidden="1">#REF!</definedName>
    <definedName name="Z_67B65FDF_FF67_490E_B8E5_92DC66C9FC9D_.wvu.FilterData" localSheetId="2" hidden="1">#REF!</definedName>
    <definedName name="Z_67B65FDF_FF67_490E_B8E5_92DC66C9FC9D_.wvu.FilterData" localSheetId="3" hidden="1">#REF!</definedName>
    <definedName name="Z_67B65FDF_FF67_490E_B8E5_92DC66C9FC9D_.wvu.FilterData" hidden="1">#REF!</definedName>
    <definedName name="Z_68B709DF_9429_4090_9106_386C5F16C4D7_.wvu.FilterData" localSheetId="21" hidden="1">#REF!</definedName>
    <definedName name="Z_68B709DF_9429_4090_9106_386C5F16C4D7_.wvu.FilterData" localSheetId="12" hidden="1">#REF!</definedName>
    <definedName name="Z_68B709DF_9429_4090_9106_386C5F16C4D7_.wvu.FilterData" localSheetId="13" hidden="1">#REF!</definedName>
    <definedName name="Z_68B709DF_9429_4090_9106_386C5F16C4D7_.wvu.FilterData" localSheetId="14" hidden="1">#REF!</definedName>
    <definedName name="Z_68B709DF_9429_4090_9106_386C5F16C4D7_.wvu.FilterData" localSheetId="16" hidden="1">#REF!</definedName>
    <definedName name="Z_68B709DF_9429_4090_9106_386C5F16C4D7_.wvu.FilterData" localSheetId="15" hidden="1">#REF!</definedName>
    <definedName name="Z_68B709DF_9429_4090_9106_386C5F16C4D7_.wvu.FilterData" localSheetId="17" hidden="1">#REF!</definedName>
    <definedName name="Z_68B709DF_9429_4090_9106_386C5F16C4D7_.wvu.FilterData" localSheetId="11" hidden="1">#REF!</definedName>
    <definedName name="Z_68B709DF_9429_4090_9106_386C5F16C4D7_.wvu.FilterData" localSheetId="10" hidden="1">#REF!</definedName>
    <definedName name="Z_68B709DF_9429_4090_9106_386C5F16C4D7_.wvu.FilterData" localSheetId="22" hidden="1">#REF!</definedName>
    <definedName name="Z_68B709DF_9429_4090_9106_386C5F16C4D7_.wvu.FilterData" localSheetId="24" hidden="1">#REF!</definedName>
    <definedName name="Z_68B709DF_9429_4090_9106_386C5F16C4D7_.wvu.FilterData" localSheetId="23" hidden="1">#REF!</definedName>
    <definedName name="Z_68B709DF_9429_4090_9106_386C5F16C4D7_.wvu.FilterData" localSheetId="20" hidden="1">#REF!</definedName>
    <definedName name="Z_68B709DF_9429_4090_9106_386C5F16C4D7_.wvu.FilterData" localSheetId="19" hidden="1">#REF!</definedName>
    <definedName name="Z_68B709DF_9429_4090_9106_386C5F16C4D7_.wvu.FilterData" localSheetId="26" hidden="1">#REF!</definedName>
    <definedName name="Z_68B709DF_9429_4090_9106_386C5F16C4D7_.wvu.FilterData" localSheetId="27" hidden="1">#REF!</definedName>
    <definedName name="Z_68B709DF_9429_4090_9106_386C5F16C4D7_.wvu.FilterData" localSheetId="25" hidden="1">#REF!</definedName>
    <definedName name="Z_68B709DF_9429_4090_9106_386C5F16C4D7_.wvu.FilterData" localSheetId="7" hidden="1">#REF!</definedName>
    <definedName name="Z_68B709DF_9429_4090_9106_386C5F16C4D7_.wvu.FilterData" localSheetId="4" hidden="1">#REF!</definedName>
    <definedName name="Z_68B709DF_9429_4090_9106_386C5F16C4D7_.wvu.FilterData" localSheetId="5" hidden="1">#REF!</definedName>
    <definedName name="Z_68B709DF_9429_4090_9106_386C5F16C4D7_.wvu.FilterData" localSheetId="2" hidden="1">#REF!</definedName>
    <definedName name="Z_68B709DF_9429_4090_9106_386C5F16C4D7_.wvu.FilterData" localSheetId="3" hidden="1">#REF!</definedName>
    <definedName name="Z_68B709DF_9429_4090_9106_386C5F16C4D7_.wvu.FilterData" hidden="1">#REF!</definedName>
    <definedName name="Z_690BC25F_5AA3_4B4B_9507_8C197E768E98_.wvu.FilterData" localSheetId="21" hidden="1">#REF!</definedName>
    <definedName name="Z_690BC25F_5AA3_4B4B_9507_8C197E768E98_.wvu.FilterData" localSheetId="12" hidden="1">#REF!</definedName>
    <definedName name="Z_690BC25F_5AA3_4B4B_9507_8C197E768E98_.wvu.FilterData" localSheetId="13" hidden="1">#REF!</definedName>
    <definedName name="Z_690BC25F_5AA3_4B4B_9507_8C197E768E98_.wvu.FilterData" localSheetId="14" hidden="1">#REF!</definedName>
    <definedName name="Z_690BC25F_5AA3_4B4B_9507_8C197E768E98_.wvu.FilterData" localSheetId="16" hidden="1">#REF!</definedName>
    <definedName name="Z_690BC25F_5AA3_4B4B_9507_8C197E768E98_.wvu.FilterData" localSheetId="15" hidden="1">#REF!</definedName>
    <definedName name="Z_690BC25F_5AA3_4B4B_9507_8C197E768E98_.wvu.FilterData" localSheetId="17" hidden="1">#REF!</definedName>
    <definedName name="Z_690BC25F_5AA3_4B4B_9507_8C197E768E98_.wvu.FilterData" localSheetId="11" hidden="1">#REF!</definedName>
    <definedName name="Z_690BC25F_5AA3_4B4B_9507_8C197E768E98_.wvu.FilterData" localSheetId="10" hidden="1">#REF!</definedName>
    <definedName name="Z_690BC25F_5AA3_4B4B_9507_8C197E768E98_.wvu.FilterData" localSheetId="22" hidden="1">#REF!</definedName>
    <definedName name="Z_690BC25F_5AA3_4B4B_9507_8C197E768E98_.wvu.FilterData" localSheetId="24" hidden="1">#REF!</definedName>
    <definedName name="Z_690BC25F_5AA3_4B4B_9507_8C197E768E98_.wvu.FilterData" localSheetId="23" hidden="1">#REF!</definedName>
    <definedName name="Z_690BC25F_5AA3_4B4B_9507_8C197E768E98_.wvu.FilterData" localSheetId="20" hidden="1">#REF!</definedName>
    <definedName name="Z_690BC25F_5AA3_4B4B_9507_8C197E768E98_.wvu.FilterData" localSheetId="19" hidden="1">#REF!</definedName>
    <definedName name="Z_690BC25F_5AA3_4B4B_9507_8C197E768E98_.wvu.FilterData" localSheetId="26" hidden="1">#REF!</definedName>
    <definedName name="Z_690BC25F_5AA3_4B4B_9507_8C197E768E98_.wvu.FilterData" localSheetId="27" hidden="1">#REF!</definedName>
    <definedName name="Z_690BC25F_5AA3_4B4B_9507_8C197E768E98_.wvu.FilterData" localSheetId="25" hidden="1">#REF!</definedName>
    <definedName name="Z_690BC25F_5AA3_4B4B_9507_8C197E768E98_.wvu.FilterData" localSheetId="7" hidden="1">#REF!</definedName>
    <definedName name="Z_690BC25F_5AA3_4B4B_9507_8C197E768E98_.wvu.FilterData" localSheetId="4" hidden="1">#REF!</definedName>
    <definedName name="Z_690BC25F_5AA3_4B4B_9507_8C197E768E98_.wvu.FilterData" localSheetId="5" hidden="1">#REF!</definedName>
    <definedName name="Z_690BC25F_5AA3_4B4B_9507_8C197E768E98_.wvu.FilterData" localSheetId="2" hidden="1">#REF!</definedName>
    <definedName name="Z_690BC25F_5AA3_4B4B_9507_8C197E768E98_.wvu.FilterData" localSheetId="3" hidden="1">#REF!</definedName>
    <definedName name="Z_690BC25F_5AA3_4B4B_9507_8C197E768E98_.wvu.FilterData" hidden="1">#REF!</definedName>
    <definedName name="Z_6A66B8A7_491B_4A29_94A1_39F4FDA32C48_.wvu.FilterData" localSheetId="21" hidden="1">#REF!</definedName>
    <definedName name="Z_6A66B8A7_491B_4A29_94A1_39F4FDA32C48_.wvu.FilterData" localSheetId="12" hidden="1">#REF!</definedName>
    <definedName name="Z_6A66B8A7_491B_4A29_94A1_39F4FDA32C48_.wvu.FilterData" localSheetId="13" hidden="1">#REF!</definedName>
    <definedName name="Z_6A66B8A7_491B_4A29_94A1_39F4FDA32C48_.wvu.FilterData" localSheetId="14" hidden="1">#REF!</definedName>
    <definedName name="Z_6A66B8A7_491B_4A29_94A1_39F4FDA32C48_.wvu.FilterData" localSheetId="16" hidden="1">#REF!</definedName>
    <definedName name="Z_6A66B8A7_491B_4A29_94A1_39F4FDA32C48_.wvu.FilterData" localSheetId="15" hidden="1">#REF!</definedName>
    <definedName name="Z_6A66B8A7_491B_4A29_94A1_39F4FDA32C48_.wvu.FilterData" localSheetId="17" hidden="1">#REF!</definedName>
    <definedName name="Z_6A66B8A7_491B_4A29_94A1_39F4FDA32C48_.wvu.FilterData" localSheetId="11" hidden="1">#REF!</definedName>
    <definedName name="Z_6A66B8A7_491B_4A29_94A1_39F4FDA32C48_.wvu.FilterData" localSheetId="10" hidden="1">#REF!</definedName>
    <definedName name="Z_6A66B8A7_491B_4A29_94A1_39F4FDA32C48_.wvu.FilterData" localSheetId="22" hidden="1">#REF!</definedName>
    <definedName name="Z_6A66B8A7_491B_4A29_94A1_39F4FDA32C48_.wvu.FilterData" localSheetId="24" hidden="1">#REF!</definedName>
    <definedName name="Z_6A66B8A7_491B_4A29_94A1_39F4FDA32C48_.wvu.FilterData" localSheetId="23" hidden="1">#REF!</definedName>
    <definedName name="Z_6A66B8A7_491B_4A29_94A1_39F4FDA32C48_.wvu.FilterData" localSheetId="20" hidden="1">#REF!</definedName>
    <definedName name="Z_6A66B8A7_491B_4A29_94A1_39F4FDA32C48_.wvu.FilterData" localSheetId="19" hidden="1">#REF!</definedName>
    <definedName name="Z_6A66B8A7_491B_4A29_94A1_39F4FDA32C48_.wvu.FilterData" localSheetId="26" hidden="1">#REF!</definedName>
    <definedName name="Z_6A66B8A7_491B_4A29_94A1_39F4FDA32C48_.wvu.FilterData" localSheetId="27" hidden="1">#REF!</definedName>
    <definedName name="Z_6A66B8A7_491B_4A29_94A1_39F4FDA32C48_.wvu.FilterData" localSheetId="25" hidden="1">#REF!</definedName>
    <definedName name="Z_6A66B8A7_491B_4A29_94A1_39F4FDA32C48_.wvu.FilterData" localSheetId="7" hidden="1">#REF!</definedName>
    <definedName name="Z_6A66B8A7_491B_4A29_94A1_39F4FDA32C48_.wvu.FilterData" localSheetId="4" hidden="1">#REF!</definedName>
    <definedName name="Z_6A66B8A7_491B_4A29_94A1_39F4FDA32C48_.wvu.FilterData" localSheetId="5" hidden="1">#REF!</definedName>
    <definedName name="Z_6A66B8A7_491B_4A29_94A1_39F4FDA32C48_.wvu.FilterData" localSheetId="2" hidden="1">#REF!</definedName>
    <definedName name="Z_6A66B8A7_491B_4A29_94A1_39F4FDA32C48_.wvu.FilterData" localSheetId="3" hidden="1">#REF!</definedName>
    <definedName name="Z_6A66B8A7_491B_4A29_94A1_39F4FDA32C48_.wvu.FilterData" hidden="1">#REF!</definedName>
    <definedName name="Z_6A6F36C8_24A1_4147_9C63_27B7978935DD_.wvu.FilterData" localSheetId="21" hidden="1">#REF!</definedName>
    <definedName name="Z_6A6F36C8_24A1_4147_9C63_27B7978935DD_.wvu.FilterData" localSheetId="12" hidden="1">#REF!</definedName>
    <definedName name="Z_6A6F36C8_24A1_4147_9C63_27B7978935DD_.wvu.FilterData" localSheetId="13" hidden="1">#REF!</definedName>
    <definedName name="Z_6A6F36C8_24A1_4147_9C63_27B7978935DD_.wvu.FilterData" localSheetId="14" hidden="1">#REF!</definedName>
    <definedName name="Z_6A6F36C8_24A1_4147_9C63_27B7978935DD_.wvu.FilterData" localSheetId="16" hidden="1">#REF!</definedName>
    <definedName name="Z_6A6F36C8_24A1_4147_9C63_27B7978935DD_.wvu.FilterData" localSheetId="15" hidden="1">#REF!</definedName>
    <definedName name="Z_6A6F36C8_24A1_4147_9C63_27B7978935DD_.wvu.FilterData" localSheetId="17" hidden="1">#REF!</definedName>
    <definedName name="Z_6A6F36C8_24A1_4147_9C63_27B7978935DD_.wvu.FilterData" localSheetId="11" hidden="1">#REF!</definedName>
    <definedName name="Z_6A6F36C8_24A1_4147_9C63_27B7978935DD_.wvu.FilterData" localSheetId="10" hidden="1">#REF!</definedName>
    <definedName name="Z_6A6F36C8_24A1_4147_9C63_27B7978935DD_.wvu.FilterData" localSheetId="22" hidden="1">#REF!</definedName>
    <definedName name="Z_6A6F36C8_24A1_4147_9C63_27B7978935DD_.wvu.FilterData" localSheetId="24" hidden="1">#REF!</definedName>
    <definedName name="Z_6A6F36C8_24A1_4147_9C63_27B7978935DD_.wvu.FilterData" localSheetId="23" hidden="1">#REF!</definedName>
    <definedName name="Z_6A6F36C8_24A1_4147_9C63_27B7978935DD_.wvu.FilterData" localSheetId="20" hidden="1">#REF!</definedName>
    <definedName name="Z_6A6F36C8_24A1_4147_9C63_27B7978935DD_.wvu.FilterData" localSheetId="19" hidden="1">#REF!</definedName>
    <definedName name="Z_6A6F36C8_24A1_4147_9C63_27B7978935DD_.wvu.FilterData" localSheetId="26" hidden="1">#REF!</definedName>
    <definedName name="Z_6A6F36C8_24A1_4147_9C63_27B7978935DD_.wvu.FilterData" localSheetId="27" hidden="1">#REF!</definedName>
    <definedName name="Z_6A6F36C8_24A1_4147_9C63_27B7978935DD_.wvu.FilterData" localSheetId="25" hidden="1">#REF!</definedName>
    <definedName name="Z_6A6F36C8_24A1_4147_9C63_27B7978935DD_.wvu.FilterData" localSheetId="7" hidden="1">#REF!</definedName>
    <definedName name="Z_6A6F36C8_24A1_4147_9C63_27B7978935DD_.wvu.FilterData" localSheetId="4" hidden="1">#REF!</definedName>
    <definedName name="Z_6A6F36C8_24A1_4147_9C63_27B7978935DD_.wvu.FilterData" localSheetId="5" hidden="1">#REF!</definedName>
    <definedName name="Z_6A6F36C8_24A1_4147_9C63_27B7978935DD_.wvu.FilterData" localSheetId="2" hidden="1">#REF!</definedName>
    <definedName name="Z_6A6F36C8_24A1_4147_9C63_27B7978935DD_.wvu.FilterData" localSheetId="3" hidden="1">#REF!</definedName>
    <definedName name="Z_6A6F36C8_24A1_4147_9C63_27B7978935DD_.wvu.FilterData" hidden="1">#REF!</definedName>
    <definedName name="Z_6C2050D3_ABE5_4B48_B2A7_DDDD21669987_.wvu.FilterData" localSheetId="21" hidden="1">#REF!</definedName>
    <definedName name="Z_6C2050D3_ABE5_4B48_B2A7_DDDD21669987_.wvu.FilterData" localSheetId="12" hidden="1">#REF!</definedName>
    <definedName name="Z_6C2050D3_ABE5_4B48_B2A7_DDDD21669987_.wvu.FilterData" localSheetId="13" hidden="1">#REF!</definedName>
    <definedName name="Z_6C2050D3_ABE5_4B48_B2A7_DDDD21669987_.wvu.FilterData" localSheetId="14" hidden="1">#REF!</definedName>
    <definedName name="Z_6C2050D3_ABE5_4B48_B2A7_DDDD21669987_.wvu.FilterData" localSheetId="16" hidden="1">#REF!</definedName>
    <definedName name="Z_6C2050D3_ABE5_4B48_B2A7_DDDD21669987_.wvu.FilterData" localSheetId="15" hidden="1">#REF!</definedName>
    <definedName name="Z_6C2050D3_ABE5_4B48_B2A7_DDDD21669987_.wvu.FilterData" localSheetId="17" hidden="1">#REF!</definedName>
    <definedName name="Z_6C2050D3_ABE5_4B48_B2A7_DDDD21669987_.wvu.FilterData" localSheetId="11" hidden="1">#REF!</definedName>
    <definedName name="Z_6C2050D3_ABE5_4B48_B2A7_DDDD21669987_.wvu.FilterData" localSheetId="10" hidden="1">#REF!</definedName>
    <definedName name="Z_6C2050D3_ABE5_4B48_B2A7_DDDD21669987_.wvu.FilterData" localSheetId="22" hidden="1">#REF!</definedName>
    <definedName name="Z_6C2050D3_ABE5_4B48_B2A7_DDDD21669987_.wvu.FilterData" localSheetId="24" hidden="1">#REF!</definedName>
    <definedName name="Z_6C2050D3_ABE5_4B48_B2A7_DDDD21669987_.wvu.FilterData" localSheetId="23" hidden="1">#REF!</definedName>
    <definedName name="Z_6C2050D3_ABE5_4B48_B2A7_DDDD21669987_.wvu.FilterData" localSheetId="20" hidden="1">#REF!</definedName>
    <definedName name="Z_6C2050D3_ABE5_4B48_B2A7_DDDD21669987_.wvu.FilterData" localSheetId="19" hidden="1">#REF!</definedName>
    <definedName name="Z_6C2050D3_ABE5_4B48_B2A7_DDDD21669987_.wvu.FilterData" localSheetId="26" hidden="1">#REF!</definedName>
    <definedName name="Z_6C2050D3_ABE5_4B48_B2A7_DDDD21669987_.wvu.FilterData" localSheetId="27" hidden="1">#REF!</definedName>
    <definedName name="Z_6C2050D3_ABE5_4B48_B2A7_DDDD21669987_.wvu.FilterData" localSheetId="25" hidden="1">#REF!</definedName>
    <definedName name="Z_6C2050D3_ABE5_4B48_B2A7_DDDD21669987_.wvu.FilterData" localSheetId="7" hidden="1">#REF!</definedName>
    <definedName name="Z_6C2050D3_ABE5_4B48_B2A7_DDDD21669987_.wvu.FilterData" localSheetId="4" hidden="1">#REF!</definedName>
    <definedName name="Z_6C2050D3_ABE5_4B48_B2A7_DDDD21669987_.wvu.FilterData" localSheetId="5" hidden="1">#REF!</definedName>
    <definedName name="Z_6C2050D3_ABE5_4B48_B2A7_DDDD21669987_.wvu.FilterData" localSheetId="2" hidden="1">#REF!</definedName>
    <definedName name="Z_6C2050D3_ABE5_4B48_B2A7_DDDD21669987_.wvu.FilterData" localSheetId="3" hidden="1">#REF!</definedName>
    <definedName name="Z_6C2050D3_ABE5_4B48_B2A7_DDDD21669987_.wvu.FilterData" hidden="1">#REF!</definedName>
    <definedName name="Z_6CD84A0B_C00D_4BC8_A655_6383CCA4B296_.wvu.FilterData" localSheetId="21" hidden="1">#REF!</definedName>
    <definedName name="Z_6CD84A0B_C00D_4BC8_A655_6383CCA4B296_.wvu.FilterData" localSheetId="12" hidden="1">#REF!</definedName>
    <definedName name="Z_6CD84A0B_C00D_4BC8_A655_6383CCA4B296_.wvu.FilterData" localSheetId="13" hidden="1">#REF!</definedName>
    <definedName name="Z_6CD84A0B_C00D_4BC8_A655_6383CCA4B296_.wvu.FilterData" localSheetId="14" hidden="1">#REF!</definedName>
    <definedName name="Z_6CD84A0B_C00D_4BC8_A655_6383CCA4B296_.wvu.FilterData" localSheetId="16" hidden="1">#REF!</definedName>
    <definedName name="Z_6CD84A0B_C00D_4BC8_A655_6383CCA4B296_.wvu.FilterData" localSheetId="15" hidden="1">#REF!</definedName>
    <definedName name="Z_6CD84A0B_C00D_4BC8_A655_6383CCA4B296_.wvu.FilterData" localSheetId="17" hidden="1">#REF!</definedName>
    <definedName name="Z_6CD84A0B_C00D_4BC8_A655_6383CCA4B296_.wvu.FilterData" localSheetId="11" hidden="1">#REF!</definedName>
    <definedName name="Z_6CD84A0B_C00D_4BC8_A655_6383CCA4B296_.wvu.FilterData" localSheetId="10" hidden="1">#REF!</definedName>
    <definedName name="Z_6CD84A0B_C00D_4BC8_A655_6383CCA4B296_.wvu.FilterData" localSheetId="22" hidden="1">#REF!</definedName>
    <definedName name="Z_6CD84A0B_C00D_4BC8_A655_6383CCA4B296_.wvu.FilterData" localSheetId="24" hidden="1">#REF!</definedName>
    <definedName name="Z_6CD84A0B_C00D_4BC8_A655_6383CCA4B296_.wvu.FilterData" localSheetId="23" hidden="1">#REF!</definedName>
    <definedName name="Z_6CD84A0B_C00D_4BC8_A655_6383CCA4B296_.wvu.FilterData" localSheetId="20" hidden="1">#REF!</definedName>
    <definedName name="Z_6CD84A0B_C00D_4BC8_A655_6383CCA4B296_.wvu.FilterData" localSheetId="19" hidden="1">#REF!</definedName>
    <definedName name="Z_6CD84A0B_C00D_4BC8_A655_6383CCA4B296_.wvu.FilterData" localSheetId="26" hidden="1">#REF!</definedName>
    <definedName name="Z_6CD84A0B_C00D_4BC8_A655_6383CCA4B296_.wvu.FilterData" localSheetId="27" hidden="1">#REF!</definedName>
    <definedName name="Z_6CD84A0B_C00D_4BC8_A655_6383CCA4B296_.wvu.FilterData" localSheetId="25" hidden="1">#REF!</definedName>
    <definedName name="Z_6CD84A0B_C00D_4BC8_A655_6383CCA4B296_.wvu.FilterData" localSheetId="7" hidden="1">#REF!</definedName>
    <definedName name="Z_6CD84A0B_C00D_4BC8_A655_6383CCA4B296_.wvu.FilterData" localSheetId="4" hidden="1">#REF!</definedName>
    <definedName name="Z_6CD84A0B_C00D_4BC8_A655_6383CCA4B296_.wvu.FilterData" localSheetId="5" hidden="1">#REF!</definedName>
    <definedName name="Z_6CD84A0B_C00D_4BC8_A655_6383CCA4B296_.wvu.FilterData" localSheetId="2" hidden="1">#REF!</definedName>
    <definedName name="Z_6CD84A0B_C00D_4BC8_A655_6383CCA4B296_.wvu.FilterData" localSheetId="3" hidden="1">#REF!</definedName>
    <definedName name="Z_6CD84A0B_C00D_4BC8_A655_6383CCA4B296_.wvu.FilterData" hidden="1">#REF!</definedName>
    <definedName name="Z_6D5E5F42_E924_48A0_A50F_5BB481AFD1D5_.wvu.FilterData" localSheetId="21" hidden="1">#REF!</definedName>
    <definedName name="Z_6D5E5F42_E924_48A0_A50F_5BB481AFD1D5_.wvu.FilterData" localSheetId="12" hidden="1">#REF!</definedName>
    <definedName name="Z_6D5E5F42_E924_48A0_A50F_5BB481AFD1D5_.wvu.FilterData" localSheetId="13" hidden="1">#REF!</definedName>
    <definedName name="Z_6D5E5F42_E924_48A0_A50F_5BB481AFD1D5_.wvu.FilterData" localSheetId="14" hidden="1">#REF!</definedName>
    <definedName name="Z_6D5E5F42_E924_48A0_A50F_5BB481AFD1D5_.wvu.FilterData" localSheetId="16" hidden="1">#REF!</definedName>
    <definedName name="Z_6D5E5F42_E924_48A0_A50F_5BB481AFD1D5_.wvu.FilterData" localSheetId="15" hidden="1">#REF!</definedName>
    <definedName name="Z_6D5E5F42_E924_48A0_A50F_5BB481AFD1D5_.wvu.FilterData" localSheetId="17" hidden="1">#REF!</definedName>
    <definedName name="Z_6D5E5F42_E924_48A0_A50F_5BB481AFD1D5_.wvu.FilterData" localSheetId="11" hidden="1">#REF!</definedName>
    <definedName name="Z_6D5E5F42_E924_48A0_A50F_5BB481AFD1D5_.wvu.FilterData" localSheetId="10" hidden="1">#REF!</definedName>
    <definedName name="Z_6D5E5F42_E924_48A0_A50F_5BB481AFD1D5_.wvu.FilterData" localSheetId="22" hidden="1">#REF!</definedName>
    <definedName name="Z_6D5E5F42_E924_48A0_A50F_5BB481AFD1D5_.wvu.FilterData" localSheetId="24" hidden="1">#REF!</definedName>
    <definedName name="Z_6D5E5F42_E924_48A0_A50F_5BB481AFD1D5_.wvu.FilterData" localSheetId="23" hidden="1">#REF!</definedName>
    <definedName name="Z_6D5E5F42_E924_48A0_A50F_5BB481AFD1D5_.wvu.FilterData" localSheetId="20" hidden="1">#REF!</definedName>
    <definedName name="Z_6D5E5F42_E924_48A0_A50F_5BB481AFD1D5_.wvu.FilterData" localSheetId="19" hidden="1">#REF!</definedName>
    <definedName name="Z_6D5E5F42_E924_48A0_A50F_5BB481AFD1D5_.wvu.FilterData" localSheetId="26" hidden="1">#REF!</definedName>
    <definedName name="Z_6D5E5F42_E924_48A0_A50F_5BB481AFD1D5_.wvu.FilterData" localSheetId="27" hidden="1">#REF!</definedName>
    <definedName name="Z_6D5E5F42_E924_48A0_A50F_5BB481AFD1D5_.wvu.FilterData" localSheetId="25" hidden="1">#REF!</definedName>
    <definedName name="Z_6D5E5F42_E924_48A0_A50F_5BB481AFD1D5_.wvu.FilterData" localSheetId="7" hidden="1">#REF!</definedName>
    <definedName name="Z_6D5E5F42_E924_48A0_A50F_5BB481AFD1D5_.wvu.FilterData" localSheetId="4" hidden="1">#REF!</definedName>
    <definedName name="Z_6D5E5F42_E924_48A0_A50F_5BB481AFD1D5_.wvu.FilterData" localSheetId="5" hidden="1">#REF!</definedName>
    <definedName name="Z_6D5E5F42_E924_48A0_A50F_5BB481AFD1D5_.wvu.FilterData" localSheetId="2" hidden="1">#REF!</definedName>
    <definedName name="Z_6D5E5F42_E924_48A0_A50F_5BB481AFD1D5_.wvu.FilterData" localSheetId="3" hidden="1">#REF!</definedName>
    <definedName name="Z_6D5E5F42_E924_48A0_A50F_5BB481AFD1D5_.wvu.FilterData" hidden="1">#REF!</definedName>
    <definedName name="Z_6D789842_F56B_40C4_8907_F36C02855F76_.wvu.FilterData" localSheetId="21" hidden="1">#REF!</definedName>
    <definedName name="Z_6D789842_F56B_40C4_8907_F36C02855F76_.wvu.FilterData" localSheetId="12" hidden="1">#REF!</definedName>
    <definedName name="Z_6D789842_F56B_40C4_8907_F36C02855F76_.wvu.FilterData" localSheetId="13" hidden="1">#REF!</definedName>
    <definedName name="Z_6D789842_F56B_40C4_8907_F36C02855F76_.wvu.FilterData" localSheetId="14" hidden="1">#REF!</definedName>
    <definedName name="Z_6D789842_F56B_40C4_8907_F36C02855F76_.wvu.FilterData" localSheetId="16" hidden="1">#REF!</definedName>
    <definedName name="Z_6D789842_F56B_40C4_8907_F36C02855F76_.wvu.FilterData" localSheetId="15" hidden="1">#REF!</definedName>
    <definedName name="Z_6D789842_F56B_40C4_8907_F36C02855F76_.wvu.FilterData" localSheetId="17" hidden="1">#REF!</definedName>
    <definedName name="Z_6D789842_F56B_40C4_8907_F36C02855F76_.wvu.FilterData" localSheetId="11" hidden="1">#REF!</definedName>
    <definedName name="Z_6D789842_F56B_40C4_8907_F36C02855F76_.wvu.FilterData" localSheetId="10" hidden="1">#REF!</definedName>
    <definedName name="Z_6D789842_F56B_40C4_8907_F36C02855F76_.wvu.FilterData" localSheetId="22" hidden="1">#REF!</definedName>
    <definedName name="Z_6D789842_F56B_40C4_8907_F36C02855F76_.wvu.FilterData" localSheetId="24" hidden="1">#REF!</definedName>
    <definedName name="Z_6D789842_F56B_40C4_8907_F36C02855F76_.wvu.FilterData" localSheetId="23" hidden="1">#REF!</definedName>
    <definedName name="Z_6D789842_F56B_40C4_8907_F36C02855F76_.wvu.FilterData" localSheetId="20" hidden="1">#REF!</definedName>
    <definedName name="Z_6D789842_F56B_40C4_8907_F36C02855F76_.wvu.FilterData" localSheetId="19" hidden="1">#REF!</definedName>
    <definedName name="Z_6D789842_F56B_40C4_8907_F36C02855F76_.wvu.FilterData" localSheetId="26" hidden="1">#REF!</definedName>
    <definedName name="Z_6D789842_F56B_40C4_8907_F36C02855F76_.wvu.FilterData" localSheetId="27" hidden="1">#REF!</definedName>
    <definedName name="Z_6D789842_F56B_40C4_8907_F36C02855F76_.wvu.FilterData" localSheetId="25" hidden="1">#REF!</definedName>
    <definedName name="Z_6D789842_F56B_40C4_8907_F36C02855F76_.wvu.FilterData" localSheetId="7" hidden="1">#REF!</definedName>
    <definedName name="Z_6D789842_F56B_40C4_8907_F36C02855F76_.wvu.FilterData" localSheetId="4" hidden="1">#REF!</definedName>
    <definedName name="Z_6D789842_F56B_40C4_8907_F36C02855F76_.wvu.FilterData" localSheetId="5" hidden="1">#REF!</definedName>
    <definedName name="Z_6D789842_F56B_40C4_8907_F36C02855F76_.wvu.FilterData" localSheetId="2" hidden="1">#REF!</definedName>
    <definedName name="Z_6D789842_F56B_40C4_8907_F36C02855F76_.wvu.FilterData" localSheetId="3" hidden="1">#REF!</definedName>
    <definedName name="Z_6D789842_F56B_40C4_8907_F36C02855F76_.wvu.FilterData" hidden="1">#REF!</definedName>
    <definedName name="Z_6E345713_0818_471C_B54B_D890B987A0BC_.wvu.FilterData" localSheetId="21" hidden="1">#REF!</definedName>
    <definedName name="Z_6E345713_0818_471C_B54B_D890B987A0BC_.wvu.FilterData" localSheetId="12" hidden="1">#REF!</definedName>
    <definedName name="Z_6E345713_0818_471C_B54B_D890B987A0BC_.wvu.FilterData" localSheetId="13" hidden="1">#REF!</definedName>
    <definedName name="Z_6E345713_0818_471C_B54B_D890B987A0BC_.wvu.FilterData" localSheetId="14" hidden="1">#REF!</definedName>
    <definedName name="Z_6E345713_0818_471C_B54B_D890B987A0BC_.wvu.FilterData" localSheetId="16" hidden="1">#REF!</definedName>
    <definedName name="Z_6E345713_0818_471C_B54B_D890B987A0BC_.wvu.FilterData" localSheetId="15" hidden="1">#REF!</definedName>
    <definedName name="Z_6E345713_0818_471C_B54B_D890B987A0BC_.wvu.FilterData" localSheetId="17" hidden="1">#REF!</definedName>
    <definedName name="Z_6E345713_0818_471C_B54B_D890B987A0BC_.wvu.FilterData" localSheetId="11" hidden="1">#REF!</definedName>
    <definedName name="Z_6E345713_0818_471C_B54B_D890B987A0BC_.wvu.FilterData" localSheetId="10" hidden="1">#REF!</definedName>
    <definedName name="Z_6E345713_0818_471C_B54B_D890B987A0BC_.wvu.FilterData" localSheetId="22" hidden="1">#REF!</definedName>
    <definedName name="Z_6E345713_0818_471C_B54B_D890B987A0BC_.wvu.FilterData" localSheetId="24" hidden="1">#REF!</definedName>
    <definedName name="Z_6E345713_0818_471C_B54B_D890B987A0BC_.wvu.FilterData" localSheetId="23" hidden="1">#REF!</definedName>
    <definedName name="Z_6E345713_0818_471C_B54B_D890B987A0BC_.wvu.FilterData" localSheetId="20" hidden="1">#REF!</definedName>
    <definedName name="Z_6E345713_0818_471C_B54B_D890B987A0BC_.wvu.FilterData" localSheetId="19" hidden="1">#REF!</definedName>
    <definedName name="Z_6E345713_0818_471C_B54B_D890B987A0BC_.wvu.FilterData" localSheetId="26" hidden="1">#REF!</definedName>
    <definedName name="Z_6E345713_0818_471C_B54B_D890B987A0BC_.wvu.FilterData" localSheetId="27" hidden="1">#REF!</definedName>
    <definedName name="Z_6E345713_0818_471C_B54B_D890B987A0BC_.wvu.FilterData" localSheetId="25" hidden="1">#REF!</definedName>
    <definedName name="Z_6E345713_0818_471C_B54B_D890B987A0BC_.wvu.FilterData" localSheetId="7" hidden="1">#REF!</definedName>
    <definedName name="Z_6E345713_0818_471C_B54B_D890B987A0BC_.wvu.FilterData" localSheetId="4" hidden="1">#REF!</definedName>
    <definedName name="Z_6E345713_0818_471C_B54B_D890B987A0BC_.wvu.FilterData" localSheetId="5" hidden="1">#REF!</definedName>
    <definedName name="Z_6E345713_0818_471C_B54B_D890B987A0BC_.wvu.FilterData" localSheetId="2" hidden="1">#REF!</definedName>
    <definedName name="Z_6E345713_0818_471C_B54B_D890B987A0BC_.wvu.FilterData" localSheetId="3" hidden="1">#REF!</definedName>
    <definedName name="Z_6E345713_0818_471C_B54B_D890B987A0BC_.wvu.FilterData" hidden="1">#REF!</definedName>
    <definedName name="Z_701DEAE4_9CF1_491A_A54B_A6AE3235639D_.wvu.FilterData" localSheetId="21" hidden="1">#REF!</definedName>
    <definedName name="Z_701DEAE4_9CF1_491A_A54B_A6AE3235639D_.wvu.FilterData" localSheetId="12" hidden="1">#REF!</definedName>
    <definedName name="Z_701DEAE4_9CF1_491A_A54B_A6AE3235639D_.wvu.FilterData" localSheetId="13" hidden="1">#REF!</definedName>
    <definedName name="Z_701DEAE4_9CF1_491A_A54B_A6AE3235639D_.wvu.FilterData" localSheetId="14" hidden="1">#REF!</definedName>
    <definedName name="Z_701DEAE4_9CF1_491A_A54B_A6AE3235639D_.wvu.FilterData" localSheetId="16" hidden="1">#REF!</definedName>
    <definedName name="Z_701DEAE4_9CF1_491A_A54B_A6AE3235639D_.wvu.FilterData" localSheetId="15" hidden="1">#REF!</definedName>
    <definedName name="Z_701DEAE4_9CF1_491A_A54B_A6AE3235639D_.wvu.FilterData" localSheetId="17" hidden="1">#REF!</definedName>
    <definedName name="Z_701DEAE4_9CF1_491A_A54B_A6AE3235639D_.wvu.FilterData" localSheetId="11" hidden="1">#REF!</definedName>
    <definedName name="Z_701DEAE4_9CF1_491A_A54B_A6AE3235639D_.wvu.FilterData" localSheetId="10" hidden="1">#REF!</definedName>
    <definedName name="Z_701DEAE4_9CF1_491A_A54B_A6AE3235639D_.wvu.FilterData" localSheetId="22" hidden="1">#REF!</definedName>
    <definedName name="Z_701DEAE4_9CF1_491A_A54B_A6AE3235639D_.wvu.FilterData" localSheetId="24" hidden="1">#REF!</definedName>
    <definedName name="Z_701DEAE4_9CF1_491A_A54B_A6AE3235639D_.wvu.FilterData" localSheetId="23" hidden="1">#REF!</definedName>
    <definedName name="Z_701DEAE4_9CF1_491A_A54B_A6AE3235639D_.wvu.FilterData" localSheetId="20" hidden="1">#REF!</definedName>
    <definedName name="Z_701DEAE4_9CF1_491A_A54B_A6AE3235639D_.wvu.FilterData" localSheetId="19" hidden="1">#REF!</definedName>
    <definedName name="Z_701DEAE4_9CF1_491A_A54B_A6AE3235639D_.wvu.FilterData" localSheetId="26" hidden="1">#REF!</definedName>
    <definedName name="Z_701DEAE4_9CF1_491A_A54B_A6AE3235639D_.wvu.FilterData" localSheetId="27" hidden="1">#REF!</definedName>
    <definedName name="Z_701DEAE4_9CF1_491A_A54B_A6AE3235639D_.wvu.FilterData" localSheetId="25" hidden="1">#REF!</definedName>
    <definedName name="Z_701DEAE4_9CF1_491A_A54B_A6AE3235639D_.wvu.FilterData" localSheetId="7" hidden="1">#REF!</definedName>
    <definedName name="Z_701DEAE4_9CF1_491A_A54B_A6AE3235639D_.wvu.FilterData" localSheetId="4" hidden="1">#REF!</definedName>
    <definedName name="Z_701DEAE4_9CF1_491A_A54B_A6AE3235639D_.wvu.FilterData" localSheetId="5" hidden="1">#REF!</definedName>
    <definedName name="Z_701DEAE4_9CF1_491A_A54B_A6AE3235639D_.wvu.FilterData" localSheetId="2" hidden="1">#REF!</definedName>
    <definedName name="Z_701DEAE4_9CF1_491A_A54B_A6AE3235639D_.wvu.FilterData" localSheetId="3" hidden="1">#REF!</definedName>
    <definedName name="Z_701DEAE4_9CF1_491A_A54B_A6AE3235639D_.wvu.FilterData" hidden="1">#REF!</definedName>
    <definedName name="Z_7319B1DA_C8AE_4D1D_AB4C_B14141921483_.wvu.FilterData" localSheetId="21" hidden="1">#REF!</definedName>
    <definedName name="Z_7319B1DA_C8AE_4D1D_AB4C_B14141921483_.wvu.FilterData" localSheetId="12" hidden="1">#REF!</definedName>
    <definedName name="Z_7319B1DA_C8AE_4D1D_AB4C_B14141921483_.wvu.FilterData" localSheetId="13" hidden="1">#REF!</definedName>
    <definedName name="Z_7319B1DA_C8AE_4D1D_AB4C_B14141921483_.wvu.FilterData" localSheetId="14" hidden="1">#REF!</definedName>
    <definedName name="Z_7319B1DA_C8AE_4D1D_AB4C_B14141921483_.wvu.FilterData" localSheetId="16" hidden="1">#REF!</definedName>
    <definedName name="Z_7319B1DA_C8AE_4D1D_AB4C_B14141921483_.wvu.FilterData" localSheetId="15" hidden="1">#REF!</definedName>
    <definedName name="Z_7319B1DA_C8AE_4D1D_AB4C_B14141921483_.wvu.FilterData" localSheetId="17" hidden="1">#REF!</definedName>
    <definedName name="Z_7319B1DA_C8AE_4D1D_AB4C_B14141921483_.wvu.FilterData" localSheetId="11" hidden="1">#REF!</definedName>
    <definedName name="Z_7319B1DA_C8AE_4D1D_AB4C_B14141921483_.wvu.FilterData" localSheetId="10" hidden="1">#REF!</definedName>
    <definedName name="Z_7319B1DA_C8AE_4D1D_AB4C_B14141921483_.wvu.FilterData" localSheetId="22" hidden="1">#REF!</definedName>
    <definedName name="Z_7319B1DA_C8AE_4D1D_AB4C_B14141921483_.wvu.FilterData" localSheetId="24" hidden="1">#REF!</definedName>
    <definedName name="Z_7319B1DA_C8AE_4D1D_AB4C_B14141921483_.wvu.FilterData" localSheetId="23" hidden="1">#REF!</definedName>
    <definedName name="Z_7319B1DA_C8AE_4D1D_AB4C_B14141921483_.wvu.FilterData" localSheetId="20" hidden="1">#REF!</definedName>
    <definedName name="Z_7319B1DA_C8AE_4D1D_AB4C_B14141921483_.wvu.FilterData" localSheetId="19" hidden="1">#REF!</definedName>
    <definedName name="Z_7319B1DA_C8AE_4D1D_AB4C_B14141921483_.wvu.FilterData" localSheetId="26" hidden="1">#REF!</definedName>
    <definedName name="Z_7319B1DA_C8AE_4D1D_AB4C_B14141921483_.wvu.FilterData" localSheetId="27" hidden="1">#REF!</definedName>
    <definedName name="Z_7319B1DA_C8AE_4D1D_AB4C_B14141921483_.wvu.FilterData" localSheetId="25" hidden="1">#REF!</definedName>
    <definedName name="Z_7319B1DA_C8AE_4D1D_AB4C_B14141921483_.wvu.FilterData" localSheetId="7" hidden="1">#REF!</definedName>
    <definedName name="Z_7319B1DA_C8AE_4D1D_AB4C_B14141921483_.wvu.FilterData" localSheetId="4" hidden="1">#REF!</definedName>
    <definedName name="Z_7319B1DA_C8AE_4D1D_AB4C_B14141921483_.wvu.FilterData" localSheetId="5" hidden="1">#REF!</definedName>
    <definedName name="Z_7319B1DA_C8AE_4D1D_AB4C_B14141921483_.wvu.FilterData" localSheetId="2" hidden="1">#REF!</definedName>
    <definedName name="Z_7319B1DA_C8AE_4D1D_AB4C_B14141921483_.wvu.FilterData" localSheetId="3" hidden="1">#REF!</definedName>
    <definedName name="Z_7319B1DA_C8AE_4D1D_AB4C_B14141921483_.wvu.FilterData" hidden="1">#REF!</definedName>
    <definedName name="Z_75A1B66F_9EE1_4406_8264_C9BF12113183_.wvu.FilterData" localSheetId="21" hidden="1">#REF!</definedName>
    <definedName name="Z_75A1B66F_9EE1_4406_8264_C9BF12113183_.wvu.FilterData" localSheetId="12" hidden="1">#REF!</definedName>
    <definedName name="Z_75A1B66F_9EE1_4406_8264_C9BF12113183_.wvu.FilterData" localSheetId="13" hidden="1">#REF!</definedName>
    <definedName name="Z_75A1B66F_9EE1_4406_8264_C9BF12113183_.wvu.FilterData" localSheetId="14" hidden="1">#REF!</definedName>
    <definedName name="Z_75A1B66F_9EE1_4406_8264_C9BF12113183_.wvu.FilterData" localSheetId="16" hidden="1">#REF!</definedName>
    <definedName name="Z_75A1B66F_9EE1_4406_8264_C9BF12113183_.wvu.FilterData" localSheetId="15" hidden="1">#REF!</definedName>
    <definedName name="Z_75A1B66F_9EE1_4406_8264_C9BF12113183_.wvu.FilterData" localSheetId="17" hidden="1">#REF!</definedName>
    <definedName name="Z_75A1B66F_9EE1_4406_8264_C9BF12113183_.wvu.FilterData" localSheetId="11" hidden="1">#REF!</definedName>
    <definedName name="Z_75A1B66F_9EE1_4406_8264_C9BF12113183_.wvu.FilterData" localSheetId="10" hidden="1">#REF!</definedName>
    <definedName name="Z_75A1B66F_9EE1_4406_8264_C9BF12113183_.wvu.FilterData" localSheetId="22" hidden="1">#REF!</definedName>
    <definedName name="Z_75A1B66F_9EE1_4406_8264_C9BF12113183_.wvu.FilterData" localSheetId="24" hidden="1">#REF!</definedName>
    <definedName name="Z_75A1B66F_9EE1_4406_8264_C9BF12113183_.wvu.FilterData" localSheetId="23" hidden="1">#REF!</definedName>
    <definedName name="Z_75A1B66F_9EE1_4406_8264_C9BF12113183_.wvu.FilterData" localSheetId="20" hidden="1">#REF!</definedName>
    <definedName name="Z_75A1B66F_9EE1_4406_8264_C9BF12113183_.wvu.FilterData" localSheetId="19" hidden="1">#REF!</definedName>
    <definedName name="Z_75A1B66F_9EE1_4406_8264_C9BF12113183_.wvu.FilterData" localSheetId="26" hidden="1">#REF!</definedName>
    <definedName name="Z_75A1B66F_9EE1_4406_8264_C9BF12113183_.wvu.FilterData" localSheetId="27" hidden="1">#REF!</definedName>
    <definedName name="Z_75A1B66F_9EE1_4406_8264_C9BF12113183_.wvu.FilterData" localSheetId="25" hidden="1">#REF!</definedName>
    <definedName name="Z_75A1B66F_9EE1_4406_8264_C9BF12113183_.wvu.FilterData" localSheetId="7" hidden="1">#REF!</definedName>
    <definedName name="Z_75A1B66F_9EE1_4406_8264_C9BF12113183_.wvu.FilterData" localSheetId="4" hidden="1">#REF!</definedName>
    <definedName name="Z_75A1B66F_9EE1_4406_8264_C9BF12113183_.wvu.FilterData" localSheetId="5" hidden="1">#REF!</definedName>
    <definedName name="Z_75A1B66F_9EE1_4406_8264_C9BF12113183_.wvu.FilterData" localSheetId="2" hidden="1">#REF!</definedName>
    <definedName name="Z_75A1B66F_9EE1_4406_8264_C9BF12113183_.wvu.FilterData" localSheetId="3" hidden="1">#REF!</definedName>
    <definedName name="Z_75A1B66F_9EE1_4406_8264_C9BF12113183_.wvu.FilterData" hidden="1">#REF!</definedName>
    <definedName name="Z_7651BD63_D75B_41A5_B133_06AE6A84AE8F_.wvu.FilterData" localSheetId="21" hidden="1">#REF!</definedName>
    <definedName name="Z_7651BD63_D75B_41A5_B133_06AE6A84AE8F_.wvu.FilterData" localSheetId="12" hidden="1">#REF!</definedName>
    <definedName name="Z_7651BD63_D75B_41A5_B133_06AE6A84AE8F_.wvu.FilterData" localSheetId="13" hidden="1">#REF!</definedName>
    <definedName name="Z_7651BD63_D75B_41A5_B133_06AE6A84AE8F_.wvu.FilterData" localSheetId="14" hidden="1">#REF!</definedName>
    <definedName name="Z_7651BD63_D75B_41A5_B133_06AE6A84AE8F_.wvu.FilterData" localSheetId="16" hidden="1">#REF!</definedName>
    <definedName name="Z_7651BD63_D75B_41A5_B133_06AE6A84AE8F_.wvu.FilterData" localSheetId="15" hidden="1">#REF!</definedName>
    <definedName name="Z_7651BD63_D75B_41A5_B133_06AE6A84AE8F_.wvu.FilterData" localSheetId="17" hidden="1">#REF!</definedName>
    <definedName name="Z_7651BD63_D75B_41A5_B133_06AE6A84AE8F_.wvu.FilterData" localSheetId="11" hidden="1">#REF!</definedName>
    <definedName name="Z_7651BD63_D75B_41A5_B133_06AE6A84AE8F_.wvu.FilterData" localSheetId="10" hidden="1">#REF!</definedName>
    <definedName name="Z_7651BD63_D75B_41A5_B133_06AE6A84AE8F_.wvu.FilterData" localSheetId="22" hidden="1">#REF!</definedName>
    <definedName name="Z_7651BD63_D75B_41A5_B133_06AE6A84AE8F_.wvu.FilterData" localSheetId="24" hidden="1">#REF!</definedName>
    <definedName name="Z_7651BD63_D75B_41A5_B133_06AE6A84AE8F_.wvu.FilterData" localSheetId="23" hidden="1">#REF!</definedName>
    <definedName name="Z_7651BD63_D75B_41A5_B133_06AE6A84AE8F_.wvu.FilterData" localSheetId="20" hidden="1">#REF!</definedName>
    <definedName name="Z_7651BD63_D75B_41A5_B133_06AE6A84AE8F_.wvu.FilterData" localSheetId="19" hidden="1">#REF!</definedName>
    <definedName name="Z_7651BD63_D75B_41A5_B133_06AE6A84AE8F_.wvu.FilterData" localSheetId="26" hidden="1">#REF!</definedName>
    <definedName name="Z_7651BD63_D75B_41A5_B133_06AE6A84AE8F_.wvu.FilterData" localSheetId="27" hidden="1">#REF!</definedName>
    <definedName name="Z_7651BD63_D75B_41A5_B133_06AE6A84AE8F_.wvu.FilterData" localSheetId="25" hidden="1">#REF!</definedName>
    <definedName name="Z_7651BD63_D75B_41A5_B133_06AE6A84AE8F_.wvu.FilterData" localSheetId="7" hidden="1">#REF!</definedName>
    <definedName name="Z_7651BD63_D75B_41A5_B133_06AE6A84AE8F_.wvu.FilterData" localSheetId="4" hidden="1">#REF!</definedName>
    <definedName name="Z_7651BD63_D75B_41A5_B133_06AE6A84AE8F_.wvu.FilterData" localSheetId="5" hidden="1">#REF!</definedName>
    <definedName name="Z_7651BD63_D75B_41A5_B133_06AE6A84AE8F_.wvu.FilterData" localSheetId="2" hidden="1">#REF!</definedName>
    <definedName name="Z_7651BD63_D75B_41A5_B133_06AE6A84AE8F_.wvu.FilterData" localSheetId="3" hidden="1">#REF!</definedName>
    <definedName name="Z_7651BD63_D75B_41A5_B133_06AE6A84AE8F_.wvu.FilterData" hidden="1">#REF!</definedName>
    <definedName name="Z_767B7DB4_B657_4E6E_831B_84CA933FFCBE_.wvu.FilterData" localSheetId="21" hidden="1">#REF!</definedName>
    <definedName name="Z_767B7DB4_B657_4E6E_831B_84CA933FFCBE_.wvu.FilterData" localSheetId="12" hidden="1">#REF!</definedName>
    <definedName name="Z_767B7DB4_B657_4E6E_831B_84CA933FFCBE_.wvu.FilterData" localSheetId="13" hidden="1">#REF!</definedName>
    <definedName name="Z_767B7DB4_B657_4E6E_831B_84CA933FFCBE_.wvu.FilterData" localSheetId="14" hidden="1">#REF!</definedName>
    <definedName name="Z_767B7DB4_B657_4E6E_831B_84CA933FFCBE_.wvu.FilterData" localSheetId="16" hidden="1">#REF!</definedName>
    <definedName name="Z_767B7DB4_B657_4E6E_831B_84CA933FFCBE_.wvu.FilterData" localSheetId="15" hidden="1">#REF!</definedName>
    <definedName name="Z_767B7DB4_B657_4E6E_831B_84CA933FFCBE_.wvu.FilterData" localSheetId="17" hidden="1">#REF!</definedName>
    <definedName name="Z_767B7DB4_B657_4E6E_831B_84CA933FFCBE_.wvu.FilterData" localSheetId="11" hidden="1">#REF!</definedName>
    <definedName name="Z_767B7DB4_B657_4E6E_831B_84CA933FFCBE_.wvu.FilterData" localSheetId="10" hidden="1">#REF!</definedName>
    <definedName name="Z_767B7DB4_B657_4E6E_831B_84CA933FFCBE_.wvu.FilterData" localSheetId="22" hidden="1">#REF!</definedName>
    <definedName name="Z_767B7DB4_B657_4E6E_831B_84CA933FFCBE_.wvu.FilterData" localSheetId="24" hidden="1">#REF!</definedName>
    <definedName name="Z_767B7DB4_B657_4E6E_831B_84CA933FFCBE_.wvu.FilterData" localSheetId="23" hidden="1">#REF!</definedName>
    <definedName name="Z_767B7DB4_B657_4E6E_831B_84CA933FFCBE_.wvu.FilterData" localSheetId="20" hidden="1">#REF!</definedName>
    <definedName name="Z_767B7DB4_B657_4E6E_831B_84CA933FFCBE_.wvu.FilterData" localSheetId="19" hidden="1">#REF!</definedName>
    <definedName name="Z_767B7DB4_B657_4E6E_831B_84CA933FFCBE_.wvu.FilterData" localSheetId="26" hidden="1">#REF!</definedName>
    <definedName name="Z_767B7DB4_B657_4E6E_831B_84CA933FFCBE_.wvu.FilterData" localSheetId="27" hidden="1">#REF!</definedName>
    <definedName name="Z_767B7DB4_B657_4E6E_831B_84CA933FFCBE_.wvu.FilterData" localSheetId="25" hidden="1">#REF!</definedName>
    <definedName name="Z_767B7DB4_B657_4E6E_831B_84CA933FFCBE_.wvu.FilterData" localSheetId="7" hidden="1">#REF!</definedName>
    <definedName name="Z_767B7DB4_B657_4E6E_831B_84CA933FFCBE_.wvu.FilterData" localSheetId="4" hidden="1">#REF!</definedName>
    <definedName name="Z_767B7DB4_B657_4E6E_831B_84CA933FFCBE_.wvu.FilterData" localSheetId="5" hidden="1">#REF!</definedName>
    <definedName name="Z_767B7DB4_B657_4E6E_831B_84CA933FFCBE_.wvu.FilterData" localSheetId="2" hidden="1">#REF!</definedName>
    <definedName name="Z_767B7DB4_B657_4E6E_831B_84CA933FFCBE_.wvu.FilterData" localSheetId="3" hidden="1">#REF!</definedName>
    <definedName name="Z_767B7DB4_B657_4E6E_831B_84CA933FFCBE_.wvu.FilterData" hidden="1">#REF!</definedName>
    <definedName name="Z_76FA93EF_40A9_4929_9B4A_2213742C1620_.wvu.FilterData" localSheetId="21" hidden="1">#REF!</definedName>
    <definedName name="Z_76FA93EF_40A9_4929_9B4A_2213742C1620_.wvu.FilterData" localSheetId="12" hidden="1">#REF!</definedName>
    <definedName name="Z_76FA93EF_40A9_4929_9B4A_2213742C1620_.wvu.FilterData" localSheetId="13" hidden="1">#REF!</definedName>
    <definedName name="Z_76FA93EF_40A9_4929_9B4A_2213742C1620_.wvu.FilterData" localSheetId="14" hidden="1">#REF!</definedName>
    <definedName name="Z_76FA93EF_40A9_4929_9B4A_2213742C1620_.wvu.FilterData" localSheetId="16" hidden="1">#REF!</definedName>
    <definedName name="Z_76FA93EF_40A9_4929_9B4A_2213742C1620_.wvu.FilterData" localSheetId="15" hidden="1">#REF!</definedName>
    <definedName name="Z_76FA93EF_40A9_4929_9B4A_2213742C1620_.wvu.FilterData" localSheetId="17" hidden="1">#REF!</definedName>
    <definedName name="Z_76FA93EF_40A9_4929_9B4A_2213742C1620_.wvu.FilterData" localSheetId="11" hidden="1">#REF!</definedName>
    <definedName name="Z_76FA93EF_40A9_4929_9B4A_2213742C1620_.wvu.FilterData" localSheetId="10" hidden="1">#REF!</definedName>
    <definedName name="Z_76FA93EF_40A9_4929_9B4A_2213742C1620_.wvu.FilterData" localSheetId="22" hidden="1">#REF!</definedName>
    <definedName name="Z_76FA93EF_40A9_4929_9B4A_2213742C1620_.wvu.FilterData" localSheetId="24" hidden="1">#REF!</definedName>
    <definedName name="Z_76FA93EF_40A9_4929_9B4A_2213742C1620_.wvu.FilterData" localSheetId="23" hidden="1">#REF!</definedName>
    <definedName name="Z_76FA93EF_40A9_4929_9B4A_2213742C1620_.wvu.FilterData" localSheetId="20" hidden="1">#REF!</definedName>
    <definedName name="Z_76FA93EF_40A9_4929_9B4A_2213742C1620_.wvu.FilterData" localSheetId="19" hidden="1">#REF!</definedName>
    <definedName name="Z_76FA93EF_40A9_4929_9B4A_2213742C1620_.wvu.FilterData" localSheetId="26" hidden="1">#REF!</definedName>
    <definedName name="Z_76FA93EF_40A9_4929_9B4A_2213742C1620_.wvu.FilterData" localSheetId="27" hidden="1">#REF!</definedName>
    <definedName name="Z_76FA93EF_40A9_4929_9B4A_2213742C1620_.wvu.FilterData" localSheetId="25" hidden="1">#REF!</definedName>
    <definedName name="Z_76FA93EF_40A9_4929_9B4A_2213742C1620_.wvu.FilterData" localSheetId="7" hidden="1">#REF!</definedName>
    <definedName name="Z_76FA93EF_40A9_4929_9B4A_2213742C1620_.wvu.FilterData" localSheetId="4" hidden="1">#REF!</definedName>
    <definedName name="Z_76FA93EF_40A9_4929_9B4A_2213742C1620_.wvu.FilterData" localSheetId="5" hidden="1">#REF!</definedName>
    <definedName name="Z_76FA93EF_40A9_4929_9B4A_2213742C1620_.wvu.FilterData" localSheetId="2" hidden="1">#REF!</definedName>
    <definedName name="Z_76FA93EF_40A9_4929_9B4A_2213742C1620_.wvu.FilterData" localSheetId="3" hidden="1">#REF!</definedName>
    <definedName name="Z_76FA93EF_40A9_4929_9B4A_2213742C1620_.wvu.FilterData" hidden="1">#REF!</definedName>
    <definedName name="Z_78A33412_D032_45F7_9C2D_D4A31DB937D9_.wvu.FilterData" localSheetId="21" hidden="1">#REF!</definedName>
    <definedName name="Z_78A33412_D032_45F7_9C2D_D4A31DB937D9_.wvu.FilterData" localSheetId="12" hidden="1">#REF!</definedName>
    <definedName name="Z_78A33412_D032_45F7_9C2D_D4A31DB937D9_.wvu.FilterData" localSheetId="13" hidden="1">#REF!</definedName>
    <definedName name="Z_78A33412_D032_45F7_9C2D_D4A31DB937D9_.wvu.FilterData" localSheetId="14" hidden="1">#REF!</definedName>
    <definedName name="Z_78A33412_D032_45F7_9C2D_D4A31DB937D9_.wvu.FilterData" localSheetId="16" hidden="1">#REF!</definedName>
    <definedName name="Z_78A33412_D032_45F7_9C2D_D4A31DB937D9_.wvu.FilterData" localSheetId="15" hidden="1">#REF!</definedName>
    <definedName name="Z_78A33412_D032_45F7_9C2D_D4A31DB937D9_.wvu.FilterData" localSheetId="17" hidden="1">#REF!</definedName>
    <definedName name="Z_78A33412_D032_45F7_9C2D_D4A31DB937D9_.wvu.FilterData" localSheetId="11" hidden="1">#REF!</definedName>
    <definedName name="Z_78A33412_D032_45F7_9C2D_D4A31DB937D9_.wvu.FilterData" localSheetId="10" hidden="1">#REF!</definedName>
    <definedName name="Z_78A33412_D032_45F7_9C2D_D4A31DB937D9_.wvu.FilterData" localSheetId="22" hidden="1">#REF!</definedName>
    <definedName name="Z_78A33412_D032_45F7_9C2D_D4A31DB937D9_.wvu.FilterData" localSheetId="24" hidden="1">#REF!</definedName>
    <definedName name="Z_78A33412_D032_45F7_9C2D_D4A31DB937D9_.wvu.FilterData" localSheetId="23" hidden="1">#REF!</definedName>
    <definedName name="Z_78A33412_D032_45F7_9C2D_D4A31DB937D9_.wvu.FilterData" localSheetId="20" hidden="1">#REF!</definedName>
    <definedName name="Z_78A33412_D032_45F7_9C2D_D4A31DB937D9_.wvu.FilterData" localSheetId="19" hidden="1">#REF!</definedName>
    <definedName name="Z_78A33412_D032_45F7_9C2D_D4A31DB937D9_.wvu.FilterData" localSheetId="26" hidden="1">#REF!</definedName>
    <definedName name="Z_78A33412_D032_45F7_9C2D_D4A31DB937D9_.wvu.FilterData" localSheetId="27" hidden="1">#REF!</definedName>
    <definedName name="Z_78A33412_D032_45F7_9C2D_D4A31DB937D9_.wvu.FilterData" localSheetId="25" hidden="1">#REF!</definedName>
    <definedName name="Z_78A33412_D032_45F7_9C2D_D4A31DB937D9_.wvu.FilterData" localSheetId="7" hidden="1">#REF!</definedName>
    <definedName name="Z_78A33412_D032_45F7_9C2D_D4A31DB937D9_.wvu.FilterData" localSheetId="4" hidden="1">#REF!</definedName>
    <definedName name="Z_78A33412_D032_45F7_9C2D_D4A31DB937D9_.wvu.FilterData" localSheetId="5" hidden="1">#REF!</definedName>
    <definedName name="Z_78A33412_D032_45F7_9C2D_D4A31DB937D9_.wvu.FilterData" localSheetId="2" hidden="1">#REF!</definedName>
    <definedName name="Z_78A33412_D032_45F7_9C2D_D4A31DB937D9_.wvu.FilterData" localSheetId="3" hidden="1">#REF!</definedName>
    <definedName name="Z_78A33412_D032_45F7_9C2D_D4A31DB937D9_.wvu.FilterData" hidden="1">#REF!</definedName>
    <definedName name="Z_796E4E5E_16C3_474D_B1D5_F6D39CD34051_.wvu.FilterData" localSheetId="21" hidden="1">#REF!</definedName>
    <definedName name="Z_796E4E5E_16C3_474D_B1D5_F6D39CD34051_.wvu.FilterData" localSheetId="12" hidden="1">#REF!</definedName>
    <definedName name="Z_796E4E5E_16C3_474D_B1D5_F6D39CD34051_.wvu.FilterData" localSheetId="13" hidden="1">#REF!</definedName>
    <definedName name="Z_796E4E5E_16C3_474D_B1D5_F6D39CD34051_.wvu.FilterData" localSheetId="14" hidden="1">#REF!</definedName>
    <definedName name="Z_796E4E5E_16C3_474D_B1D5_F6D39CD34051_.wvu.FilterData" localSheetId="16" hidden="1">#REF!</definedName>
    <definedName name="Z_796E4E5E_16C3_474D_B1D5_F6D39CD34051_.wvu.FilterData" localSheetId="15" hidden="1">#REF!</definedName>
    <definedName name="Z_796E4E5E_16C3_474D_B1D5_F6D39CD34051_.wvu.FilterData" localSheetId="17" hidden="1">#REF!</definedName>
    <definedName name="Z_796E4E5E_16C3_474D_B1D5_F6D39CD34051_.wvu.FilterData" localSheetId="11" hidden="1">#REF!</definedName>
    <definedName name="Z_796E4E5E_16C3_474D_B1D5_F6D39CD34051_.wvu.FilterData" localSheetId="10" hidden="1">#REF!</definedName>
    <definedName name="Z_796E4E5E_16C3_474D_B1D5_F6D39CD34051_.wvu.FilterData" localSheetId="22" hidden="1">#REF!</definedName>
    <definedName name="Z_796E4E5E_16C3_474D_B1D5_F6D39CD34051_.wvu.FilterData" localSheetId="24" hidden="1">#REF!</definedName>
    <definedName name="Z_796E4E5E_16C3_474D_B1D5_F6D39CD34051_.wvu.FilterData" localSheetId="23" hidden="1">#REF!</definedName>
    <definedName name="Z_796E4E5E_16C3_474D_B1D5_F6D39CD34051_.wvu.FilterData" localSheetId="20" hidden="1">#REF!</definedName>
    <definedName name="Z_796E4E5E_16C3_474D_B1D5_F6D39CD34051_.wvu.FilterData" localSheetId="19" hidden="1">#REF!</definedName>
    <definedName name="Z_796E4E5E_16C3_474D_B1D5_F6D39CD34051_.wvu.FilterData" localSheetId="26" hidden="1">#REF!</definedName>
    <definedName name="Z_796E4E5E_16C3_474D_B1D5_F6D39CD34051_.wvu.FilterData" localSheetId="27" hidden="1">#REF!</definedName>
    <definedName name="Z_796E4E5E_16C3_474D_B1D5_F6D39CD34051_.wvu.FilterData" localSheetId="25" hidden="1">#REF!</definedName>
    <definedName name="Z_796E4E5E_16C3_474D_B1D5_F6D39CD34051_.wvu.FilterData" localSheetId="7" hidden="1">#REF!</definedName>
    <definedName name="Z_796E4E5E_16C3_474D_B1D5_F6D39CD34051_.wvu.FilterData" localSheetId="4" hidden="1">#REF!</definedName>
    <definedName name="Z_796E4E5E_16C3_474D_B1D5_F6D39CD34051_.wvu.FilterData" localSheetId="5" hidden="1">#REF!</definedName>
    <definedName name="Z_796E4E5E_16C3_474D_B1D5_F6D39CD34051_.wvu.FilterData" localSheetId="2" hidden="1">#REF!</definedName>
    <definedName name="Z_796E4E5E_16C3_474D_B1D5_F6D39CD34051_.wvu.FilterData" localSheetId="3" hidden="1">#REF!</definedName>
    <definedName name="Z_796E4E5E_16C3_474D_B1D5_F6D39CD34051_.wvu.FilterData" hidden="1">#REF!</definedName>
    <definedName name="Z_7BFA9C41_C881_48A8_90C2_F93F8E16E599_.wvu.FilterData" localSheetId="21" hidden="1">#REF!</definedName>
    <definedName name="Z_7BFA9C41_C881_48A8_90C2_F93F8E16E599_.wvu.FilterData" localSheetId="12" hidden="1">#REF!</definedName>
    <definedName name="Z_7BFA9C41_C881_48A8_90C2_F93F8E16E599_.wvu.FilterData" localSheetId="13" hidden="1">#REF!</definedName>
    <definedName name="Z_7BFA9C41_C881_48A8_90C2_F93F8E16E599_.wvu.FilterData" localSheetId="14" hidden="1">#REF!</definedName>
    <definedName name="Z_7BFA9C41_C881_48A8_90C2_F93F8E16E599_.wvu.FilterData" localSheetId="16" hidden="1">#REF!</definedName>
    <definedName name="Z_7BFA9C41_C881_48A8_90C2_F93F8E16E599_.wvu.FilterData" localSheetId="15" hidden="1">#REF!</definedName>
    <definedName name="Z_7BFA9C41_C881_48A8_90C2_F93F8E16E599_.wvu.FilterData" localSheetId="17" hidden="1">#REF!</definedName>
    <definedName name="Z_7BFA9C41_C881_48A8_90C2_F93F8E16E599_.wvu.FilterData" localSheetId="11" hidden="1">#REF!</definedName>
    <definedName name="Z_7BFA9C41_C881_48A8_90C2_F93F8E16E599_.wvu.FilterData" localSheetId="10" hidden="1">#REF!</definedName>
    <definedName name="Z_7BFA9C41_C881_48A8_90C2_F93F8E16E599_.wvu.FilterData" localSheetId="22" hidden="1">#REF!</definedName>
    <definedName name="Z_7BFA9C41_C881_48A8_90C2_F93F8E16E599_.wvu.FilterData" localSheetId="24" hidden="1">#REF!</definedName>
    <definedName name="Z_7BFA9C41_C881_48A8_90C2_F93F8E16E599_.wvu.FilterData" localSheetId="23" hidden="1">#REF!</definedName>
    <definedName name="Z_7BFA9C41_C881_48A8_90C2_F93F8E16E599_.wvu.FilterData" localSheetId="20" hidden="1">#REF!</definedName>
    <definedName name="Z_7BFA9C41_C881_48A8_90C2_F93F8E16E599_.wvu.FilterData" localSheetId="19" hidden="1">#REF!</definedName>
    <definedName name="Z_7BFA9C41_C881_48A8_90C2_F93F8E16E599_.wvu.FilterData" localSheetId="26" hidden="1">#REF!</definedName>
    <definedName name="Z_7BFA9C41_C881_48A8_90C2_F93F8E16E599_.wvu.FilterData" localSheetId="27" hidden="1">#REF!</definedName>
    <definedName name="Z_7BFA9C41_C881_48A8_90C2_F93F8E16E599_.wvu.FilterData" localSheetId="25" hidden="1">#REF!</definedName>
    <definedName name="Z_7BFA9C41_C881_48A8_90C2_F93F8E16E599_.wvu.FilterData" localSheetId="7" hidden="1">#REF!</definedName>
    <definedName name="Z_7BFA9C41_C881_48A8_90C2_F93F8E16E599_.wvu.FilterData" localSheetId="4" hidden="1">#REF!</definedName>
    <definedName name="Z_7BFA9C41_C881_48A8_90C2_F93F8E16E599_.wvu.FilterData" localSheetId="5" hidden="1">#REF!</definedName>
    <definedName name="Z_7BFA9C41_C881_48A8_90C2_F93F8E16E599_.wvu.FilterData" localSheetId="2" hidden="1">#REF!</definedName>
    <definedName name="Z_7BFA9C41_C881_48A8_90C2_F93F8E16E599_.wvu.FilterData" localSheetId="3" hidden="1">#REF!</definedName>
    <definedName name="Z_7BFA9C41_C881_48A8_90C2_F93F8E16E599_.wvu.FilterData" hidden="1">#REF!</definedName>
    <definedName name="Z_7BFBCE1E_B6C5_4BAC_AD95_2B50D2ED28AB_.wvu.FilterData" localSheetId="21" hidden="1">#REF!</definedName>
    <definedName name="Z_7BFBCE1E_B6C5_4BAC_AD95_2B50D2ED28AB_.wvu.FilterData" localSheetId="12" hidden="1">#REF!</definedName>
    <definedName name="Z_7BFBCE1E_B6C5_4BAC_AD95_2B50D2ED28AB_.wvu.FilterData" localSheetId="13" hidden="1">#REF!</definedName>
    <definedName name="Z_7BFBCE1E_B6C5_4BAC_AD95_2B50D2ED28AB_.wvu.FilterData" localSheetId="14" hidden="1">#REF!</definedName>
    <definedName name="Z_7BFBCE1E_B6C5_4BAC_AD95_2B50D2ED28AB_.wvu.FilterData" localSheetId="16" hidden="1">#REF!</definedName>
    <definedName name="Z_7BFBCE1E_B6C5_4BAC_AD95_2B50D2ED28AB_.wvu.FilterData" localSheetId="15" hidden="1">#REF!</definedName>
    <definedName name="Z_7BFBCE1E_B6C5_4BAC_AD95_2B50D2ED28AB_.wvu.FilterData" localSheetId="17" hidden="1">#REF!</definedName>
    <definedName name="Z_7BFBCE1E_B6C5_4BAC_AD95_2B50D2ED28AB_.wvu.FilterData" localSheetId="11" hidden="1">#REF!</definedName>
    <definedName name="Z_7BFBCE1E_B6C5_4BAC_AD95_2B50D2ED28AB_.wvu.FilterData" localSheetId="10" hidden="1">#REF!</definedName>
    <definedName name="Z_7BFBCE1E_B6C5_4BAC_AD95_2B50D2ED28AB_.wvu.FilterData" localSheetId="22" hidden="1">#REF!</definedName>
    <definedName name="Z_7BFBCE1E_B6C5_4BAC_AD95_2B50D2ED28AB_.wvu.FilterData" localSheetId="24" hidden="1">#REF!</definedName>
    <definedName name="Z_7BFBCE1E_B6C5_4BAC_AD95_2B50D2ED28AB_.wvu.FilterData" localSheetId="23" hidden="1">#REF!</definedName>
    <definedName name="Z_7BFBCE1E_B6C5_4BAC_AD95_2B50D2ED28AB_.wvu.FilterData" localSheetId="20" hidden="1">#REF!</definedName>
    <definedName name="Z_7BFBCE1E_B6C5_4BAC_AD95_2B50D2ED28AB_.wvu.FilterData" localSheetId="19" hidden="1">#REF!</definedName>
    <definedName name="Z_7BFBCE1E_B6C5_4BAC_AD95_2B50D2ED28AB_.wvu.FilterData" localSheetId="26" hidden="1">#REF!</definedName>
    <definedName name="Z_7BFBCE1E_B6C5_4BAC_AD95_2B50D2ED28AB_.wvu.FilterData" localSheetId="27" hidden="1">#REF!</definedName>
    <definedName name="Z_7BFBCE1E_B6C5_4BAC_AD95_2B50D2ED28AB_.wvu.FilterData" localSheetId="25" hidden="1">#REF!</definedName>
    <definedName name="Z_7BFBCE1E_B6C5_4BAC_AD95_2B50D2ED28AB_.wvu.FilterData" localSheetId="7" hidden="1">#REF!</definedName>
    <definedName name="Z_7BFBCE1E_B6C5_4BAC_AD95_2B50D2ED28AB_.wvu.FilterData" localSheetId="4" hidden="1">#REF!</definedName>
    <definedName name="Z_7BFBCE1E_B6C5_4BAC_AD95_2B50D2ED28AB_.wvu.FilterData" localSheetId="5" hidden="1">#REF!</definedName>
    <definedName name="Z_7BFBCE1E_B6C5_4BAC_AD95_2B50D2ED28AB_.wvu.FilterData" localSheetId="2" hidden="1">#REF!</definedName>
    <definedName name="Z_7BFBCE1E_B6C5_4BAC_AD95_2B50D2ED28AB_.wvu.FilterData" localSheetId="3" hidden="1">#REF!</definedName>
    <definedName name="Z_7BFBCE1E_B6C5_4BAC_AD95_2B50D2ED28AB_.wvu.FilterData" hidden="1">#REF!</definedName>
    <definedName name="Z_7C6FEBF3_4382_4282_BBB0_E0269BEE42DE_.wvu.FilterData" localSheetId="21" hidden="1">#REF!</definedName>
    <definedName name="Z_7C6FEBF3_4382_4282_BBB0_E0269BEE42DE_.wvu.FilterData" localSheetId="12" hidden="1">#REF!</definedName>
    <definedName name="Z_7C6FEBF3_4382_4282_BBB0_E0269BEE42DE_.wvu.FilterData" localSheetId="13" hidden="1">#REF!</definedName>
    <definedName name="Z_7C6FEBF3_4382_4282_BBB0_E0269BEE42DE_.wvu.FilterData" localSheetId="14" hidden="1">#REF!</definedName>
    <definedName name="Z_7C6FEBF3_4382_4282_BBB0_E0269BEE42DE_.wvu.FilterData" localSheetId="16" hidden="1">#REF!</definedName>
    <definedName name="Z_7C6FEBF3_4382_4282_BBB0_E0269BEE42DE_.wvu.FilterData" localSheetId="15" hidden="1">#REF!</definedName>
    <definedName name="Z_7C6FEBF3_4382_4282_BBB0_E0269BEE42DE_.wvu.FilterData" localSheetId="17" hidden="1">#REF!</definedName>
    <definedName name="Z_7C6FEBF3_4382_4282_BBB0_E0269BEE42DE_.wvu.FilterData" localSheetId="11" hidden="1">#REF!</definedName>
    <definedName name="Z_7C6FEBF3_4382_4282_BBB0_E0269BEE42DE_.wvu.FilterData" localSheetId="10" hidden="1">#REF!</definedName>
    <definedName name="Z_7C6FEBF3_4382_4282_BBB0_E0269BEE42DE_.wvu.FilterData" localSheetId="22" hidden="1">#REF!</definedName>
    <definedName name="Z_7C6FEBF3_4382_4282_BBB0_E0269BEE42DE_.wvu.FilterData" localSheetId="24" hidden="1">#REF!</definedName>
    <definedName name="Z_7C6FEBF3_4382_4282_BBB0_E0269BEE42DE_.wvu.FilterData" localSheetId="23" hidden="1">#REF!</definedName>
    <definedName name="Z_7C6FEBF3_4382_4282_BBB0_E0269BEE42DE_.wvu.FilterData" localSheetId="20" hidden="1">#REF!</definedName>
    <definedName name="Z_7C6FEBF3_4382_4282_BBB0_E0269BEE42DE_.wvu.FilterData" localSheetId="19" hidden="1">#REF!</definedName>
    <definedName name="Z_7C6FEBF3_4382_4282_BBB0_E0269BEE42DE_.wvu.FilterData" localSheetId="26" hidden="1">#REF!</definedName>
    <definedName name="Z_7C6FEBF3_4382_4282_BBB0_E0269BEE42DE_.wvu.FilterData" localSheetId="27" hidden="1">#REF!</definedName>
    <definedName name="Z_7C6FEBF3_4382_4282_BBB0_E0269BEE42DE_.wvu.FilterData" localSheetId="25" hidden="1">#REF!</definedName>
    <definedName name="Z_7C6FEBF3_4382_4282_BBB0_E0269BEE42DE_.wvu.FilterData" localSheetId="7" hidden="1">#REF!</definedName>
    <definedName name="Z_7C6FEBF3_4382_4282_BBB0_E0269BEE42DE_.wvu.FilterData" localSheetId="4" hidden="1">#REF!</definedName>
    <definedName name="Z_7C6FEBF3_4382_4282_BBB0_E0269BEE42DE_.wvu.FilterData" localSheetId="5" hidden="1">#REF!</definedName>
    <definedName name="Z_7C6FEBF3_4382_4282_BBB0_E0269BEE42DE_.wvu.FilterData" localSheetId="2" hidden="1">#REF!</definedName>
    <definedName name="Z_7C6FEBF3_4382_4282_BBB0_E0269BEE42DE_.wvu.FilterData" localSheetId="3" hidden="1">#REF!</definedName>
    <definedName name="Z_7C6FEBF3_4382_4282_BBB0_E0269BEE42DE_.wvu.FilterData" hidden="1">#REF!</definedName>
    <definedName name="Z_7D057642_92FA_4DD6_84C5_B10B17893E1F_.wvu.FilterData" localSheetId="21" hidden="1">#REF!</definedName>
    <definedName name="Z_7D057642_92FA_4DD6_84C5_B10B17893E1F_.wvu.FilterData" localSheetId="12" hidden="1">#REF!</definedName>
    <definedName name="Z_7D057642_92FA_4DD6_84C5_B10B17893E1F_.wvu.FilterData" localSheetId="13" hidden="1">#REF!</definedName>
    <definedName name="Z_7D057642_92FA_4DD6_84C5_B10B17893E1F_.wvu.FilterData" localSheetId="14" hidden="1">#REF!</definedName>
    <definedName name="Z_7D057642_92FA_4DD6_84C5_B10B17893E1F_.wvu.FilterData" localSheetId="16" hidden="1">#REF!</definedName>
    <definedName name="Z_7D057642_92FA_4DD6_84C5_B10B17893E1F_.wvu.FilterData" localSheetId="15" hidden="1">#REF!</definedName>
    <definedName name="Z_7D057642_92FA_4DD6_84C5_B10B17893E1F_.wvu.FilterData" localSheetId="17" hidden="1">#REF!</definedName>
    <definedName name="Z_7D057642_92FA_4DD6_84C5_B10B17893E1F_.wvu.FilterData" localSheetId="11" hidden="1">#REF!</definedName>
    <definedName name="Z_7D057642_92FA_4DD6_84C5_B10B17893E1F_.wvu.FilterData" localSheetId="10" hidden="1">#REF!</definedName>
    <definedName name="Z_7D057642_92FA_4DD6_84C5_B10B17893E1F_.wvu.FilterData" localSheetId="22" hidden="1">#REF!</definedName>
    <definedName name="Z_7D057642_92FA_4DD6_84C5_B10B17893E1F_.wvu.FilterData" localSheetId="24" hidden="1">#REF!</definedName>
    <definedName name="Z_7D057642_92FA_4DD6_84C5_B10B17893E1F_.wvu.FilterData" localSheetId="23" hidden="1">#REF!</definedName>
    <definedName name="Z_7D057642_92FA_4DD6_84C5_B10B17893E1F_.wvu.FilterData" localSheetId="20" hidden="1">#REF!</definedName>
    <definedName name="Z_7D057642_92FA_4DD6_84C5_B10B17893E1F_.wvu.FilterData" localSheetId="19" hidden="1">#REF!</definedName>
    <definedName name="Z_7D057642_92FA_4DD6_84C5_B10B17893E1F_.wvu.FilterData" localSheetId="26" hidden="1">#REF!</definedName>
    <definedName name="Z_7D057642_92FA_4DD6_84C5_B10B17893E1F_.wvu.FilterData" localSheetId="27" hidden="1">#REF!</definedName>
    <definedName name="Z_7D057642_92FA_4DD6_84C5_B10B17893E1F_.wvu.FilterData" localSheetId="25" hidden="1">#REF!</definedName>
    <definedName name="Z_7D057642_92FA_4DD6_84C5_B10B17893E1F_.wvu.FilterData" localSheetId="7" hidden="1">#REF!</definedName>
    <definedName name="Z_7D057642_92FA_4DD6_84C5_B10B17893E1F_.wvu.FilterData" localSheetId="4" hidden="1">#REF!</definedName>
    <definedName name="Z_7D057642_92FA_4DD6_84C5_B10B17893E1F_.wvu.FilterData" localSheetId="5" hidden="1">#REF!</definedName>
    <definedName name="Z_7D057642_92FA_4DD6_84C5_B10B17893E1F_.wvu.FilterData" localSheetId="2" hidden="1">#REF!</definedName>
    <definedName name="Z_7D057642_92FA_4DD6_84C5_B10B17893E1F_.wvu.FilterData" localSheetId="3" hidden="1">#REF!</definedName>
    <definedName name="Z_7D057642_92FA_4DD6_84C5_B10B17893E1F_.wvu.FilterData" hidden="1">#REF!</definedName>
    <definedName name="Z_7ED5F3D1_B838_492E_9467_7E7CE6B348ED_.wvu.FilterData" localSheetId="21" hidden="1">#REF!</definedName>
    <definedName name="Z_7ED5F3D1_B838_492E_9467_7E7CE6B348ED_.wvu.FilterData" localSheetId="12" hidden="1">#REF!</definedName>
    <definedName name="Z_7ED5F3D1_B838_492E_9467_7E7CE6B348ED_.wvu.FilterData" localSheetId="13" hidden="1">#REF!</definedName>
    <definedName name="Z_7ED5F3D1_B838_492E_9467_7E7CE6B348ED_.wvu.FilterData" localSheetId="14" hidden="1">#REF!</definedName>
    <definedName name="Z_7ED5F3D1_B838_492E_9467_7E7CE6B348ED_.wvu.FilterData" localSheetId="16" hidden="1">#REF!</definedName>
    <definedName name="Z_7ED5F3D1_B838_492E_9467_7E7CE6B348ED_.wvu.FilterData" localSheetId="15" hidden="1">#REF!</definedName>
    <definedName name="Z_7ED5F3D1_B838_492E_9467_7E7CE6B348ED_.wvu.FilterData" localSheetId="17" hidden="1">#REF!</definedName>
    <definedName name="Z_7ED5F3D1_B838_492E_9467_7E7CE6B348ED_.wvu.FilterData" localSheetId="11" hidden="1">#REF!</definedName>
    <definedName name="Z_7ED5F3D1_B838_492E_9467_7E7CE6B348ED_.wvu.FilterData" localSheetId="10" hidden="1">#REF!</definedName>
    <definedName name="Z_7ED5F3D1_B838_492E_9467_7E7CE6B348ED_.wvu.FilterData" localSheetId="22" hidden="1">#REF!</definedName>
    <definedName name="Z_7ED5F3D1_B838_492E_9467_7E7CE6B348ED_.wvu.FilterData" localSheetId="24" hidden="1">#REF!</definedName>
    <definedName name="Z_7ED5F3D1_B838_492E_9467_7E7CE6B348ED_.wvu.FilterData" localSheetId="23" hidden="1">#REF!</definedName>
    <definedName name="Z_7ED5F3D1_B838_492E_9467_7E7CE6B348ED_.wvu.FilterData" localSheetId="20" hidden="1">#REF!</definedName>
    <definedName name="Z_7ED5F3D1_B838_492E_9467_7E7CE6B348ED_.wvu.FilterData" localSheetId="19" hidden="1">#REF!</definedName>
    <definedName name="Z_7ED5F3D1_B838_492E_9467_7E7CE6B348ED_.wvu.FilterData" localSheetId="26" hidden="1">#REF!</definedName>
    <definedName name="Z_7ED5F3D1_B838_492E_9467_7E7CE6B348ED_.wvu.FilterData" localSheetId="27" hidden="1">#REF!</definedName>
    <definedName name="Z_7ED5F3D1_B838_492E_9467_7E7CE6B348ED_.wvu.FilterData" localSheetId="25" hidden="1">#REF!</definedName>
    <definedName name="Z_7ED5F3D1_B838_492E_9467_7E7CE6B348ED_.wvu.FilterData" localSheetId="7" hidden="1">#REF!</definedName>
    <definedName name="Z_7ED5F3D1_B838_492E_9467_7E7CE6B348ED_.wvu.FilterData" localSheetId="4" hidden="1">#REF!</definedName>
    <definedName name="Z_7ED5F3D1_B838_492E_9467_7E7CE6B348ED_.wvu.FilterData" localSheetId="5" hidden="1">#REF!</definedName>
    <definedName name="Z_7ED5F3D1_B838_492E_9467_7E7CE6B348ED_.wvu.FilterData" localSheetId="2" hidden="1">#REF!</definedName>
    <definedName name="Z_7ED5F3D1_B838_492E_9467_7E7CE6B348ED_.wvu.FilterData" localSheetId="3" hidden="1">#REF!</definedName>
    <definedName name="Z_7ED5F3D1_B838_492E_9467_7E7CE6B348ED_.wvu.FilterData" hidden="1">#REF!</definedName>
    <definedName name="Z_8090FD3B_94DF_4ACF_9708_D5B9ADEFD29C_.wvu.FilterData" localSheetId="21" hidden="1">#REF!</definedName>
    <definedName name="Z_8090FD3B_94DF_4ACF_9708_D5B9ADEFD29C_.wvu.FilterData" localSheetId="12" hidden="1">#REF!</definedName>
    <definedName name="Z_8090FD3B_94DF_4ACF_9708_D5B9ADEFD29C_.wvu.FilterData" localSheetId="13" hidden="1">#REF!</definedName>
    <definedName name="Z_8090FD3B_94DF_4ACF_9708_D5B9ADEFD29C_.wvu.FilterData" localSheetId="14" hidden="1">#REF!</definedName>
    <definedName name="Z_8090FD3B_94DF_4ACF_9708_D5B9ADEFD29C_.wvu.FilterData" localSheetId="16" hidden="1">#REF!</definedName>
    <definedName name="Z_8090FD3B_94DF_4ACF_9708_D5B9ADEFD29C_.wvu.FilterData" localSheetId="15" hidden="1">#REF!</definedName>
    <definedName name="Z_8090FD3B_94DF_4ACF_9708_D5B9ADEFD29C_.wvu.FilterData" localSheetId="17" hidden="1">#REF!</definedName>
    <definedName name="Z_8090FD3B_94DF_4ACF_9708_D5B9ADEFD29C_.wvu.FilterData" localSheetId="11" hidden="1">#REF!</definedName>
    <definedName name="Z_8090FD3B_94DF_4ACF_9708_D5B9ADEFD29C_.wvu.FilterData" localSheetId="10" hidden="1">#REF!</definedName>
    <definedName name="Z_8090FD3B_94DF_4ACF_9708_D5B9ADEFD29C_.wvu.FilterData" localSheetId="22" hidden="1">#REF!</definedName>
    <definedName name="Z_8090FD3B_94DF_4ACF_9708_D5B9ADEFD29C_.wvu.FilterData" localSheetId="24" hidden="1">#REF!</definedName>
    <definedName name="Z_8090FD3B_94DF_4ACF_9708_D5B9ADEFD29C_.wvu.FilterData" localSheetId="23" hidden="1">#REF!</definedName>
    <definedName name="Z_8090FD3B_94DF_4ACF_9708_D5B9ADEFD29C_.wvu.FilterData" localSheetId="20" hidden="1">#REF!</definedName>
    <definedName name="Z_8090FD3B_94DF_4ACF_9708_D5B9ADEFD29C_.wvu.FilterData" localSheetId="19" hidden="1">#REF!</definedName>
    <definedName name="Z_8090FD3B_94DF_4ACF_9708_D5B9ADEFD29C_.wvu.FilterData" localSheetId="26" hidden="1">#REF!</definedName>
    <definedName name="Z_8090FD3B_94DF_4ACF_9708_D5B9ADEFD29C_.wvu.FilterData" localSheetId="27" hidden="1">#REF!</definedName>
    <definedName name="Z_8090FD3B_94DF_4ACF_9708_D5B9ADEFD29C_.wvu.FilterData" localSheetId="25" hidden="1">#REF!</definedName>
    <definedName name="Z_8090FD3B_94DF_4ACF_9708_D5B9ADEFD29C_.wvu.FilterData" localSheetId="7" hidden="1">#REF!</definedName>
    <definedName name="Z_8090FD3B_94DF_4ACF_9708_D5B9ADEFD29C_.wvu.FilterData" localSheetId="4" hidden="1">#REF!</definedName>
    <definedName name="Z_8090FD3B_94DF_4ACF_9708_D5B9ADEFD29C_.wvu.FilterData" localSheetId="5" hidden="1">#REF!</definedName>
    <definedName name="Z_8090FD3B_94DF_4ACF_9708_D5B9ADEFD29C_.wvu.FilterData" localSheetId="2" hidden="1">#REF!</definedName>
    <definedName name="Z_8090FD3B_94DF_4ACF_9708_D5B9ADEFD29C_.wvu.FilterData" localSheetId="3" hidden="1">#REF!</definedName>
    <definedName name="Z_8090FD3B_94DF_4ACF_9708_D5B9ADEFD29C_.wvu.FilterData" hidden="1">#REF!</definedName>
    <definedName name="Z_8149A5A7_8307_4FA6_B457_A66B8A6DFABD_.wvu.FilterData" localSheetId="21" hidden="1">#REF!</definedName>
    <definedName name="Z_8149A5A7_8307_4FA6_B457_A66B8A6DFABD_.wvu.FilterData" localSheetId="12" hidden="1">#REF!</definedName>
    <definedName name="Z_8149A5A7_8307_4FA6_B457_A66B8A6DFABD_.wvu.FilterData" localSheetId="13" hidden="1">#REF!</definedName>
    <definedName name="Z_8149A5A7_8307_4FA6_B457_A66B8A6DFABD_.wvu.FilterData" localSheetId="14" hidden="1">#REF!</definedName>
    <definedName name="Z_8149A5A7_8307_4FA6_B457_A66B8A6DFABD_.wvu.FilterData" localSheetId="16" hidden="1">#REF!</definedName>
    <definedName name="Z_8149A5A7_8307_4FA6_B457_A66B8A6DFABD_.wvu.FilterData" localSheetId="15" hidden="1">#REF!</definedName>
    <definedName name="Z_8149A5A7_8307_4FA6_B457_A66B8A6DFABD_.wvu.FilterData" localSheetId="17" hidden="1">#REF!</definedName>
    <definedName name="Z_8149A5A7_8307_4FA6_B457_A66B8A6DFABD_.wvu.FilterData" localSheetId="11" hidden="1">#REF!</definedName>
    <definedName name="Z_8149A5A7_8307_4FA6_B457_A66B8A6DFABD_.wvu.FilterData" localSheetId="10" hidden="1">#REF!</definedName>
    <definedName name="Z_8149A5A7_8307_4FA6_B457_A66B8A6DFABD_.wvu.FilterData" localSheetId="22" hidden="1">#REF!</definedName>
    <definedName name="Z_8149A5A7_8307_4FA6_B457_A66B8A6DFABD_.wvu.FilterData" localSheetId="24" hidden="1">#REF!</definedName>
    <definedName name="Z_8149A5A7_8307_4FA6_B457_A66B8A6DFABD_.wvu.FilterData" localSheetId="23" hidden="1">#REF!</definedName>
    <definedName name="Z_8149A5A7_8307_4FA6_B457_A66B8A6DFABD_.wvu.FilterData" localSheetId="20" hidden="1">#REF!</definedName>
    <definedName name="Z_8149A5A7_8307_4FA6_B457_A66B8A6DFABD_.wvu.FilterData" localSheetId="19" hidden="1">#REF!</definedName>
    <definedName name="Z_8149A5A7_8307_4FA6_B457_A66B8A6DFABD_.wvu.FilterData" localSheetId="26" hidden="1">#REF!</definedName>
    <definedName name="Z_8149A5A7_8307_4FA6_B457_A66B8A6DFABD_.wvu.FilterData" localSheetId="27" hidden="1">#REF!</definedName>
    <definedName name="Z_8149A5A7_8307_4FA6_B457_A66B8A6DFABD_.wvu.FilterData" localSheetId="25" hidden="1">#REF!</definedName>
    <definedName name="Z_8149A5A7_8307_4FA6_B457_A66B8A6DFABD_.wvu.FilterData" localSheetId="7" hidden="1">#REF!</definedName>
    <definedName name="Z_8149A5A7_8307_4FA6_B457_A66B8A6DFABD_.wvu.FilterData" localSheetId="4" hidden="1">#REF!</definedName>
    <definedName name="Z_8149A5A7_8307_4FA6_B457_A66B8A6DFABD_.wvu.FilterData" localSheetId="5" hidden="1">#REF!</definedName>
    <definedName name="Z_8149A5A7_8307_4FA6_B457_A66B8A6DFABD_.wvu.FilterData" localSheetId="2" hidden="1">#REF!</definedName>
    <definedName name="Z_8149A5A7_8307_4FA6_B457_A66B8A6DFABD_.wvu.FilterData" localSheetId="3" hidden="1">#REF!</definedName>
    <definedName name="Z_8149A5A7_8307_4FA6_B457_A66B8A6DFABD_.wvu.FilterData" hidden="1">#REF!</definedName>
    <definedName name="Z_819A0FD3_B678_47E8_9DFB_641B3990B590_.wvu.FilterData" localSheetId="21" hidden="1">#REF!</definedName>
    <definedName name="Z_819A0FD3_B678_47E8_9DFB_641B3990B590_.wvu.FilterData" localSheetId="12" hidden="1">#REF!</definedName>
    <definedName name="Z_819A0FD3_B678_47E8_9DFB_641B3990B590_.wvu.FilterData" localSheetId="13" hidden="1">#REF!</definedName>
    <definedName name="Z_819A0FD3_B678_47E8_9DFB_641B3990B590_.wvu.FilterData" localSheetId="14" hidden="1">#REF!</definedName>
    <definedName name="Z_819A0FD3_B678_47E8_9DFB_641B3990B590_.wvu.FilterData" localSheetId="16" hidden="1">#REF!</definedName>
    <definedName name="Z_819A0FD3_B678_47E8_9DFB_641B3990B590_.wvu.FilterData" localSheetId="15" hidden="1">#REF!</definedName>
    <definedName name="Z_819A0FD3_B678_47E8_9DFB_641B3990B590_.wvu.FilterData" localSheetId="17" hidden="1">#REF!</definedName>
    <definedName name="Z_819A0FD3_B678_47E8_9DFB_641B3990B590_.wvu.FilterData" localSheetId="11" hidden="1">#REF!</definedName>
    <definedName name="Z_819A0FD3_B678_47E8_9DFB_641B3990B590_.wvu.FilterData" localSheetId="10" hidden="1">#REF!</definedName>
    <definedName name="Z_819A0FD3_B678_47E8_9DFB_641B3990B590_.wvu.FilterData" localSheetId="22" hidden="1">#REF!</definedName>
    <definedName name="Z_819A0FD3_B678_47E8_9DFB_641B3990B590_.wvu.FilterData" localSheetId="24" hidden="1">#REF!</definedName>
    <definedName name="Z_819A0FD3_B678_47E8_9DFB_641B3990B590_.wvu.FilterData" localSheetId="23" hidden="1">#REF!</definedName>
    <definedName name="Z_819A0FD3_B678_47E8_9DFB_641B3990B590_.wvu.FilterData" localSheetId="20" hidden="1">#REF!</definedName>
    <definedName name="Z_819A0FD3_B678_47E8_9DFB_641B3990B590_.wvu.FilterData" localSheetId="19" hidden="1">#REF!</definedName>
    <definedName name="Z_819A0FD3_B678_47E8_9DFB_641B3990B590_.wvu.FilterData" localSheetId="26" hidden="1">#REF!</definedName>
    <definedName name="Z_819A0FD3_B678_47E8_9DFB_641B3990B590_.wvu.FilterData" localSheetId="27" hidden="1">#REF!</definedName>
    <definedName name="Z_819A0FD3_B678_47E8_9DFB_641B3990B590_.wvu.FilterData" localSheetId="25" hidden="1">#REF!</definedName>
    <definedName name="Z_819A0FD3_B678_47E8_9DFB_641B3990B590_.wvu.FilterData" localSheetId="7" hidden="1">#REF!</definedName>
    <definedName name="Z_819A0FD3_B678_47E8_9DFB_641B3990B590_.wvu.FilterData" localSheetId="4" hidden="1">#REF!</definedName>
    <definedName name="Z_819A0FD3_B678_47E8_9DFB_641B3990B590_.wvu.FilterData" localSheetId="5" hidden="1">#REF!</definedName>
    <definedName name="Z_819A0FD3_B678_47E8_9DFB_641B3990B590_.wvu.FilterData" localSheetId="2" hidden="1">#REF!</definedName>
    <definedName name="Z_819A0FD3_B678_47E8_9DFB_641B3990B590_.wvu.FilterData" localSheetId="3" hidden="1">#REF!</definedName>
    <definedName name="Z_819A0FD3_B678_47E8_9DFB_641B3990B590_.wvu.FilterData" hidden="1">#REF!</definedName>
    <definedName name="Z_82999604_BD48_4054_BDCB_CB8B074A34A3_.wvu.FilterData" localSheetId="21" hidden="1">#REF!</definedName>
    <definedName name="Z_82999604_BD48_4054_BDCB_CB8B074A34A3_.wvu.FilterData" localSheetId="12" hidden="1">#REF!</definedName>
    <definedName name="Z_82999604_BD48_4054_BDCB_CB8B074A34A3_.wvu.FilterData" localSheetId="13" hidden="1">#REF!</definedName>
    <definedName name="Z_82999604_BD48_4054_BDCB_CB8B074A34A3_.wvu.FilterData" localSheetId="14" hidden="1">#REF!</definedName>
    <definedName name="Z_82999604_BD48_4054_BDCB_CB8B074A34A3_.wvu.FilterData" localSheetId="16" hidden="1">#REF!</definedName>
    <definedName name="Z_82999604_BD48_4054_BDCB_CB8B074A34A3_.wvu.FilterData" localSheetId="15" hidden="1">#REF!</definedName>
    <definedName name="Z_82999604_BD48_4054_BDCB_CB8B074A34A3_.wvu.FilterData" localSheetId="17" hidden="1">#REF!</definedName>
    <definedName name="Z_82999604_BD48_4054_BDCB_CB8B074A34A3_.wvu.FilterData" localSheetId="11" hidden="1">#REF!</definedName>
    <definedName name="Z_82999604_BD48_4054_BDCB_CB8B074A34A3_.wvu.FilterData" localSheetId="10" hidden="1">#REF!</definedName>
    <definedName name="Z_82999604_BD48_4054_BDCB_CB8B074A34A3_.wvu.FilterData" localSheetId="22" hidden="1">#REF!</definedName>
    <definedName name="Z_82999604_BD48_4054_BDCB_CB8B074A34A3_.wvu.FilterData" localSheetId="24" hidden="1">#REF!</definedName>
    <definedName name="Z_82999604_BD48_4054_BDCB_CB8B074A34A3_.wvu.FilterData" localSheetId="23" hidden="1">#REF!</definedName>
    <definedName name="Z_82999604_BD48_4054_BDCB_CB8B074A34A3_.wvu.FilterData" localSheetId="20" hidden="1">#REF!</definedName>
    <definedName name="Z_82999604_BD48_4054_BDCB_CB8B074A34A3_.wvu.FilterData" localSheetId="19" hidden="1">#REF!</definedName>
    <definedName name="Z_82999604_BD48_4054_BDCB_CB8B074A34A3_.wvu.FilterData" localSheetId="26" hidden="1">#REF!</definedName>
    <definedName name="Z_82999604_BD48_4054_BDCB_CB8B074A34A3_.wvu.FilterData" localSheetId="27" hidden="1">#REF!</definedName>
    <definedName name="Z_82999604_BD48_4054_BDCB_CB8B074A34A3_.wvu.FilterData" localSheetId="25" hidden="1">#REF!</definedName>
    <definedName name="Z_82999604_BD48_4054_BDCB_CB8B074A34A3_.wvu.FilterData" localSheetId="7" hidden="1">#REF!</definedName>
    <definedName name="Z_82999604_BD48_4054_BDCB_CB8B074A34A3_.wvu.FilterData" localSheetId="4" hidden="1">#REF!</definedName>
    <definedName name="Z_82999604_BD48_4054_BDCB_CB8B074A34A3_.wvu.FilterData" localSheetId="5" hidden="1">#REF!</definedName>
    <definedName name="Z_82999604_BD48_4054_BDCB_CB8B074A34A3_.wvu.FilterData" localSheetId="2" hidden="1">#REF!</definedName>
    <definedName name="Z_82999604_BD48_4054_BDCB_CB8B074A34A3_.wvu.FilterData" localSheetId="3" hidden="1">#REF!</definedName>
    <definedName name="Z_82999604_BD48_4054_BDCB_CB8B074A34A3_.wvu.FilterData" hidden="1">#REF!</definedName>
    <definedName name="Z_8473B3F0_0740_4E9F_9BAE_9113E5077DE8_.wvu.FilterData" localSheetId="21" hidden="1">#REF!</definedName>
    <definedName name="Z_8473B3F0_0740_4E9F_9BAE_9113E5077DE8_.wvu.FilterData" localSheetId="12" hidden="1">#REF!</definedName>
    <definedName name="Z_8473B3F0_0740_4E9F_9BAE_9113E5077DE8_.wvu.FilterData" localSheetId="13" hidden="1">#REF!</definedName>
    <definedName name="Z_8473B3F0_0740_4E9F_9BAE_9113E5077DE8_.wvu.FilterData" localSheetId="14" hidden="1">#REF!</definedName>
    <definedName name="Z_8473B3F0_0740_4E9F_9BAE_9113E5077DE8_.wvu.FilterData" localSheetId="16" hidden="1">#REF!</definedName>
    <definedName name="Z_8473B3F0_0740_4E9F_9BAE_9113E5077DE8_.wvu.FilterData" localSheetId="15" hidden="1">#REF!</definedName>
    <definedName name="Z_8473B3F0_0740_4E9F_9BAE_9113E5077DE8_.wvu.FilterData" localSheetId="17" hidden="1">#REF!</definedName>
    <definedName name="Z_8473B3F0_0740_4E9F_9BAE_9113E5077DE8_.wvu.FilterData" localSheetId="11" hidden="1">#REF!</definedName>
    <definedName name="Z_8473B3F0_0740_4E9F_9BAE_9113E5077DE8_.wvu.FilterData" localSheetId="10" hidden="1">#REF!</definedName>
    <definedName name="Z_8473B3F0_0740_4E9F_9BAE_9113E5077DE8_.wvu.FilterData" localSheetId="22" hidden="1">#REF!</definedName>
    <definedName name="Z_8473B3F0_0740_4E9F_9BAE_9113E5077DE8_.wvu.FilterData" localSheetId="24" hidden="1">#REF!</definedName>
    <definedName name="Z_8473B3F0_0740_4E9F_9BAE_9113E5077DE8_.wvu.FilterData" localSheetId="23" hidden="1">#REF!</definedName>
    <definedName name="Z_8473B3F0_0740_4E9F_9BAE_9113E5077DE8_.wvu.FilterData" localSheetId="20" hidden="1">#REF!</definedName>
    <definedName name="Z_8473B3F0_0740_4E9F_9BAE_9113E5077DE8_.wvu.FilterData" localSheetId="19" hidden="1">#REF!</definedName>
    <definedName name="Z_8473B3F0_0740_4E9F_9BAE_9113E5077DE8_.wvu.FilterData" localSheetId="26" hidden="1">#REF!</definedName>
    <definedName name="Z_8473B3F0_0740_4E9F_9BAE_9113E5077DE8_.wvu.FilterData" localSheetId="27" hidden="1">#REF!</definedName>
    <definedName name="Z_8473B3F0_0740_4E9F_9BAE_9113E5077DE8_.wvu.FilterData" localSheetId="25" hidden="1">#REF!</definedName>
    <definedName name="Z_8473B3F0_0740_4E9F_9BAE_9113E5077DE8_.wvu.FilterData" localSheetId="7" hidden="1">#REF!</definedName>
    <definedName name="Z_8473B3F0_0740_4E9F_9BAE_9113E5077DE8_.wvu.FilterData" localSheetId="4" hidden="1">#REF!</definedName>
    <definedName name="Z_8473B3F0_0740_4E9F_9BAE_9113E5077DE8_.wvu.FilterData" localSheetId="5" hidden="1">#REF!</definedName>
    <definedName name="Z_8473B3F0_0740_4E9F_9BAE_9113E5077DE8_.wvu.FilterData" localSheetId="2" hidden="1">#REF!</definedName>
    <definedName name="Z_8473B3F0_0740_4E9F_9BAE_9113E5077DE8_.wvu.FilterData" localSheetId="3" hidden="1">#REF!</definedName>
    <definedName name="Z_8473B3F0_0740_4E9F_9BAE_9113E5077DE8_.wvu.FilterData" hidden="1">#REF!</definedName>
    <definedName name="Z_85A83A94_71B4_44C8_8B5A_68CAA2461241_.wvu.FilterData" localSheetId="21" hidden="1">#REF!</definedName>
    <definedName name="Z_85A83A94_71B4_44C8_8B5A_68CAA2461241_.wvu.FilterData" localSheetId="12" hidden="1">#REF!</definedName>
    <definedName name="Z_85A83A94_71B4_44C8_8B5A_68CAA2461241_.wvu.FilterData" localSheetId="13" hidden="1">#REF!</definedName>
    <definedName name="Z_85A83A94_71B4_44C8_8B5A_68CAA2461241_.wvu.FilterData" localSheetId="14" hidden="1">#REF!</definedName>
    <definedName name="Z_85A83A94_71B4_44C8_8B5A_68CAA2461241_.wvu.FilterData" localSheetId="16" hidden="1">#REF!</definedName>
    <definedName name="Z_85A83A94_71B4_44C8_8B5A_68CAA2461241_.wvu.FilterData" localSheetId="15" hidden="1">#REF!</definedName>
    <definedName name="Z_85A83A94_71B4_44C8_8B5A_68CAA2461241_.wvu.FilterData" localSheetId="17" hidden="1">#REF!</definedName>
    <definedName name="Z_85A83A94_71B4_44C8_8B5A_68CAA2461241_.wvu.FilterData" localSheetId="11" hidden="1">#REF!</definedName>
    <definedName name="Z_85A83A94_71B4_44C8_8B5A_68CAA2461241_.wvu.FilterData" localSheetId="10" hidden="1">#REF!</definedName>
    <definedName name="Z_85A83A94_71B4_44C8_8B5A_68CAA2461241_.wvu.FilterData" localSheetId="22" hidden="1">#REF!</definedName>
    <definedName name="Z_85A83A94_71B4_44C8_8B5A_68CAA2461241_.wvu.FilterData" localSheetId="24" hidden="1">#REF!</definedName>
    <definedName name="Z_85A83A94_71B4_44C8_8B5A_68CAA2461241_.wvu.FilterData" localSheetId="23" hidden="1">#REF!</definedName>
    <definedName name="Z_85A83A94_71B4_44C8_8B5A_68CAA2461241_.wvu.FilterData" localSheetId="20" hidden="1">#REF!</definedName>
    <definedName name="Z_85A83A94_71B4_44C8_8B5A_68CAA2461241_.wvu.FilterData" localSheetId="19" hidden="1">#REF!</definedName>
    <definedName name="Z_85A83A94_71B4_44C8_8B5A_68CAA2461241_.wvu.FilterData" localSheetId="26" hidden="1">#REF!</definedName>
    <definedName name="Z_85A83A94_71B4_44C8_8B5A_68CAA2461241_.wvu.FilterData" localSheetId="27" hidden="1">#REF!</definedName>
    <definedName name="Z_85A83A94_71B4_44C8_8B5A_68CAA2461241_.wvu.FilterData" localSheetId="25" hidden="1">#REF!</definedName>
    <definedName name="Z_85A83A94_71B4_44C8_8B5A_68CAA2461241_.wvu.FilterData" localSheetId="7" hidden="1">#REF!</definedName>
    <definedName name="Z_85A83A94_71B4_44C8_8B5A_68CAA2461241_.wvu.FilterData" localSheetId="4" hidden="1">#REF!</definedName>
    <definedName name="Z_85A83A94_71B4_44C8_8B5A_68CAA2461241_.wvu.FilterData" localSheetId="5" hidden="1">#REF!</definedName>
    <definedName name="Z_85A83A94_71B4_44C8_8B5A_68CAA2461241_.wvu.FilterData" localSheetId="2" hidden="1">#REF!</definedName>
    <definedName name="Z_85A83A94_71B4_44C8_8B5A_68CAA2461241_.wvu.FilterData" localSheetId="3" hidden="1">#REF!</definedName>
    <definedName name="Z_85A83A94_71B4_44C8_8B5A_68CAA2461241_.wvu.FilterData" hidden="1">#REF!</definedName>
    <definedName name="Z_86E0C273_91AF_11D7_9C1E_0004231B06E7_.wvu.FilterData" localSheetId="21" hidden="1">#REF!</definedName>
    <definedName name="Z_86E0C273_91AF_11D7_9C1E_0004231B06E7_.wvu.FilterData" localSheetId="12" hidden="1">#REF!</definedName>
    <definedName name="Z_86E0C273_91AF_11D7_9C1E_0004231B06E7_.wvu.FilterData" localSheetId="13" hidden="1">#REF!</definedName>
    <definedName name="Z_86E0C273_91AF_11D7_9C1E_0004231B06E7_.wvu.FilterData" localSheetId="14" hidden="1">#REF!</definedName>
    <definedName name="Z_86E0C273_91AF_11D7_9C1E_0004231B06E7_.wvu.FilterData" localSheetId="16" hidden="1">#REF!</definedName>
    <definedName name="Z_86E0C273_91AF_11D7_9C1E_0004231B06E7_.wvu.FilterData" localSheetId="15" hidden="1">#REF!</definedName>
    <definedName name="Z_86E0C273_91AF_11D7_9C1E_0004231B06E7_.wvu.FilterData" localSheetId="17" hidden="1">#REF!</definedName>
    <definedName name="Z_86E0C273_91AF_11D7_9C1E_0004231B06E7_.wvu.FilterData" localSheetId="11" hidden="1">#REF!</definedName>
    <definedName name="Z_86E0C273_91AF_11D7_9C1E_0004231B06E7_.wvu.FilterData" localSheetId="10" hidden="1">#REF!</definedName>
    <definedName name="Z_86E0C273_91AF_11D7_9C1E_0004231B06E7_.wvu.FilterData" localSheetId="22" hidden="1">#REF!</definedName>
    <definedName name="Z_86E0C273_91AF_11D7_9C1E_0004231B06E7_.wvu.FilterData" localSheetId="24" hidden="1">#REF!</definedName>
    <definedName name="Z_86E0C273_91AF_11D7_9C1E_0004231B06E7_.wvu.FilterData" localSheetId="23" hidden="1">#REF!</definedName>
    <definedName name="Z_86E0C273_91AF_11D7_9C1E_0004231B06E7_.wvu.FilterData" localSheetId="20" hidden="1">#REF!</definedName>
    <definedName name="Z_86E0C273_91AF_11D7_9C1E_0004231B06E7_.wvu.FilterData" localSheetId="19" hidden="1">#REF!</definedName>
    <definedName name="Z_86E0C273_91AF_11D7_9C1E_0004231B06E7_.wvu.FilterData" localSheetId="26" hidden="1">#REF!</definedName>
    <definedName name="Z_86E0C273_91AF_11D7_9C1E_0004231B06E7_.wvu.FilterData" localSheetId="27" hidden="1">#REF!</definedName>
    <definedName name="Z_86E0C273_91AF_11D7_9C1E_0004231B06E7_.wvu.FilterData" localSheetId="25" hidden="1">#REF!</definedName>
    <definedName name="Z_86E0C273_91AF_11D7_9C1E_0004231B06E7_.wvu.FilterData" localSheetId="7" hidden="1">#REF!</definedName>
    <definedName name="Z_86E0C273_91AF_11D7_9C1E_0004231B06E7_.wvu.FilterData" localSheetId="4" hidden="1">#REF!</definedName>
    <definedName name="Z_86E0C273_91AF_11D7_9C1E_0004231B06E7_.wvu.FilterData" localSheetId="5" hidden="1">#REF!</definedName>
    <definedName name="Z_86E0C273_91AF_11D7_9C1E_0004231B06E7_.wvu.FilterData" localSheetId="2" hidden="1">#REF!</definedName>
    <definedName name="Z_86E0C273_91AF_11D7_9C1E_0004231B06E7_.wvu.FilterData" localSheetId="3" hidden="1">#REF!</definedName>
    <definedName name="Z_86E0C273_91AF_11D7_9C1E_0004231B06E7_.wvu.FilterData" hidden="1">#REF!</definedName>
    <definedName name="Z_87F04A72_68BF_497D_8569_47D1A3B89590_.wvu.FilterData" localSheetId="21" hidden="1">#REF!</definedName>
    <definedName name="Z_87F04A72_68BF_497D_8569_47D1A3B89590_.wvu.FilterData" localSheetId="12" hidden="1">#REF!</definedName>
    <definedName name="Z_87F04A72_68BF_497D_8569_47D1A3B89590_.wvu.FilterData" localSheetId="13" hidden="1">#REF!</definedName>
    <definedName name="Z_87F04A72_68BF_497D_8569_47D1A3B89590_.wvu.FilterData" localSheetId="14" hidden="1">#REF!</definedName>
    <definedName name="Z_87F04A72_68BF_497D_8569_47D1A3B89590_.wvu.FilterData" localSheetId="16" hidden="1">#REF!</definedName>
    <definedName name="Z_87F04A72_68BF_497D_8569_47D1A3B89590_.wvu.FilterData" localSheetId="15" hidden="1">#REF!</definedName>
    <definedName name="Z_87F04A72_68BF_497D_8569_47D1A3B89590_.wvu.FilterData" localSheetId="17" hidden="1">#REF!</definedName>
    <definedName name="Z_87F04A72_68BF_497D_8569_47D1A3B89590_.wvu.FilterData" localSheetId="11" hidden="1">#REF!</definedName>
    <definedName name="Z_87F04A72_68BF_497D_8569_47D1A3B89590_.wvu.FilterData" localSheetId="10" hidden="1">#REF!</definedName>
    <definedName name="Z_87F04A72_68BF_497D_8569_47D1A3B89590_.wvu.FilterData" localSheetId="22" hidden="1">#REF!</definedName>
    <definedName name="Z_87F04A72_68BF_497D_8569_47D1A3B89590_.wvu.FilterData" localSheetId="24" hidden="1">#REF!</definedName>
    <definedName name="Z_87F04A72_68BF_497D_8569_47D1A3B89590_.wvu.FilterData" localSheetId="23" hidden="1">#REF!</definedName>
    <definedName name="Z_87F04A72_68BF_497D_8569_47D1A3B89590_.wvu.FilterData" localSheetId="20" hidden="1">#REF!</definedName>
    <definedName name="Z_87F04A72_68BF_497D_8569_47D1A3B89590_.wvu.FilterData" localSheetId="19" hidden="1">#REF!</definedName>
    <definedName name="Z_87F04A72_68BF_497D_8569_47D1A3B89590_.wvu.FilterData" localSheetId="26" hidden="1">#REF!</definedName>
    <definedName name="Z_87F04A72_68BF_497D_8569_47D1A3B89590_.wvu.FilterData" localSheetId="27" hidden="1">#REF!</definedName>
    <definedName name="Z_87F04A72_68BF_497D_8569_47D1A3B89590_.wvu.FilterData" localSheetId="25" hidden="1">#REF!</definedName>
    <definedName name="Z_87F04A72_68BF_497D_8569_47D1A3B89590_.wvu.FilterData" localSheetId="7" hidden="1">#REF!</definedName>
    <definedName name="Z_87F04A72_68BF_497D_8569_47D1A3B89590_.wvu.FilterData" localSheetId="4" hidden="1">#REF!</definedName>
    <definedName name="Z_87F04A72_68BF_497D_8569_47D1A3B89590_.wvu.FilterData" localSheetId="5" hidden="1">#REF!</definedName>
    <definedName name="Z_87F04A72_68BF_497D_8569_47D1A3B89590_.wvu.FilterData" localSheetId="2" hidden="1">#REF!</definedName>
    <definedName name="Z_87F04A72_68BF_497D_8569_47D1A3B89590_.wvu.FilterData" localSheetId="3" hidden="1">#REF!</definedName>
    <definedName name="Z_87F04A72_68BF_497D_8569_47D1A3B89590_.wvu.FilterData" hidden="1">#REF!</definedName>
    <definedName name="Z_893CBEFD_F317_41F0_BA87_CC1860E1F73B_.wvu.FilterData" localSheetId="21" hidden="1">#REF!</definedName>
    <definedName name="Z_893CBEFD_F317_41F0_BA87_CC1860E1F73B_.wvu.FilterData" localSheetId="12" hidden="1">#REF!</definedName>
    <definedName name="Z_893CBEFD_F317_41F0_BA87_CC1860E1F73B_.wvu.FilterData" localSheetId="13" hidden="1">#REF!</definedName>
    <definedName name="Z_893CBEFD_F317_41F0_BA87_CC1860E1F73B_.wvu.FilterData" localSheetId="14" hidden="1">#REF!</definedName>
    <definedName name="Z_893CBEFD_F317_41F0_BA87_CC1860E1F73B_.wvu.FilterData" localSheetId="16" hidden="1">#REF!</definedName>
    <definedName name="Z_893CBEFD_F317_41F0_BA87_CC1860E1F73B_.wvu.FilterData" localSheetId="15" hidden="1">#REF!</definedName>
    <definedName name="Z_893CBEFD_F317_41F0_BA87_CC1860E1F73B_.wvu.FilterData" localSheetId="17" hidden="1">#REF!</definedName>
    <definedName name="Z_893CBEFD_F317_41F0_BA87_CC1860E1F73B_.wvu.FilterData" localSheetId="11" hidden="1">#REF!</definedName>
    <definedName name="Z_893CBEFD_F317_41F0_BA87_CC1860E1F73B_.wvu.FilterData" localSheetId="10" hidden="1">#REF!</definedName>
    <definedName name="Z_893CBEFD_F317_41F0_BA87_CC1860E1F73B_.wvu.FilterData" localSheetId="22" hidden="1">#REF!</definedName>
    <definedName name="Z_893CBEFD_F317_41F0_BA87_CC1860E1F73B_.wvu.FilterData" localSheetId="24" hidden="1">#REF!</definedName>
    <definedName name="Z_893CBEFD_F317_41F0_BA87_CC1860E1F73B_.wvu.FilterData" localSheetId="23" hidden="1">#REF!</definedName>
    <definedName name="Z_893CBEFD_F317_41F0_BA87_CC1860E1F73B_.wvu.FilterData" localSheetId="20" hidden="1">#REF!</definedName>
    <definedName name="Z_893CBEFD_F317_41F0_BA87_CC1860E1F73B_.wvu.FilterData" localSheetId="19" hidden="1">#REF!</definedName>
    <definedName name="Z_893CBEFD_F317_41F0_BA87_CC1860E1F73B_.wvu.FilterData" localSheetId="26" hidden="1">#REF!</definedName>
    <definedName name="Z_893CBEFD_F317_41F0_BA87_CC1860E1F73B_.wvu.FilterData" localSheetId="27" hidden="1">#REF!</definedName>
    <definedName name="Z_893CBEFD_F317_41F0_BA87_CC1860E1F73B_.wvu.FilterData" localSheetId="25" hidden="1">#REF!</definedName>
    <definedName name="Z_893CBEFD_F317_41F0_BA87_CC1860E1F73B_.wvu.FilterData" localSheetId="7" hidden="1">#REF!</definedName>
    <definedName name="Z_893CBEFD_F317_41F0_BA87_CC1860E1F73B_.wvu.FilterData" localSheetId="4" hidden="1">#REF!</definedName>
    <definedName name="Z_893CBEFD_F317_41F0_BA87_CC1860E1F73B_.wvu.FilterData" localSheetId="5" hidden="1">#REF!</definedName>
    <definedName name="Z_893CBEFD_F317_41F0_BA87_CC1860E1F73B_.wvu.FilterData" localSheetId="2" hidden="1">#REF!</definedName>
    <definedName name="Z_893CBEFD_F317_41F0_BA87_CC1860E1F73B_.wvu.FilterData" localSheetId="3" hidden="1">#REF!</definedName>
    <definedName name="Z_893CBEFD_F317_41F0_BA87_CC1860E1F73B_.wvu.FilterData" hidden="1">#REF!</definedName>
    <definedName name="Z_89D83FA2_2F4F_4275_9074_3A6247C2CDA6_.wvu.FilterData" localSheetId="21" hidden="1">#REF!</definedName>
    <definedName name="Z_89D83FA2_2F4F_4275_9074_3A6247C2CDA6_.wvu.FilterData" localSheetId="12" hidden="1">#REF!</definedName>
    <definedName name="Z_89D83FA2_2F4F_4275_9074_3A6247C2CDA6_.wvu.FilterData" localSheetId="13" hidden="1">#REF!</definedName>
    <definedName name="Z_89D83FA2_2F4F_4275_9074_3A6247C2CDA6_.wvu.FilterData" localSheetId="14" hidden="1">#REF!</definedName>
    <definedName name="Z_89D83FA2_2F4F_4275_9074_3A6247C2CDA6_.wvu.FilterData" localSheetId="16" hidden="1">#REF!</definedName>
    <definedName name="Z_89D83FA2_2F4F_4275_9074_3A6247C2CDA6_.wvu.FilterData" localSheetId="15" hidden="1">#REF!</definedName>
    <definedName name="Z_89D83FA2_2F4F_4275_9074_3A6247C2CDA6_.wvu.FilterData" localSheetId="17" hidden="1">#REF!</definedName>
    <definedName name="Z_89D83FA2_2F4F_4275_9074_3A6247C2CDA6_.wvu.FilterData" localSheetId="11" hidden="1">#REF!</definedName>
    <definedName name="Z_89D83FA2_2F4F_4275_9074_3A6247C2CDA6_.wvu.FilterData" localSheetId="10" hidden="1">#REF!</definedName>
    <definedName name="Z_89D83FA2_2F4F_4275_9074_3A6247C2CDA6_.wvu.FilterData" localSheetId="22" hidden="1">#REF!</definedName>
    <definedName name="Z_89D83FA2_2F4F_4275_9074_3A6247C2CDA6_.wvu.FilterData" localSheetId="24" hidden="1">#REF!</definedName>
    <definedName name="Z_89D83FA2_2F4F_4275_9074_3A6247C2CDA6_.wvu.FilterData" localSheetId="23" hidden="1">#REF!</definedName>
    <definedName name="Z_89D83FA2_2F4F_4275_9074_3A6247C2CDA6_.wvu.FilterData" localSheetId="20" hidden="1">#REF!</definedName>
    <definedName name="Z_89D83FA2_2F4F_4275_9074_3A6247C2CDA6_.wvu.FilterData" localSheetId="19" hidden="1">#REF!</definedName>
    <definedName name="Z_89D83FA2_2F4F_4275_9074_3A6247C2CDA6_.wvu.FilterData" localSheetId="26" hidden="1">#REF!</definedName>
    <definedName name="Z_89D83FA2_2F4F_4275_9074_3A6247C2CDA6_.wvu.FilterData" localSheetId="27" hidden="1">#REF!</definedName>
    <definedName name="Z_89D83FA2_2F4F_4275_9074_3A6247C2CDA6_.wvu.FilterData" localSheetId="25" hidden="1">#REF!</definedName>
    <definedName name="Z_89D83FA2_2F4F_4275_9074_3A6247C2CDA6_.wvu.FilterData" localSheetId="7" hidden="1">#REF!</definedName>
    <definedName name="Z_89D83FA2_2F4F_4275_9074_3A6247C2CDA6_.wvu.FilterData" localSheetId="4" hidden="1">#REF!</definedName>
    <definedName name="Z_89D83FA2_2F4F_4275_9074_3A6247C2CDA6_.wvu.FilterData" localSheetId="5" hidden="1">#REF!</definedName>
    <definedName name="Z_89D83FA2_2F4F_4275_9074_3A6247C2CDA6_.wvu.FilterData" localSheetId="2" hidden="1">#REF!</definedName>
    <definedName name="Z_89D83FA2_2F4F_4275_9074_3A6247C2CDA6_.wvu.FilterData" localSheetId="3" hidden="1">#REF!</definedName>
    <definedName name="Z_89D83FA2_2F4F_4275_9074_3A6247C2CDA6_.wvu.FilterData" hidden="1">#REF!</definedName>
    <definedName name="Z_8B2E8E84_1A68_4B75_A867_04E8EAC8E685_.wvu.FilterData" localSheetId="21" hidden="1">#REF!</definedName>
    <definedName name="Z_8B2E8E84_1A68_4B75_A867_04E8EAC8E685_.wvu.FilterData" localSheetId="12" hidden="1">#REF!</definedName>
    <definedName name="Z_8B2E8E84_1A68_4B75_A867_04E8EAC8E685_.wvu.FilterData" localSheetId="13" hidden="1">#REF!</definedName>
    <definedName name="Z_8B2E8E84_1A68_4B75_A867_04E8EAC8E685_.wvu.FilterData" localSheetId="14" hidden="1">#REF!</definedName>
    <definedName name="Z_8B2E8E84_1A68_4B75_A867_04E8EAC8E685_.wvu.FilterData" localSheetId="16" hidden="1">#REF!</definedName>
    <definedName name="Z_8B2E8E84_1A68_4B75_A867_04E8EAC8E685_.wvu.FilterData" localSheetId="15" hidden="1">#REF!</definedName>
    <definedName name="Z_8B2E8E84_1A68_4B75_A867_04E8EAC8E685_.wvu.FilterData" localSheetId="17" hidden="1">#REF!</definedName>
    <definedName name="Z_8B2E8E84_1A68_4B75_A867_04E8EAC8E685_.wvu.FilterData" localSheetId="11" hidden="1">#REF!</definedName>
    <definedName name="Z_8B2E8E84_1A68_4B75_A867_04E8EAC8E685_.wvu.FilterData" localSheetId="10" hidden="1">#REF!</definedName>
    <definedName name="Z_8B2E8E84_1A68_4B75_A867_04E8EAC8E685_.wvu.FilterData" localSheetId="22" hidden="1">#REF!</definedName>
    <definedName name="Z_8B2E8E84_1A68_4B75_A867_04E8EAC8E685_.wvu.FilterData" localSheetId="24" hidden="1">#REF!</definedName>
    <definedName name="Z_8B2E8E84_1A68_4B75_A867_04E8EAC8E685_.wvu.FilterData" localSheetId="23" hidden="1">#REF!</definedName>
    <definedName name="Z_8B2E8E84_1A68_4B75_A867_04E8EAC8E685_.wvu.FilterData" localSheetId="20" hidden="1">#REF!</definedName>
    <definedName name="Z_8B2E8E84_1A68_4B75_A867_04E8EAC8E685_.wvu.FilterData" localSheetId="19" hidden="1">#REF!</definedName>
    <definedName name="Z_8B2E8E84_1A68_4B75_A867_04E8EAC8E685_.wvu.FilterData" localSheetId="26" hidden="1">#REF!</definedName>
    <definedName name="Z_8B2E8E84_1A68_4B75_A867_04E8EAC8E685_.wvu.FilterData" localSheetId="27" hidden="1">#REF!</definedName>
    <definedName name="Z_8B2E8E84_1A68_4B75_A867_04E8EAC8E685_.wvu.FilterData" localSheetId="25" hidden="1">#REF!</definedName>
    <definedName name="Z_8B2E8E84_1A68_4B75_A867_04E8EAC8E685_.wvu.FilterData" localSheetId="7" hidden="1">#REF!</definedName>
    <definedName name="Z_8B2E8E84_1A68_4B75_A867_04E8EAC8E685_.wvu.FilterData" localSheetId="4" hidden="1">#REF!</definedName>
    <definedName name="Z_8B2E8E84_1A68_4B75_A867_04E8EAC8E685_.wvu.FilterData" localSheetId="5" hidden="1">#REF!</definedName>
    <definedName name="Z_8B2E8E84_1A68_4B75_A867_04E8EAC8E685_.wvu.FilterData" localSheetId="2" hidden="1">#REF!</definedName>
    <definedName name="Z_8B2E8E84_1A68_4B75_A867_04E8EAC8E685_.wvu.FilterData" localSheetId="3" hidden="1">#REF!</definedName>
    <definedName name="Z_8B2E8E84_1A68_4B75_A867_04E8EAC8E685_.wvu.FilterData" hidden="1">#REF!</definedName>
    <definedName name="Z_8B5FADF8_BAFC_44E0_9D1D_DE21657D83CA_.wvu.FilterData" localSheetId="21" hidden="1">#REF!</definedName>
    <definedName name="Z_8B5FADF8_BAFC_44E0_9D1D_DE21657D83CA_.wvu.FilterData" localSheetId="12" hidden="1">#REF!</definedName>
    <definedName name="Z_8B5FADF8_BAFC_44E0_9D1D_DE21657D83CA_.wvu.FilterData" localSheetId="13" hidden="1">#REF!</definedName>
    <definedName name="Z_8B5FADF8_BAFC_44E0_9D1D_DE21657D83CA_.wvu.FilterData" localSheetId="14" hidden="1">#REF!</definedName>
    <definedName name="Z_8B5FADF8_BAFC_44E0_9D1D_DE21657D83CA_.wvu.FilterData" localSheetId="16" hidden="1">#REF!</definedName>
    <definedName name="Z_8B5FADF8_BAFC_44E0_9D1D_DE21657D83CA_.wvu.FilterData" localSheetId="15" hidden="1">#REF!</definedName>
    <definedName name="Z_8B5FADF8_BAFC_44E0_9D1D_DE21657D83CA_.wvu.FilterData" localSheetId="17" hidden="1">#REF!</definedName>
    <definedName name="Z_8B5FADF8_BAFC_44E0_9D1D_DE21657D83CA_.wvu.FilterData" localSheetId="11" hidden="1">#REF!</definedName>
    <definedName name="Z_8B5FADF8_BAFC_44E0_9D1D_DE21657D83CA_.wvu.FilterData" localSheetId="10" hidden="1">#REF!</definedName>
    <definedName name="Z_8B5FADF8_BAFC_44E0_9D1D_DE21657D83CA_.wvu.FilterData" localSheetId="22" hidden="1">#REF!</definedName>
    <definedName name="Z_8B5FADF8_BAFC_44E0_9D1D_DE21657D83CA_.wvu.FilterData" localSheetId="24" hidden="1">#REF!</definedName>
    <definedName name="Z_8B5FADF8_BAFC_44E0_9D1D_DE21657D83CA_.wvu.FilterData" localSheetId="23" hidden="1">#REF!</definedName>
    <definedName name="Z_8B5FADF8_BAFC_44E0_9D1D_DE21657D83CA_.wvu.FilterData" localSheetId="20" hidden="1">#REF!</definedName>
    <definedName name="Z_8B5FADF8_BAFC_44E0_9D1D_DE21657D83CA_.wvu.FilterData" localSheetId="19" hidden="1">#REF!</definedName>
    <definedName name="Z_8B5FADF8_BAFC_44E0_9D1D_DE21657D83CA_.wvu.FilterData" localSheetId="26" hidden="1">#REF!</definedName>
    <definedName name="Z_8B5FADF8_BAFC_44E0_9D1D_DE21657D83CA_.wvu.FilterData" localSheetId="27" hidden="1">#REF!</definedName>
    <definedName name="Z_8B5FADF8_BAFC_44E0_9D1D_DE21657D83CA_.wvu.FilterData" localSheetId="25" hidden="1">#REF!</definedName>
    <definedName name="Z_8B5FADF8_BAFC_44E0_9D1D_DE21657D83CA_.wvu.FilterData" localSheetId="7" hidden="1">#REF!</definedName>
    <definedName name="Z_8B5FADF8_BAFC_44E0_9D1D_DE21657D83CA_.wvu.FilterData" localSheetId="4" hidden="1">#REF!</definedName>
    <definedName name="Z_8B5FADF8_BAFC_44E0_9D1D_DE21657D83CA_.wvu.FilterData" localSheetId="5" hidden="1">#REF!</definedName>
    <definedName name="Z_8B5FADF8_BAFC_44E0_9D1D_DE21657D83CA_.wvu.FilterData" localSheetId="2" hidden="1">#REF!</definedName>
    <definedName name="Z_8B5FADF8_BAFC_44E0_9D1D_DE21657D83CA_.wvu.FilterData" localSheetId="3" hidden="1">#REF!</definedName>
    <definedName name="Z_8B5FADF8_BAFC_44E0_9D1D_DE21657D83CA_.wvu.FilterData" hidden="1">#REF!</definedName>
    <definedName name="Z_8CBA7976_3F45_4926_8F5C_251343B1DCDB_.wvu.FilterData" localSheetId="21" hidden="1">#REF!</definedName>
    <definedName name="Z_8CBA7976_3F45_4926_8F5C_251343B1DCDB_.wvu.FilterData" localSheetId="12" hidden="1">#REF!</definedName>
    <definedName name="Z_8CBA7976_3F45_4926_8F5C_251343B1DCDB_.wvu.FilterData" localSheetId="13" hidden="1">#REF!</definedName>
    <definedName name="Z_8CBA7976_3F45_4926_8F5C_251343B1DCDB_.wvu.FilterData" localSheetId="14" hidden="1">#REF!</definedName>
    <definedName name="Z_8CBA7976_3F45_4926_8F5C_251343B1DCDB_.wvu.FilterData" localSheetId="16" hidden="1">#REF!</definedName>
    <definedName name="Z_8CBA7976_3F45_4926_8F5C_251343B1DCDB_.wvu.FilterData" localSheetId="15" hidden="1">#REF!</definedName>
    <definedName name="Z_8CBA7976_3F45_4926_8F5C_251343B1DCDB_.wvu.FilterData" localSheetId="17" hidden="1">#REF!</definedName>
    <definedName name="Z_8CBA7976_3F45_4926_8F5C_251343B1DCDB_.wvu.FilterData" localSheetId="11" hidden="1">#REF!</definedName>
    <definedName name="Z_8CBA7976_3F45_4926_8F5C_251343B1DCDB_.wvu.FilterData" localSheetId="10" hidden="1">#REF!</definedName>
    <definedName name="Z_8CBA7976_3F45_4926_8F5C_251343B1DCDB_.wvu.FilterData" localSheetId="22" hidden="1">#REF!</definedName>
    <definedName name="Z_8CBA7976_3F45_4926_8F5C_251343B1DCDB_.wvu.FilterData" localSheetId="24" hidden="1">#REF!</definedName>
    <definedName name="Z_8CBA7976_3F45_4926_8F5C_251343B1DCDB_.wvu.FilterData" localSheetId="23" hidden="1">#REF!</definedName>
    <definedName name="Z_8CBA7976_3F45_4926_8F5C_251343B1DCDB_.wvu.FilterData" localSheetId="20" hidden="1">#REF!</definedName>
    <definedName name="Z_8CBA7976_3F45_4926_8F5C_251343B1DCDB_.wvu.FilterData" localSheetId="19" hidden="1">#REF!</definedName>
    <definedName name="Z_8CBA7976_3F45_4926_8F5C_251343B1DCDB_.wvu.FilterData" localSheetId="26" hidden="1">#REF!</definedName>
    <definedName name="Z_8CBA7976_3F45_4926_8F5C_251343B1DCDB_.wvu.FilterData" localSheetId="27" hidden="1">#REF!</definedName>
    <definedName name="Z_8CBA7976_3F45_4926_8F5C_251343B1DCDB_.wvu.FilterData" localSheetId="25" hidden="1">#REF!</definedName>
    <definedName name="Z_8CBA7976_3F45_4926_8F5C_251343B1DCDB_.wvu.FilterData" localSheetId="7" hidden="1">#REF!</definedName>
    <definedName name="Z_8CBA7976_3F45_4926_8F5C_251343B1DCDB_.wvu.FilterData" localSheetId="4" hidden="1">#REF!</definedName>
    <definedName name="Z_8CBA7976_3F45_4926_8F5C_251343B1DCDB_.wvu.FilterData" localSheetId="5" hidden="1">#REF!</definedName>
    <definedName name="Z_8CBA7976_3F45_4926_8F5C_251343B1DCDB_.wvu.FilterData" localSheetId="2" hidden="1">#REF!</definedName>
    <definedName name="Z_8CBA7976_3F45_4926_8F5C_251343B1DCDB_.wvu.FilterData" localSheetId="3" hidden="1">#REF!</definedName>
    <definedName name="Z_8CBA7976_3F45_4926_8F5C_251343B1DCDB_.wvu.FilterData" hidden="1">#REF!</definedName>
    <definedName name="Z_8D213052_8AFD_4E06_B410_DCB431062572_.wvu.FilterData" localSheetId="21" hidden="1">#REF!</definedName>
    <definedName name="Z_8D213052_8AFD_4E06_B410_DCB431062572_.wvu.FilterData" localSheetId="12" hidden="1">#REF!</definedName>
    <definedName name="Z_8D213052_8AFD_4E06_B410_DCB431062572_.wvu.FilterData" localSheetId="13" hidden="1">#REF!</definedName>
    <definedName name="Z_8D213052_8AFD_4E06_B410_DCB431062572_.wvu.FilterData" localSheetId="14" hidden="1">#REF!</definedName>
    <definedName name="Z_8D213052_8AFD_4E06_B410_DCB431062572_.wvu.FilterData" localSheetId="16" hidden="1">#REF!</definedName>
    <definedName name="Z_8D213052_8AFD_4E06_B410_DCB431062572_.wvu.FilterData" localSheetId="15" hidden="1">#REF!</definedName>
    <definedName name="Z_8D213052_8AFD_4E06_B410_DCB431062572_.wvu.FilterData" localSheetId="17" hidden="1">#REF!</definedName>
    <definedName name="Z_8D213052_8AFD_4E06_B410_DCB431062572_.wvu.FilterData" localSheetId="11" hidden="1">#REF!</definedName>
    <definedName name="Z_8D213052_8AFD_4E06_B410_DCB431062572_.wvu.FilterData" localSheetId="10" hidden="1">#REF!</definedName>
    <definedName name="Z_8D213052_8AFD_4E06_B410_DCB431062572_.wvu.FilterData" localSheetId="22" hidden="1">#REF!</definedName>
    <definedName name="Z_8D213052_8AFD_4E06_B410_DCB431062572_.wvu.FilterData" localSheetId="24" hidden="1">#REF!</definedName>
    <definedName name="Z_8D213052_8AFD_4E06_B410_DCB431062572_.wvu.FilterData" localSheetId="23" hidden="1">#REF!</definedName>
    <definedName name="Z_8D213052_8AFD_4E06_B410_DCB431062572_.wvu.FilterData" localSheetId="20" hidden="1">#REF!</definedName>
    <definedName name="Z_8D213052_8AFD_4E06_B410_DCB431062572_.wvu.FilterData" localSheetId="19" hidden="1">#REF!</definedName>
    <definedName name="Z_8D213052_8AFD_4E06_B410_DCB431062572_.wvu.FilterData" localSheetId="26" hidden="1">#REF!</definedName>
    <definedName name="Z_8D213052_8AFD_4E06_B410_DCB431062572_.wvu.FilterData" localSheetId="27" hidden="1">#REF!</definedName>
    <definedName name="Z_8D213052_8AFD_4E06_B410_DCB431062572_.wvu.FilterData" localSheetId="25" hidden="1">#REF!</definedName>
    <definedName name="Z_8D213052_8AFD_4E06_B410_DCB431062572_.wvu.FilterData" localSheetId="7" hidden="1">#REF!</definedName>
    <definedName name="Z_8D213052_8AFD_4E06_B410_DCB431062572_.wvu.FilterData" localSheetId="4" hidden="1">#REF!</definedName>
    <definedName name="Z_8D213052_8AFD_4E06_B410_DCB431062572_.wvu.FilterData" localSheetId="5" hidden="1">#REF!</definedName>
    <definedName name="Z_8D213052_8AFD_4E06_B410_DCB431062572_.wvu.FilterData" localSheetId="2" hidden="1">#REF!</definedName>
    <definedName name="Z_8D213052_8AFD_4E06_B410_DCB431062572_.wvu.FilterData" localSheetId="3" hidden="1">#REF!</definedName>
    <definedName name="Z_8D213052_8AFD_4E06_B410_DCB431062572_.wvu.FilterData" hidden="1">#REF!</definedName>
    <definedName name="Z_8EA755F4_0515_4AA0_970C_55F473C7FD9B_.wvu.FilterData" localSheetId="21" hidden="1">#REF!</definedName>
    <definedName name="Z_8EA755F4_0515_4AA0_970C_55F473C7FD9B_.wvu.FilterData" localSheetId="12" hidden="1">#REF!</definedName>
    <definedName name="Z_8EA755F4_0515_4AA0_970C_55F473C7FD9B_.wvu.FilterData" localSheetId="13" hidden="1">#REF!</definedName>
    <definedName name="Z_8EA755F4_0515_4AA0_970C_55F473C7FD9B_.wvu.FilterData" localSheetId="14" hidden="1">#REF!</definedName>
    <definedName name="Z_8EA755F4_0515_4AA0_970C_55F473C7FD9B_.wvu.FilterData" localSheetId="16" hidden="1">#REF!</definedName>
    <definedName name="Z_8EA755F4_0515_4AA0_970C_55F473C7FD9B_.wvu.FilterData" localSheetId="15" hidden="1">#REF!</definedName>
    <definedName name="Z_8EA755F4_0515_4AA0_970C_55F473C7FD9B_.wvu.FilterData" localSheetId="17" hidden="1">#REF!</definedName>
    <definedName name="Z_8EA755F4_0515_4AA0_970C_55F473C7FD9B_.wvu.FilterData" localSheetId="11" hidden="1">#REF!</definedName>
    <definedName name="Z_8EA755F4_0515_4AA0_970C_55F473C7FD9B_.wvu.FilterData" localSheetId="10" hidden="1">#REF!</definedName>
    <definedName name="Z_8EA755F4_0515_4AA0_970C_55F473C7FD9B_.wvu.FilterData" localSheetId="22" hidden="1">#REF!</definedName>
    <definedName name="Z_8EA755F4_0515_4AA0_970C_55F473C7FD9B_.wvu.FilterData" localSheetId="24" hidden="1">#REF!</definedName>
    <definedName name="Z_8EA755F4_0515_4AA0_970C_55F473C7FD9B_.wvu.FilterData" localSheetId="23" hidden="1">#REF!</definedName>
    <definedName name="Z_8EA755F4_0515_4AA0_970C_55F473C7FD9B_.wvu.FilterData" localSheetId="20" hidden="1">#REF!</definedName>
    <definedName name="Z_8EA755F4_0515_4AA0_970C_55F473C7FD9B_.wvu.FilterData" localSheetId="19" hidden="1">#REF!</definedName>
    <definedName name="Z_8EA755F4_0515_4AA0_970C_55F473C7FD9B_.wvu.FilterData" localSheetId="26" hidden="1">#REF!</definedName>
    <definedName name="Z_8EA755F4_0515_4AA0_970C_55F473C7FD9B_.wvu.FilterData" localSheetId="27" hidden="1">#REF!</definedName>
    <definedName name="Z_8EA755F4_0515_4AA0_970C_55F473C7FD9B_.wvu.FilterData" localSheetId="25" hidden="1">#REF!</definedName>
    <definedName name="Z_8EA755F4_0515_4AA0_970C_55F473C7FD9B_.wvu.FilterData" localSheetId="7" hidden="1">#REF!</definedName>
    <definedName name="Z_8EA755F4_0515_4AA0_970C_55F473C7FD9B_.wvu.FilterData" localSheetId="4" hidden="1">#REF!</definedName>
    <definedName name="Z_8EA755F4_0515_4AA0_970C_55F473C7FD9B_.wvu.FilterData" localSheetId="5" hidden="1">#REF!</definedName>
    <definedName name="Z_8EA755F4_0515_4AA0_970C_55F473C7FD9B_.wvu.FilterData" localSheetId="2" hidden="1">#REF!</definedName>
    <definedName name="Z_8EA755F4_0515_4AA0_970C_55F473C7FD9B_.wvu.FilterData" localSheetId="3" hidden="1">#REF!</definedName>
    <definedName name="Z_8EA755F4_0515_4AA0_970C_55F473C7FD9B_.wvu.FilterData" hidden="1">#REF!</definedName>
    <definedName name="Z_8F33F4E3_A14E_4DD4_ADD4_B19023A45B10_.wvu.FilterData" localSheetId="21" hidden="1">#REF!</definedName>
    <definedName name="Z_8F33F4E3_A14E_4DD4_ADD4_B19023A45B10_.wvu.FilterData" localSheetId="12" hidden="1">#REF!</definedName>
    <definedName name="Z_8F33F4E3_A14E_4DD4_ADD4_B19023A45B10_.wvu.FilterData" localSheetId="13" hidden="1">#REF!</definedName>
    <definedName name="Z_8F33F4E3_A14E_4DD4_ADD4_B19023A45B10_.wvu.FilterData" localSheetId="14" hidden="1">#REF!</definedName>
    <definedName name="Z_8F33F4E3_A14E_4DD4_ADD4_B19023A45B10_.wvu.FilterData" localSheetId="16" hidden="1">#REF!</definedName>
    <definedName name="Z_8F33F4E3_A14E_4DD4_ADD4_B19023A45B10_.wvu.FilterData" localSheetId="15" hidden="1">#REF!</definedName>
    <definedName name="Z_8F33F4E3_A14E_4DD4_ADD4_B19023A45B10_.wvu.FilterData" localSheetId="17" hidden="1">#REF!</definedName>
    <definedName name="Z_8F33F4E3_A14E_4DD4_ADD4_B19023A45B10_.wvu.FilterData" localSheetId="11" hidden="1">#REF!</definedName>
    <definedName name="Z_8F33F4E3_A14E_4DD4_ADD4_B19023A45B10_.wvu.FilterData" localSheetId="10" hidden="1">#REF!</definedName>
    <definedName name="Z_8F33F4E3_A14E_4DD4_ADD4_B19023A45B10_.wvu.FilterData" localSheetId="22" hidden="1">#REF!</definedName>
    <definedName name="Z_8F33F4E3_A14E_4DD4_ADD4_B19023A45B10_.wvu.FilterData" localSheetId="24" hidden="1">#REF!</definedName>
    <definedName name="Z_8F33F4E3_A14E_4DD4_ADD4_B19023A45B10_.wvu.FilterData" localSheetId="23" hidden="1">#REF!</definedName>
    <definedName name="Z_8F33F4E3_A14E_4DD4_ADD4_B19023A45B10_.wvu.FilterData" localSheetId="20" hidden="1">#REF!</definedName>
    <definedName name="Z_8F33F4E3_A14E_4DD4_ADD4_B19023A45B10_.wvu.FilterData" localSheetId="19" hidden="1">#REF!</definedName>
    <definedName name="Z_8F33F4E3_A14E_4DD4_ADD4_B19023A45B10_.wvu.FilterData" localSheetId="26" hidden="1">#REF!</definedName>
    <definedName name="Z_8F33F4E3_A14E_4DD4_ADD4_B19023A45B10_.wvu.FilterData" localSheetId="27" hidden="1">#REF!</definedName>
    <definedName name="Z_8F33F4E3_A14E_4DD4_ADD4_B19023A45B10_.wvu.FilterData" localSheetId="25" hidden="1">#REF!</definedName>
    <definedName name="Z_8F33F4E3_A14E_4DD4_ADD4_B19023A45B10_.wvu.FilterData" localSheetId="7" hidden="1">#REF!</definedName>
    <definedName name="Z_8F33F4E3_A14E_4DD4_ADD4_B19023A45B10_.wvu.FilterData" localSheetId="4" hidden="1">#REF!</definedName>
    <definedName name="Z_8F33F4E3_A14E_4DD4_ADD4_B19023A45B10_.wvu.FilterData" localSheetId="5" hidden="1">#REF!</definedName>
    <definedName name="Z_8F33F4E3_A14E_4DD4_ADD4_B19023A45B10_.wvu.FilterData" localSheetId="2" hidden="1">#REF!</definedName>
    <definedName name="Z_8F33F4E3_A14E_4DD4_ADD4_B19023A45B10_.wvu.FilterData" localSheetId="3" hidden="1">#REF!</definedName>
    <definedName name="Z_8F33F4E3_A14E_4DD4_ADD4_B19023A45B10_.wvu.FilterData" hidden="1">#REF!</definedName>
    <definedName name="Z_901BF8EA_CA8A_411C_8FD3_BCB793FCF48A_.wvu.FilterData" localSheetId="21" hidden="1">#REF!</definedName>
    <definedName name="Z_901BF8EA_CA8A_411C_8FD3_BCB793FCF48A_.wvu.FilterData" localSheetId="12" hidden="1">#REF!</definedName>
    <definedName name="Z_901BF8EA_CA8A_411C_8FD3_BCB793FCF48A_.wvu.FilterData" localSheetId="13" hidden="1">#REF!</definedName>
    <definedName name="Z_901BF8EA_CA8A_411C_8FD3_BCB793FCF48A_.wvu.FilterData" localSheetId="14" hidden="1">#REF!</definedName>
    <definedName name="Z_901BF8EA_CA8A_411C_8FD3_BCB793FCF48A_.wvu.FilterData" localSheetId="16" hidden="1">#REF!</definedName>
    <definedName name="Z_901BF8EA_CA8A_411C_8FD3_BCB793FCF48A_.wvu.FilterData" localSheetId="15" hidden="1">#REF!</definedName>
    <definedName name="Z_901BF8EA_CA8A_411C_8FD3_BCB793FCF48A_.wvu.FilterData" localSheetId="17" hidden="1">#REF!</definedName>
    <definedName name="Z_901BF8EA_CA8A_411C_8FD3_BCB793FCF48A_.wvu.FilterData" localSheetId="11" hidden="1">#REF!</definedName>
    <definedName name="Z_901BF8EA_CA8A_411C_8FD3_BCB793FCF48A_.wvu.FilterData" localSheetId="10" hidden="1">#REF!</definedName>
    <definedName name="Z_901BF8EA_CA8A_411C_8FD3_BCB793FCF48A_.wvu.FilterData" localSheetId="22" hidden="1">#REF!</definedName>
    <definedName name="Z_901BF8EA_CA8A_411C_8FD3_BCB793FCF48A_.wvu.FilterData" localSheetId="24" hidden="1">#REF!</definedName>
    <definedName name="Z_901BF8EA_CA8A_411C_8FD3_BCB793FCF48A_.wvu.FilterData" localSheetId="23" hidden="1">#REF!</definedName>
    <definedName name="Z_901BF8EA_CA8A_411C_8FD3_BCB793FCF48A_.wvu.FilterData" localSheetId="20" hidden="1">#REF!</definedName>
    <definedName name="Z_901BF8EA_CA8A_411C_8FD3_BCB793FCF48A_.wvu.FilterData" localSheetId="19" hidden="1">#REF!</definedName>
    <definedName name="Z_901BF8EA_CA8A_411C_8FD3_BCB793FCF48A_.wvu.FilterData" localSheetId="26" hidden="1">#REF!</definedName>
    <definedName name="Z_901BF8EA_CA8A_411C_8FD3_BCB793FCF48A_.wvu.FilterData" localSheetId="27" hidden="1">#REF!</definedName>
    <definedName name="Z_901BF8EA_CA8A_411C_8FD3_BCB793FCF48A_.wvu.FilterData" localSheetId="25" hidden="1">#REF!</definedName>
    <definedName name="Z_901BF8EA_CA8A_411C_8FD3_BCB793FCF48A_.wvu.FilterData" localSheetId="7" hidden="1">#REF!</definedName>
    <definedName name="Z_901BF8EA_CA8A_411C_8FD3_BCB793FCF48A_.wvu.FilterData" localSheetId="4" hidden="1">#REF!</definedName>
    <definedName name="Z_901BF8EA_CA8A_411C_8FD3_BCB793FCF48A_.wvu.FilterData" localSheetId="5" hidden="1">#REF!</definedName>
    <definedName name="Z_901BF8EA_CA8A_411C_8FD3_BCB793FCF48A_.wvu.FilterData" localSheetId="2" hidden="1">#REF!</definedName>
    <definedName name="Z_901BF8EA_CA8A_411C_8FD3_BCB793FCF48A_.wvu.FilterData" localSheetId="3" hidden="1">#REF!</definedName>
    <definedName name="Z_901BF8EA_CA8A_411C_8FD3_BCB793FCF48A_.wvu.FilterData" hidden="1">#REF!</definedName>
    <definedName name="Z_91488B6D_F045_4050_BA1B_41C2E3B3B10A_.wvu.FilterData" localSheetId="21" hidden="1">#REF!</definedName>
    <definedName name="Z_91488B6D_F045_4050_BA1B_41C2E3B3B10A_.wvu.FilterData" localSheetId="12" hidden="1">#REF!</definedName>
    <definedName name="Z_91488B6D_F045_4050_BA1B_41C2E3B3B10A_.wvu.FilterData" localSheetId="13" hidden="1">#REF!</definedName>
    <definedName name="Z_91488B6D_F045_4050_BA1B_41C2E3B3B10A_.wvu.FilterData" localSheetId="14" hidden="1">#REF!</definedName>
    <definedName name="Z_91488B6D_F045_4050_BA1B_41C2E3B3B10A_.wvu.FilterData" localSheetId="16" hidden="1">#REF!</definedName>
    <definedName name="Z_91488B6D_F045_4050_BA1B_41C2E3B3B10A_.wvu.FilterData" localSheetId="15" hidden="1">#REF!</definedName>
    <definedName name="Z_91488B6D_F045_4050_BA1B_41C2E3B3B10A_.wvu.FilterData" localSheetId="17" hidden="1">#REF!</definedName>
    <definedName name="Z_91488B6D_F045_4050_BA1B_41C2E3B3B10A_.wvu.FilterData" localSheetId="11" hidden="1">#REF!</definedName>
    <definedName name="Z_91488B6D_F045_4050_BA1B_41C2E3B3B10A_.wvu.FilterData" localSheetId="10" hidden="1">#REF!</definedName>
    <definedName name="Z_91488B6D_F045_4050_BA1B_41C2E3B3B10A_.wvu.FilterData" localSheetId="22" hidden="1">#REF!</definedName>
    <definedName name="Z_91488B6D_F045_4050_BA1B_41C2E3B3B10A_.wvu.FilterData" localSheetId="24" hidden="1">#REF!</definedName>
    <definedName name="Z_91488B6D_F045_4050_BA1B_41C2E3B3B10A_.wvu.FilterData" localSheetId="23" hidden="1">#REF!</definedName>
    <definedName name="Z_91488B6D_F045_4050_BA1B_41C2E3B3B10A_.wvu.FilterData" localSheetId="20" hidden="1">#REF!</definedName>
    <definedName name="Z_91488B6D_F045_4050_BA1B_41C2E3B3B10A_.wvu.FilterData" localSheetId="19" hidden="1">#REF!</definedName>
    <definedName name="Z_91488B6D_F045_4050_BA1B_41C2E3B3B10A_.wvu.FilterData" localSheetId="26" hidden="1">#REF!</definedName>
    <definedName name="Z_91488B6D_F045_4050_BA1B_41C2E3B3B10A_.wvu.FilterData" localSheetId="27" hidden="1">#REF!</definedName>
    <definedName name="Z_91488B6D_F045_4050_BA1B_41C2E3B3B10A_.wvu.FilterData" localSheetId="25" hidden="1">#REF!</definedName>
    <definedName name="Z_91488B6D_F045_4050_BA1B_41C2E3B3B10A_.wvu.FilterData" localSheetId="7" hidden="1">#REF!</definedName>
    <definedName name="Z_91488B6D_F045_4050_BA1B_41C2E3B3B10A_.wvu.FilterData" localSheetId="4" hidden="1">#REF!</definedName>
    <definedName name="Z_91488B6D_F045_4050_BA1B_41C2E3B3B10A_.wvu.FilterData" localSheetId="5" hidden="1">#REF!</definedName>
    <definedName name="Z_91488B6D_F045_4050_BA1B_41C2E3B3B10A_.wvu.FilterData" localSheetId="2" hidden="1">#REF!</definedName>
    <definedName name="Z_91488B6D_F045_4050_BA1B_41C2E3B3B10A_.wvu.FilterData" localSheetId="3" hidden="1">#REF!</definedName>
    <definedName name="Z_91488B6D_F045_4050_BA1B_41C2E3B3B10A_.wvu.FilterData" hidden="1">#REF!</definedName>
    <definedName name="Z_92919032_3A1D_4E0A_A8D8_FD23494D13A8_.wvu.FilterData" localSheetId="21" hidden="1">#REF!</definedName>
    <definedName name="Z_92919032_3A1D_4E0A_A8D8_FD23494D13A8_.wvu.FilterData" localSheetId="12" hidden="1">#REF!</definedName>
    <definedName name="Z_92919032_3A1D_4E0A_A8D8_FD23494D13A8_.wvu.FilterData" localSheetId="13" hidden="1">#REF!</definedName>
    <definedName name="Z_92919032_3A1D_4E0A_A8D8_FD23494D13A8_.wvu.FilterData" localSheetId="14" hidden="1">#REF!</definedName>
    <definedName name="Z_92919032_3A1D_4E0A_A8D8_FD23494D13A8_.wvu.FilterData" localSheetId="16" hidden="1">#REF!</definedName>
    <definedName name="Z_92919032_3A1D_4E0A_A8D8_FD23494D13A8_.wvu.FilterData" localSheetId="15" hidden="1">#REF!</definedName>
    <definedName name="Z_92919032_3A1D_4E0A_A8D8_FD23494D13A8_.wvu.FilterData" localSheetId="17" hidden="1">#REF!</definedName>
    <definedName name="Z_92919032_3A1D_4E0A_A8D8_FD23494D13A8_.wvu.FilterData" localSheetId="11" hidden="1">#REF!</definedName>
    <definedName name="Z_92919032_3A1D_4E0A_A8D8_FD23494D13A8_.wvu.FilterData" localSheetId="10" hidden="1">#REF!</definedName>
    <definedName name="Z_92919032_3A1D_4E0A_A8D8_FD23494D13A8_.wvu.FilterData" localSheetId="22" hidden="1">#REF!</definedName>
    <definedName name="Z_92919032_3A1D_4E0A_A8D8_FD23494D13A8_.wvu.FilterData" localSheetId="24" hidden="1">#REF!</definedName>
    <definedName name="Z_92919032_3A1D_4E0A_A8D8_FD23494D13A8_.wvu.FilterData" localSheetId="23" hidden="1">#REF!</definedName>
    <definedName name="Z_92919032_3A1D_4E0A_A8D8_FD23494D13A8_.wvu.FilterData" localSheetId="20" hidden="1">#REF!</definedName>
    <definedName name="Z_92919032_3A1D_4E0A_A8D8_FD23494D13A8_.wvu.FilterData" localSheetId="19" hidden="1">#REF!</definedName>
    <definedName name="Z_92919032_3A1D_4E0A_A8D8_FD23494D13A8_.wvu.FilterData" localSheetId="26" hidden="1">#REF!</definedName>
    <definedName name="Z_92919032_3A1D_4E0A_A8D8_FD23494D13A8_.wvu.FilterData" localSheetId="27" hidden="1">#REF!</definedName>
    <definedName name="Z_92919032_3A1D_4E0A_A8D8_FD23494D13A8_.wvu.FilterData" localSheetId="25" hidden="1">#REF!</definedName>
    <definedName name="Z_92919032_3A1D_4E0A_A8D8_FD23494D13A8_.wvu.FilterData" localSheetId="7" hidden="1">#REF!</definedName>
    <definedName name="Z_92919032_3A1D_4E0A_A8D8_FD23494D13A8_.wvu.FilterData" localSheetId="4" hidden="1">#REF!</definedName>
    <definedName name="Z_92919032_3A1D_4E0A_A8D8_FD23494D13A8_.wvu.FilterData" localSheetId="5" hidden="1">#REF!</definedName>
    <definedName name="Z_92919032_3A1D_4E0A_A8D8_FD23494D13A8_.wvu.FilterData" localSheetId="2" hidden="1">#REF!</definedName>
    <definedName name="Z_92919032_3A1D_4E0A_A8D8_FD23494D13A8_.wvu.FilterData" localSheetId="3" hidden="1">#REF!</definedName>
    <definedName name="Z_92919032_3A1D_4E0A_A8D8_FD23494D13A8_.wvu.FilterData" hidden="1">#REF!</definedName>
    <definedName name="Z_9587B38A_B060_410B_8598_4B23623A371C_.wvu.FilterData" localSheetId="21" hidden="1">#REF!</definedName>
    <definedName name="Z_9587B38A_B060_410B_8598_4B23623A371C_.wvu.FilterData" localSheetId="12" hidden="1">#REF!</definedName>
    <definedName name="Z_9587B38A_B060_410B_8598_4B23623A371C_.wvu.FilterData" localSheetId="13" hidden="1">#REF!</definedName>
    <definedName name="Z_9587B38A_B060_410B_8598_4B23623A371C_.wvu.FilterData" localSheetId="14" hidden="1">#REF!</definedName>
    <definedName name="Z_9587B38A_B060_410B_8598_4B23623A371C_.wvu.FilterData" localSheetId="16" hidden="1">#REF!</definedName>
    <definedName name="Z_9587B38A_B060_410B_8598_4B23623A371C_.wvu.FilterData" localSheetId="15" hidden="1">#REF!</definedName>
    <definedName name="Z_9587B38A_B060_410B_8598_4B23623A371C_.wvu.FilterData" localSheetId="17" hidden="1">#REF!</definedName>
    <definedName name="Z_9587B38A_B060_410B_8598_4B23623A371C_.wvu.FilterData" localSheetId="11" hidden="1">#REF!</definedName>
    <definedName name="Z_9587B38A_B060_410B_8598_4B23623A371C_.wvu.FilterData" localSheetId="10" hidden="1">#REF!</definedName>
    <definedName name="Z_9587B38A_B060_410B_8598_4B23623A371C_.wvu.FilterData" localSheetId="22" hidden="1">#REF!</definedName>
    <definedName name="Z_9587B38A_B060_410B_8598_4B23623A371C_.wvu.FilterData" localSheetId="24" hidden="1">#REF!</definedName>
    <definedName name="Z_9587B38A_B060_410B_8598_4B23623A371C_.wvu.FilterData" localSheetId="23" hidden="1">#REF!</definedName>
    <definedName name="Z_9587B38A_B060_410B_8598_4B23623A371C_.wvu.FilterData" localSheetId="20" hidden="1">#REF!</definedName>
    <definedName name="Z_9587B38A_B060_410B_8598_4B23623A371C_.wvu.FilterData" localSheetId="19" hidden="1">#REF!</definedName>
    <definedName name="Z_9587B38A_B060_410B_8598_4B23623A371C_.wvu.FilterData" localSheetId="26" hidden="1">#REF!</definedName>
    <definedName name="Z_9587B38A_B060_410B_8598_4B23623A371C_.wvu.FilterData" localSheetId="27" hidden="1">#REF!</definedName>
    <definedName name="Z_9587B38A_B060_410B_8598_4B23623A371C_.wvu.FilterData" localSheetId="25" hidden="1">#REF!</definedName>
    <definedName name="Z_9587B38A_B060_410B_8598_4B23623A371C_.wvu.FilterData" localSheetId="7" hidden="1">#REF!</definedName>
    <definedName name="Z_9587B38A_B060_410B_8598_4B23623A371C_.wvu.FilterData" localSheetId="4" hidden="1">#REF!</definedName>
    <definedName name="Z_9587B38A_B060_410B_8598_4B23623A371C_.wvu.FilterData" localSheetId="5" hidden="1">#REF!</definedName>
    <definedName name="Z_9587B38A_B060_410B_8598_4B23623A371C_.wvu.FilterData" localSheetId="2" hidden="1">#REF!</definedName>
    <definedName name="Z_9587B38A_B060_410B_8598_4B23623A371C_.wvu.FilterData" localSheetId="3" hidden="1">#REF!</definedName>
    <definedName name="Z_9587B38A_B060_410B_8598_4B23623A371C_.wvu.FilterData" hidden="1">#REF!</definedName>
    <definedName name="Z_96EB0306_BB94_45E8_9D0D_4C07A6623010_.wvu.FilterData" localSheetId="21" hidden="1">#REF!</definedName>
    <definedName name="Z_96EB0306_BB94_45E8_9D0D_4C07A6623010_.wvu.FilterData" localSheetId="12" hidden="1">#REF!</definedName>
    <definedName name="Z_96EB0306_BB94_45E8_9D0D_4C07A6623010_.wvu.FilterData" localSheetId="13" hidden="1">#REF!</definedName>
    <definedName name="Z_96EB0306_BB94_45E8_9D0D_4C07A6623010_.wvu.FilterData" localSheetId="14" hidden="1">#REF!</definedName>
    <definedName name="Z_96EB0306_BB94_45E8_9D0D_4C07A6623010_.wvu.FilterData" localSheetId="16" hidden="1">#REF!</definedName>
    <definedName name="Z_96EB0306_BB94_45E8_9D0D_4C07A6623010_.wvu.FilterData" localSheetId="15" hidden="1">#REF!</definedName>
    <definedName name="Z_96EB0306_BB94_45E8_9D0D_4C07A6623010_.wvu.FilterData" localSheetId="17" hidden="1">#REF!</definedName>
    <definedName name="Z_96EB0306_BB94_45E8_9D0D_4C07A6623010_.wvu.FilterData" localSheetId="11" hidden="1">#REF!</definedName>
    <definedName name="Z_96EB0306_BB94_45E8_9D0D_4C07A6623010_.wvu.FilterData" localSheetId="10" hidden="1">#REF!</definedName>
    <definedName name="Z_96EB0306_BB94_45E8_9D0D_4C07A6623010_.wvu.FilterData" localSheetId="22" hidden="1">#REF!</definedName>
    <definedName name="Z_96EB0306_BB94_45E8_9D0D_4C07A6623010_.wvu.FilterData" localSheetId="24" hidden="1">#REF!</definedName>
    <definedName name="Z_96EB0306_BB94_45E8_9D0D_4C07A6623010_.wvu.FilterData" localSheetId="23" hidden="1">#REF!</definedName>
    <definedName name="Z_96EB0306_BB94_45E8_9D0D_4C07A6623010_.wvu.FilterData" localSheetId="20" hidden="1">#REF!</definedName>
    <definedName name="Z_96EB0306_BB94_45E8_9D0D_4C07A6623010_.wvu.FilterData" localSheetId="19" hidden="1">#REF!</definedName>
    <definedName name="Z_96EB0306_BB94_45E8_9D0D_4C07A6623010_.wvu.FilterData" localSheetId="26" hidden="1">#REF!</definedName>
    <definedName name="Z_96EB0306_BB94_45E8_9D0D_4C07A6623010_.wvu.FilterData" localSheetId="27" hidden="1">#REF!</definedName>
    <definedName name="Z_96EB0306_BB94_45E8_9D0D_4C07A6623010_.wvu.FilterData" localSheetId="25" hidden="1">#REF!</definedName>
    <definedName name="Z_96EB0306_BB94_45E8_9D0D_4C07A6623010_.wvu.FilterData" localSheetId="7" hidden="1">#REF!</definedName>
    <definedName name="Z_96EB0306_BB94_45E8_9D0D_4C07A6623010_.wvu.FilterData" localSheetId="4" hidden="1">#REF!</definedName>
    <definedName name="Z_96EB0306_BB94_45E8_9D0D_4C07A6623010_.wvu.FilterData" localSheetId="5" hidden="1">#REF!</definedName>
    <definedName name="Z_96EB0306_BB94_45E8_9D0D_4C07A6623010_.wvu.FilterData" localSheetId="2" hidden="1">#REF!</definedName>
    <definedName name="Z_96EB0306_BB94_45E8_9D0D_4C07A6623010_.wvu.FilterData" localSheetId="3" hidden="1">#REF!</definedName>
    <definedName name="Z_96EB0306_BB94_45E8_9D0D_4C07A6623010_.wvu.FilterData" hidden="1">#REF!</definedName>
    <definedName name="Z_97666733_8666_4F9D_9588_AF9B6CF9224C_.wvu.FilterData" localSheetId="21" hidden="1">#REF!</definedName>
    <definedName name="Z_97666733_8666_4F9D_9588_AF9B6CF9224C_.wvu.FilterData" localSheetId="12" hidden="1">#REF!</definedName>
    <definedName name="Z_97666733_8666_4F9D_9588_AF9B6CF9224C_.wvu.FilterData" localSheetId="13" hidden="1">#REF!</definedName>
    <definedName name="Z_97666733_8666_4F9D_9588_AF9B6CF9224C_.wvu.FilterData" localSheetId="14" hidden="1">#REF!</definedName>
    <definedName name="Z_97666733_8666_4F9D_9588_AF9B6CF9224C_.wvu.FilterData" localSheetId="16" hidden="1">#REF!</definedName>
    <definedName name="Z_97666733_8666_4F9D_9588_AF9B6CF9224C_.wvu.FilterData" localSheetId="15" hidden="1">#REF!</definedName>
    <definedName name="Z_97666733_8666_4F9D_9588_AF9B6CF9224C_.wvu.FilterData" localSheetId="17" hidden="1">#REF!</definedName>
    <definedName name="Z_97666733_8666_4F9D_9588_AF9B6CF9224C_.wvu.FilterData" localSheetId="11" hidden="1">#REF!</definedName>
    <definedName name="Z_97666733_8666_4F9D_9588_AF9B6CF9224C_.wvu.FilterData" localSheetId="10" hidden="1">#REF!</definedName>
    <definedName name="Z_97666733_8666_4F9D_9588_AF9B6CF9224C_.wvu.FilterData" localSheetId="22" hidden="1">#REF!</definedName>
    <definedName name="Z_97666733_8666_4F9D_9588_AF9B6CF9224C_.wvu.FilterData" localSheetId="24" hidden="1">#REF!</definedName>
    <definedName name="Z_97666733_8666_4F9D_9588_AF9B6CF9224C_.wvu.FilterData" localSheetId="23" hidden="1">#REF!</definedName>
    <definedName name="Z_97666733_8666_4F9D_9588_AF9B6CF9224C_.wvu.FilterData" localSheetId="20" hidden="1">#REF!</definedName>
    <definedName name="Z_97666733_8666_4F9D_9588_AF9B6CF9224C_.wvu.FilterData" localSheetId="19" hidden="1">#REF!</definedName>
    <definedName name="Z_97666733_8666_4F9D_9588_AF9B6CF9224C_.wvu.FilterData" localSheetId="26" hidden="1">#REF!</definedName>
    <definedName name="Z_97666733_8666_4F9D_9588_AF9B6CF9224C_.wvu.FilterData" localSheetId="27" hidden="1">#REF!</definedName>
    <definedName name="Z_97666733_8666_4F9D_9588_AF9B6CF9224C_.wvu.FilterData" localSheetId="25" hidden="1">#REF!</definedName>
    <definedName name="Z_97666733_8666_4F9D_9588_AF9B6CF9224C_.wvu.FilterData" localSheetId="7" hidden="1">#REF!</definedName>
    <definedName name="Z_97666733_8666_4F9D_9588_AF9B6CF9224C_.wvu.FilterData" localSheetId="4" hidden="1">#REF!</definedName>
    <definedName name="Z_97666733_8666_4F9D_9588_AF9B6CF9224C_.wvu.FilterData" localSheetId="5" hidden="1">#REF!</definedName>
    <definedName name="Z_97666733_8666_4F9D_9588_AF9B6CF9224C_.wvu.FilterData" localSheetId="2" hidden="1">#REF!</definedName>
    <definedName name="Z_97666733_8666_4F9D_9588_AF9B6CF9224C_.wvu.FilterData" localSheetId="3" hidden="1">#REF!</definedName>
    <definedName name="Z_97666733_8666_4F9D_9588_AF9B6CF9224C_.wvu.FilterData" hidden="1">#REF!</definedName>
    <definedName name="Z_98599B4F_1D05_4040_9183_E1D7A1DDEB9C_.wvu.FilterData" localSheetId="21" hidden="1">#REF!</definedName>
    <definedName name="Z_98599B4F_1D05_4040_9183_E1D7A1DDEB9C_.wvu.FilterData" localSheetId="12" hidden="1">#REF!</definedName>
    <definedName name="Z_98599B4F_1D05_4040_9183_E1D7A1DDEB9C_.wvu.FilterData" localSheetId="13" hidden="1">#REF!</definedName>
    <definedName name="Z_98599B4F_1D05_4040_9183_E1D7A1DDEB9C_.wvu.FilterData" localSheetId="14" hidden="1">#REF!</definedName>
    <definedName name="Z_98599B4F_1D05_4040_9183_E1D7A1DDEB9C_.wvu.FilterData" localSheetId="16" hidden="1">#REF!</definedName>
    <definedName name="Z_98599B4F_1D05_4040_9183_E1D7A1DDEB9C_.wvu.FilterData" localSheetId="15" hidden="1">#REF!</definedName>
    <definedName name="Z_98599B4F_1D05_4040_9183_E1D7A1DDEB9C_.wvu.FilterData" localSheetId="17" hidden="1">#REF!</definedName>
    <definedName name="Z_98599B4F_1D05_4040_9183_E1D7A1DDEB9C_.wvu.FilterData" localSheetId="11" hidden="1">#REF!</definedName>
    <definedName name="Z_98599B4F_1D05_4040_9183_E1D7A1DDEB9C_.wvu.FilterData" localSheetId="10" hidden="1">#REF!</definedName>
    <definedName name="Z_98599B4F_1D05_4040_9183_E1D7A1DDEB9C_.wvu.FilterData" localSheetId="22" hidden="1">#REF!</definedName>
    <definedName name="Z_98599B4F_1D05_4040_9183_E1D7A1DDEB9C_.wvu.FilterData" localSheetId="24" hidden="1">#REF!</definedName>
    <definedName name="Z_98599B4F_1D05_4040_9183_E1D7A1DDEB9C_.wvu.FilterData" localSheetId="23" hidden="1">#REF!</definedName>
    <definedName name="Z_98599B4F_1D05_4040_9183_E1D7A1DDEB9C_.wvu.FilterData" localSheetId="20" hidden="1">#REF!</definedName>
    <definedName name="Z_98599B4F_1D05_4040_9183_E1D7A1DDEB9C_.wvu.FilterData" localSheetId="19" hidden="1">#REF!</definedName>
    <definedName name="Z_98599B4F_1D05_4040_9183_E1D7A1DDEB9C_.wvu.FilterData" localSheetId="26" hidden="1">#REF!</definedName>
    <definedName name="Z_98599B4F_1D05_4040_9183_E1D7A1DDEB9C_.wvu.FilterData" localSheetId="27" hidden="1">#REF!</definedName>
    <definedName name="Z_98599B4F_1D05_4040_9183_E1D7A1DDEB9C_.wvu.FilterData" localSheetId="25" hidden="1">#REF!</definedName>
    <definedName name="Z_98599B4F_1D05_4040_9183_E1D7A1DDEB9C_.wvu.FilterData" localSheetId="7" hidden="1">#REF!</definedName>
    <definedName name="Z_98599B4F_1D05_4040_9183_E1D7A1DDEB9C_.wvu.FilterData" localSheetId="4" hidden="1">#REF!</definedName>
    <definedName name="Z_98599B4F_1D05_4040_9183_E1D7A1DDEB9C_.wvu.FilterData" localSheetId="5" hidden="1">#REF!</definedName>
    <definedName name="Z_98599B4F_1D05_4040_9183_E1D7A1DDEB9C_.wvu.FilterData" localSheetId="2" hidden="1">#REF!</definedName>
    <definedName name="Z_98599B4F_1D05_4040_9183_E1D7A1DDEB9C_.wvu.FilterData" localSheetId="3" hidden="1">#REF!</definedName>
    <definedName name="Z_98599B4F_1D05_4040_9183_E1D7A1DDEB9C_.wvu.FilterData" hidden="1">#REF!</definedName>
    <definedName name="Z_98C8BF36_C172_45C3_8EFB_521E6ACCA0D3_.wvu.FilterData" localSheetId="21" hidden="1">#REF!</definedName>
    <definedName name="Z_98C8BF36_C172_45C3_8EFB_521E6ACCA0D3_.wvu.FilterData" localSheetId="12" hidden="1">#REF!</definedName>
    <definedName name="Z_98C8BF36_C172_45C3_8EFB_521E6ACCA0D3_.wvu.FilterData" localSheetId="13" hidden="1">#REF!</definedName>
    <definedName name="Z_98C8BF36_C172_45C3_8EFB_521E6ACCA0D3_.wvu.FilterData" localSheetId="14" hidden="1">#REF!</definedName>
    <definedName name="Z_98C8BF36_C172_45C3_8EFB_521E6ACCA0D3_.wvu.FilterData" localSheetId="16" hidden="1">#REF!</definedName>
    <definedName name="Z_98C8BF36_C172_45C3_8EFB_521E6ACCA0D3_.wvu.FilterData" localSheetId="15" hidden="1">#REF!</definedName>
    <definedName name="Z_98C8BF36_C172_45C3_8EFB_521E6ACCA0D3_.wvu.FilterData" localSheetId="17" hidden="1">#REF!</definedName>
    <definedName name="Z_98C8BF36_C172_45C3_8EFB_521E6ACCA0D3_.wvu.FilterData" localSheetId="11" hidden="1">#REF!</definedName>
    <definedName name="Z_98C8BF36_C172_45C3_8EFB_521E6ACCA0D3_.wvu.FilterData" localSheetId="10" hidden="1">#REF!</definedName>
    <definedName name="Z_98C8BF36_C172_45C3_8EFB_521E6ACCA0D3_.wvu.FilterData" localSheetId="22" hidden="1">#REF!</definedName>
    <definedName name="Z_98C8BF36_C172_45C3_8EFB_521E6ACCA0D3_.wvu.FilterData" localSheetId="24" hidden="1">#REF!</definedName>
    <definedName name="Z_98C8BF36_C172_45C3_8EFB_521E6ACCA0D3_.wvu.FilterData" localSheetId="23" hidden="1">#REF!</definedName>
    <definedName name="Z_98C8BF36_C172_45C3_8EFB_521E6ACCA0D3_.wvu.FilterData" localSheetId="20" hidden="1">#REF!</definedName>
    <definedName name="Z_98C8BF36_C172_45C3_8EFB_521E6ACCA0D3_.wvu.FilterData" localSheetId="19" hidden="1">#REF!</definedName>
    <definedName name="Z_98C8BF36_C172_45C3_8EFB_521E6ACCA0D3_.wvu.FilterData" localSheetId="26" hidden="1">#REF!</definedName>
    <definedName name="Z_98C8BF36_C172_45C3_8EFB_521E6ACCA0D3_.wvu.FilterData" localSheetId="27" hidden="1">#REF!</definedName>
    <definedName name="Z_98C8BF36_C172_45C3_8EFB_521E6ACCA0D3_.wvu.FilterData" localSheetId="25" hidden="1">#REF!</definedName>
    <definedName name="Z_98C8BF36_C172_45C3_8EFB_521E6ACCA0D3_.wvu.FilterData" localSheetId="7" hidden="1">#REF!</definedName>
    <definedName name="Z_98C8BF36_C172_45C3_8EFB_521E6ACCA0D3_.wvu.FilterData" localSheetId="4" hidden="1">#REF!</definedName>
    <definedName name="Z_98C8BF36_C172_45C3_8EFB_521E6ACCA0D3_.wvu.FilterData" localSheetId="5" hidden="1">#REF!</definedName>
    <definedName name="Z_98C8BF36_C172_45C3_8EFB_521E6ACCA0D3_.wvu.FilterData" localSheetId="2" hidden="1">#REF!</definedName>
    <definedName name="Z_98C8BF36_C172_45C3_8EFB_521E6ACCA0D3_.wvu.FilterData" localSheetId="3" hidden="1">#REF!</definedName>
    <definedName name="Z_98C8BF36_C172_45C3_8EFB_521E6ACCA0D3_.wvu.FilterData" hidden="1">#REF!</definedName>
    <definedName name="Z_9A372634_7C2D_4502_BF44_0C63FD1FB6D2_.wvu.FilterData" localSheetId="21" hidden="1">#REF!</definedName>
    <definedName name="Z_9A372634_7C2D_4502_BF44_0C63FD1FB6D2_.wvu.FilterData" localSheetId="12" hidden="1">#REF!</definedName>
    <definedName name="Z_9A372634_7C2D_4502_BF44_0C63FD1FB6D2_.wvu.FilterData" localSheetId="13" hidden="1">#REF!</definedName>
    <definedName name="Z_9A372634_7C2D_4502_BF44_0C63FD1FB6D2_.wvu.FilterData" localSheetId="14" hidden="1">#REF!</definedName>
    <definedName name="Z_9A372634_7C2D_4502_BF44_0C63FD1FB6D2_.wvu.FilterData" localSheetId="16" hidden="1">#REF!</definedName>
    <definedName name="Z_9A372634_7C2D_4502_BF44_0C63FD1FB6D2_.wvu.FilterData" localSheetId="15" hidden="1">#REF!</definedName>
    <definedName name="Z_9A372634_7C2D_4502_BF44_0C63FD1FB6D2_.wvu.FilterData" localSheetId="17" hidden="1">#REF!</definedName>
    <definedName name="Z_9A372634_7C2D_4502_BF44_0C63FD1FB6D2_.wvu.FilterData" localSheetId="11" hidden="1">#REF!</definedName>
    <definedName name="Z_9A372634_7C2D_4502_BF44_0C63FD1FB6D2_.wvu.FilterData" localSheetId="10" hidden="1">#REF!</definedName>
    <definedName name="Z_9A372634_7C2D_4502_BF44_0C63FD1FB6D2_.wvu.FilterData" localSheetId="22" hidden="1">#REF!</definedName>
    <definedName name="Z_9A372634_7C2D_4502_BF44_0C63FD1FB6D2_.wvu.FilterData" localSheetId="24" hidden="1">#REF!</definedName>
    <definedName name="Z_9A372634_7C2D_4502_BF44_0C63FD1FB6D2_.wvu.FilterData" localSheetId="23" hidden="1">#REF!</definedName>
    <definedName name="Z_9A372634_7C2D_4502_BF44_0C63FD1FB6D2_.wvu.FilterData" localSheetId="20" hidden="1">#REF!</definedName>
    <definedName name="Z_9A372634_7C2D_4502_BF44_0C63FD1FB6D2_.wvu.FilterData" localSheetId="19" hidden="1">#REF!</definedName>
    <definedName name="Z_9A372634_7C2D_4502_BF44_0C63FD1FB6D2_.wvu.FilterData" localSheetId="26" hidden="1">#REF!</definedName>
    <definedName name="Z_9A372634_7C2D_4502_BF44_0C63FD1FB6D2_.wvu.FilterData" localSheetId="27" hidden="1">#REF!</definedName>
    <definedName name="Z_9A372634_7C2D_4502_BF44_0C63FD1FB6D2_.wvu.FilterData" localSheetId="25" hidden="1">#REF!</definedName>
    <definedName name="Z_9A372634_7C2D_4502_BF44_0C63FD1FB6D2_.wvu.FilterData" localSheetId="7" hidden="1">#REF!</definedName>
    <definedName name="Z_9A372634_7C2D_4502_BF44_0C63FD1FB6D2_.wvu.FilterData" localSheetId="4" hidden="1">#REF!</definedName>
    <definedName name="Z_9A372634_7C2D_4502_BF44_0C63FD1FB6D2_.wvu.FilterData" localSheetId="5" hidden="1">#REF!</definedName>
    <definedName name="Z_9A372634_7C2D_4502_BF44_0C63FD1FB6D2_.wvu.FilterData" localSheetId="2" hidden="1">#REF!</definedName>
    <definedName name="Z_9A372634_7C2D_4502_BF44_0C63FD1FB6D2_.wvu.FilterData" localSheetId="3" hidden="1">#REF!</definedName>
    <definedName name="Z_9A372634_7C2D_4502_BF44_0C63FD1FB6D2_.wvu.FilterData" hidden="1">#REF!</definedName>
    <definedName name="Z_9A5CC0D4_28E7_4461_BE2E_802002496535_.wvu.FilterData" localSheetId="21" hidden="1">#REF!</definedName>
    <definedName name="Z_9A5CC0D4_28E7_4461_BE2E_802002496535_.wvu.FilterData" localSheetId="12" hidden="1">#REF!</definedName>
    <definedName name="Z_9A5CC0D4_28E7_4461_BE2E_802002496535_.wvu.FilterData" localSheetId="13" hidden="1">#REF!</definedName>
    <definedName name="Z_9A5CC0D4_28E7_4461_BE2E_802002496535_.wvu.FilterData" localSheetId="14" hidden="1">#REF!</definedName>
    <definedName name="Z_9A5CC0D4_28E7_4461_BE2E_802002496535_.wvu.FilterData" localSheetId="16" hidden="1">#REF!</definedName>
    <definedName name="Z_9A5CC0D4_28E7_4461_BE2E_802002496535_.wvu.FilterData" localSheetId="15" hidden="1">#REF!</definedName>
    <definedName name="Z_9A5CC0D4_28E7_4461_BE2E_802002496535_.wvu.FilterData" localSheetId="17" hidden="1">#REF!</definedName>
    <definedName name="Z_9A5CC0D4_28E7_4461_BE2E_802002496535_.wvu.FilterData" localSheetId="11" hidden="1">#REF!</definedName>
    <definedName name="Z_9A5CC0D4_28E7_4461_BE2E_802002496535_.wvu.FilterData" localSheetId="10" hidden="1">#REF!</definedName>
    <definedName name="Z_9A5CC0D4_28E7_4461_BE2E_802002496535_.wvu.FilterData" localSheetId="22" hidden="1">#REF!</definedName>
    <definedName name="Z_9A5CC0D4_28E7_4461_BE2E_802002496535_.wvu.FilterData" localSheetId="24" hidden="1">#REF!</definedName>
    <definedName name="Z_9A5CC0D4_28E7_4461_BE2E_802002496535_.wvu.FilterData" localSheetId="23" hidden="1">#REF!</definedName>
    <definedName name="Z_9A5CC0D4_28E7_4461_BE2E_802002496535_.wvu.FilterData" localSheetId="20" hidden="1">#REF!</definedName>
    <definedName name="Z_9A5CC0D4_28E7_4461_BE2E_802002496535_.wvu.FilterData" localSheetId="19" hidden="1">#REF!</definedName>
    <definedName name="Z_9A5CC0D4_28E7_4461_BE2E_802002496535_.wvu.FilterData" localSheetId="26" hidden="1">#REF!</definedName>
    <definedName name="Z_9A5CC0D4_28E7_4461_BE2E_802002496535_.wvu.FilterData" localSheetId="27" hidden="1">#REF!</definedName>
    <definedName name="Z_9A5CC0D4_28E7_4461_BE2E_802002496535_.wvu.FilterData" localSheetId="25" hidden="1">#REF!</definedName>
    <definedName name="Z_9A5CC0D4_28E7_4461_BE2E_802002496535_.wvu.FilterData" localSheetId="7" hidden="1">#REF!</definedName>
    <definedName name="Z_9A5CC0D4_28E7_4461_BE2E_802002496535_.wvu.FilterData" localSheetId="4" hidden="1">#REF!</definedName>
    <definedName name="Z_9A5CC0D4_28E7_4461_BE2E_802002496535_.wvu.FilterData" localSheetId="5" hidden="1">#REF!</definedName>
    <definedName name="Z_9A5CC0D4_28E7_4461_BE2E_802002496535_.wvu.FilterData" localSheetId="2" hidden="1">#REF!</definedName>
    <definedName name="Z_9A5CC0D4_28E7_4461_BE2E_802002496535_.wvu.FilterData" localSheetId="3" hidden="1">#REF!</definedName>
    <definedName name="Z_9A5CC0D4_28E7_4461_BE2E_802002496535_.wvu.FilterData" hidden="1">#REF!</definedName>
    <definedName name="Z_9C86BF25_210A_4B5C_9F2A_856CA801294A_.wvu.FilterData" localSheetId="21" hidden="1">#REF!</definedName>
    <definedName name="Z_9C86BF25_210A_4B5C_9F2A_856CA801294A_.wvu.FilterData" localSheetId="12" hidden="1">#REF!</definedName>
    <definedName name="Z_9C86BF25_210A_4B5C_9F2A_856CA801294A_.wvu.FilterData" localSheetId="13" hidden="1">#REF!</definedName>
    <definedName name="Z_9C86BF25_210A_4B5C_9F2A_856CA801294A_.wvu.FilterData" localSheetId="14" hidden="1">#REF!</definedName>
    <definedName name="Z_9C86BF25_210A_4B5C_9F2A_856CA801294A_.wvu.FilterData" localSheetId="16" hidden="1">#REF!</definedName>
    <definedName name="Z_9C86BF25_210A_4B5C_9F2A_856CA801294A_.wvu.FilterData" localSheetId="15" hidden="1">#REF!</definedName>
    <definedName name="Z_9C86BF25_210A_4B5C_9F2A_856CA801294A_.wvu.FilterData" localSheetId="17" hidden="1">#REF!</definedName>
    <definedName name="Z_9C86BF25_210A_4B5C_9F2A_856CA801294A_.wvu.FilterData" localSheetId="11" hidden="1">#REF!</definedName>
    <definedName name="Z_9C86BF25_210A_4B5C_9F2A_856CA801294A_.wvu.FilterData" localSheetId="10" hidden="1">#REF!</definedName>
    <definedName name="Z_9C86BF25_210A_4B5C_9F2A_856CA801294A_.wvu.FilterData" localSheetId="22" hidden="1">#REF!</definedName>
    <definedName name="Z_9C86BF25_210A_4B5C_9F2A_856CA801294A_.wvu.FilterData" localSheetId="24" hidden="1">#REF!</definedName>
    <definedName name="Z_9C86BF25_210A_4B5C_9F2A_856CA801294A_.wvu.FilterData" localSheetId="23" hidden="1">#REF!</definedName>
    <definedName name="Z_9C86BF25_210A_4B5C_9F2A_856CA801294A_.wvu.FilterData" localSheetId="20" hidden="1">#REF!</definedName>
    <definedName name="Z_9C86BF25_210A_4B5C_9F2A_856CA801294A_.wvu.FilterData" localSheetId="19" hidden="1">#REF!</definedName>
    <definedName name="Z_9C86BF25_210A_4B5C_9F2A_856CA801294A_.wvu.FilterData" localSheetId="26" hidden="1">#REF!</definedName>
    <definedName name="Z_9C86BF25_210A_4B5C_9F2A_856CA801294A_.wvu.FilterData" localSheetId="27" hidden="1">#REF!</definedName>
    <definedName name="Z_9C86BF25_210A_4B5C_9F2A_856CA801294A_.wvu.FilterData" localSheetId="25" hidden="1">#REF!</definedName>
    <definedName name="Z_9C86BF25_210A_4B5C_9F2A_856CA801294A_.wvu.FilterData" localSheetId="7" hidden="1">#REF!</definedName>
    <definedName name="Z_9C86BF25_210A_4B5C_9F2A_856CA801294A_.wvu.FilterData" localSheetId="4" hidden="1">#REF!</definedName>
    <definedName name="Z_9C86BF25_210A_4B5C_9F2A_856CA801294A_.wvu.FilterData" localSheetId="5" hidden="1">#REF!</definedName>
    <definedName name="Z_9C86BF25_210A_4B5C_9F2A_856CA801294A_.wvu.FilterData" localSheetId="2" hidden="1">#REF!</definedName>
    <definedName name="Z_9C86BF25_210A_4B5C_9F2A_856CA801294A_.wvu.FilterData" localSheetId="3" hidden="1">#REF!</definedName>
    <definedName name="Z_9C86BF25_210A_4B5C_9F2A_856CA801294A_.wvu.FilterData" hidden="1">#REF!</definedName>
    <definedName name="Z_9C8AF864_7E20_415C_848E_C2849E8CBF0C_.wvu.FilterData" localSheetId="21" hidden="1">#REF!</definedName>
    <definedName name="Z_9C8AF864_7E20_415C_848E_C2849E8CBF0C_.wvu.FilterData" localSheetId="12" hidden="1">#REF!</definedName>
    <definedName name="Z_9C8AF864_7E20_415C_848E_C2849E8CBF0C_.wvu.FilterData" localSheetId="13" hidden="1">#REF!</definedName>
    <definedName name="Z_9C8AF864_7E20_415C_848E_C2849E8CBF0C_.wvu.FilterData" localSheetId="14" hidden="1">#REF!</definedName>
    <definedName name="Z_9C8AF864_7E20_415C_848E_C2849E8CBF0C_.wvu.FilterData" localSheetId="16" hidden="1">#REF!</definedName>
    <definedName name="Z_9C8AF864_7E20_415C_848E_C2849E8CBF0C_.wvu.FilterData" localSheetId="15" hidden="1">#REF!</definedName>
    <definedName name="Z_9C8AF864_7E20_415C_848E_C2849E8CBF0C_.wvu.FilterData" localSheetId="17" hidden="1">#REF!</definedName>
    <definedName name="Z_9C8AF864_7E20_415C_848E_C2849E8CBF0C_.wvu.FilterData" localSheetId="11" hidden="1">#REF!</definedName>
    <definedName name="Z_9C8AF864_7E20_415C_848E_C2849E8CBF0C_.wvu.FilterData" localSheetId="10" hidden="1">#REF!</definedName>
    <definedName name="Z_9C8AF864_7E20_415C_848E_C2849E8CBF0C_.wvu.FilterData" localSheetId="22" hidden="1">#REF!</definedName>
    <definedName name="Z_9C8AF864_7E20_415C_848E_C2849E8CBF0C_.wvu.FilterData" localSheetId="24" hidden="1">#REF!</definedName>
    <definedName name="Z_9C8AF864_7E20_415C_848E_C2849E8CBF0C_.wvu.FilterData" localSheetId="23" hidden="1">#REF!</definedName>
    <definedName name="Z_9C8AF864_7E20_415C_848E_C2849E8CBF0C_.wvu.FilterData" localSheetId="20" hidden="1">#REF!</definedName>
    <definedName name="Z_9C8AF864_7E20_415C_848E_C2849E8CBF0C_.wvu.FilterData" localSheetId="19" hidden="1">#REF!</definedName>
    <definedName name="Z_9C8AF864_7E20_415C_848E_C2849E8CBF0C_.wvu.FilterData" localSheetId="26" hidden="1">#REF!</definedName>
    <definedName name="Z_9C8AF864_7E20_415C_848E_C2849E8CBF0C_.wvu.FilterData" localSheetId="27" hidden="1">#REF!</definedName>
    <definedName name="Z_9C8AF864_7E20_415C_848E_C2849E8CBF0C_.wvu.FilterData" localSheetId="25" hidden="1">#REF!</definedName>
    <definedName name="Z_9C8AF864_7E20_415C_848E_C2849E8CBF0C_.wvu.FilterData" localSheetId="7" hidden="1">#REF!</definedName>
    <definedName name="Z_9C8AF864_7E20_415C_848E_C2849E8CBF0C_.wvu.FilterData" localSheetId="4" hidden="1">#REF!</definedName>
    <definedName name="Z_9C8AF864_7E20_415C_848E_C2849E8CBF0C_.wvu.FilterData" localSheetId="5" hidden="1">#REF!</definedName>
    <definedName name="Z_9C8AF864_7E20_415C_848E_C2849E8CBF0C_.wvu.FilterData" localSheetId="2" hidden="1">#REF!</definedName>
    <definedName name="Z_9C8AF864_7E20_415C_848E_C2849E8CBF0C_.wvu.FilterData" localSheetId="3" hidden="1">#REF!</definedName>
    <definedName name="Z_9C8AF864_7E20_415C_848E_C2849E8CBF0C_.wvu.FilterData" hidden="1">#REF!</definedName>
    <definedName name="Z_9E7B61E2_2701_4257_A261_86548A6D7D7C_.wvu.FilterData" localSheetId="21" hidden="1">#REF!</definedName>
    <definedName name="Z_9E7B61E2_2701_4257_A261_86548A6D7D7C_.wvu.FilterData" localSheetId="12" hidden="1">#REF!</definedName>
    <definedName name="Z_9E7B61E2_2701_4257_A261_86548A6D7D7C_.wvu.FilterData" localSheetId="13" hidden="1">#REF!</definedName>
    <definedName name="Z_9E7B61E2_2701_4257_A261_86548A6D7D7C_.wvu.FilterData" localSheetId="14" hidden="1">#REF!</definedName>
    <definedName name="Z_9E7B61E2_2701_4257_A261_86548A6D7D7C_.wvu.FilterData" localSheetId="16" hidden="1">#REF!</definedName>
    <definedName name="Z_9E7B61E2_2701_4257_A261_86548A6D7D7C_.wvu.FilterData" localSheetId="15" hidden="1">#REF!</definedName>
    <definedName name="Z_9E7B61E2_2701_4257_A261_86548A6D7D7C_.wvu.FilterData" localSheetId="17" hidden="1">#REF!</definedName>
    <definedName name="Z_9E7B61E2_2701_4257_A261_86548A6D7D7C_.wvu.FilterData" localSheetId="11" hidden="1">#REF!</definedName>
    <definedName name="Z_9E7B61E2_2701_4257_A261_86548A6D7D7C_.wvu.FilterData" localSheetId="10" hidden="1">#REF!</definedName>
    <definedName name="Z_9E7B61E2_2701_4257_A261_86548A6D7D7C_.wvu.FilterData" localSheetId="22" hidden="1">#REF!</definedName>
    <definedName name="Z_9E7B61E2_2701_4257_A261_86548A6D7D7C_.wvu.FilterData" localSheetId="24" hidden="1">#REF!</definedName>
    <definedName name="Z_9E7B61E2_2701_4257_A261_86548A6D7D7C_.wvu.FilterData" localSheetId="23" hidden="1">#REF!</definedName>
    <definedName name="Z_9E7B61E2_2701_4257_A261_86548A6D7D7C_.wvu.FilterData" localSheetId="20" hidden="1">#REF!</definedName>
    <definedName name="Z_9E7B61E2_2701_4257_A261_86548A6D7D7C_.wvu.FilterData" localSheetId="19" hidden="1">#REF!</definedName>
    <definedName name="Z_9E7B61E2_2701_4257_A261_86548A6D7D7C_.wvu.FilterData" localSheetId="26" hidden="1">#REF!</definedName>
    <definedName name="Z_9E7B61E2_2701_4257_A261_86548A6D7D7C_.wvu.FilterData" localSheetId="27" hidden="1">#REF!</definedName>
    <definedName name="Z_9E7B61E2_2701_4257_A261_86548A6D7D7C_.wvu.FilterData" localSheetId="25" hidden="1">#REF!</definedName>
    <definedName name="Z_9E7B61E2_2701_4257_A261_86548A6D7D7C_.wvu.FilterData" localSheetId="7" hidden="1">#REF!</definedName>
    <definedName name="Z_9E7B61E2_2701_4257_A261_86548A6D7D7C_.wvu.FilterData" localSheetId="4" hidden="1">#REF!</definedName>
    <definedName name="Z_9E7B61E2_2701_4257_A261_86548A6D7D7C_.wvu.FilterData" localSheetId="5" hidden="1">#REF!</definedName>
    <definedName name="Z_9E7B61E2_2701_4257_A261_86548A6D7D7C_.wvu.FilterData" localSheetId="2" hidden="1">#REF!</definedName>
    <definedName name="Z_9E7B61E2_2701_4257_A261_86548A6D7D7C_.wvu.FilterData" localSheetId="3" hidden="1">#REF!</definedName>
    <definedName name="Z_9E7B61E2_2701_4257_A261_86548A6D7D7C_.wvu.FilterData" hidden="1">#REF!</definedName>
    <definedName name="Z_A0276843_5A14_4A7A_AD1C_583475FE9ED2_.wvu.FilterData" localSheetId="21" hidden="1">#REF!</definedName>
    <definedName name="Z_A0276843_5A14_4A7A_AD1C_583475FE9ED2_.wvu.FilterData" localSheetId="12" hidden="1">#REF!</definedName>
    <definedName name="Z_A0276843_5A14_4A7A_AD1C_583475FE9ED2_.wvu.FilterData" localSheetId="13" hidden="1">#REF!</definedName>
    <definedName name="Z_A0276843_5A14_4A7A_AD1C_583475FE9ED2_.wvu.FilterData" localSheetId="14" hidden="1">#REF!</definedName>
    <definedName name="Z_A0276843_5A14_4A7A_AD1C_583475FE9ED2_.wvu.FilterData" localSheetId="16" hidden="1">#REF!</definedName>
    <definedName name="Z_A0276843_5A14_4A7A_AD1C_583475FE9ED2_.wvu.FilterData" localSheetId="15" hidden="1">#REF!</definedName>
    <definedName name="Z_A0276843_5A14_4A7A_AD1C_583475FE9ED2_.wvu.FilterData" localSheetId="17" hidden="1">#REF!</definedName>
    <definedName name="Z_A0276843_5A14_4A7A_AD1C_583475FE9ED2_.wvu.FilterData" localSheetId="11" hidden="1">#REF!</definedName>
    <definedName name="Z_A0276843_5A14_4A7A_AD1C_583475FE9ED2_.wvu.FilterData" localSheetId="10" hidden="1">#REF!</definedName>
    <definedName name="Z_A0276843_5A14_4A7A_AD1C_583475FE9ED2_.wvu.FilterData" localSheetId="22" hidden="1">#REF!</definedName>
    <definedName name="Z_A0276843_5A14_4A7A_AD1C_583475FE9ED2_.wvu.FilterData" localSheetId="24" hidden="1">#REF!</definedName>
    <definedName name="Z_A0276843_5A14_4A7A_AD1C_583475FE9ED2_.wvu.FilterData" localSheetId="23" hidden="1">#REF!</definedName>
    <definedName name="Z_A0276843_5A14_4A7A_AD1C_583475FE9ED2_.wvu.FilterData" localSheetId="20" hidden="1">#REF!</definedName>
    <definedName name="Z_A0276843_5A14_4A7A_AD1C_583475FE9ED2_.wvu.FilterData" localSheetId="19" hidden="1">#REF!</definedName>
    <definedName name="Z_A0276843_5A14_4A7A_AD1C_583475FE9ED2_.wvu.FilterData" localSheetId="26" hidden="1">#REF!</definedName>
    <definedName name="Z_A0276843_5A14_4A7A_AD1C_583475FE9ED2_.wvu.FilterData" localSheetId="27" hidden="1">#REF!</definedName>
    <definedName name="Z_A0276843_5A14_4A7A_AD1C_583475FE9ED2_.wvu.FilterData" localSheetId="25" hidden="1">#REF!</definedName>
    <definedName name="Z_A0276843_5A14_4A7A_AD1C_583475FE9ED2_.wvu.FilterData" localSheetId="7" hidden="1">#REF!</definedName>
    <definedName name="Z_A0276843_5A14_4A7A_AD1C_583475FE9ED2_.wvu.FilterData" localSheetId="4" hidden="1">#REF!</definedName>
    <definedName name="Z_A0276843_5A14_4A7A_AD1C_583475FE9ED2_.wvu.FilterData" localSheetId="5" hidden="1">#REF!</definedName>
    <definedName name="Z_A0276843_5A14_4A7A_AD1C_583475FE9ED2_.wvu.FilterData" localSheetId="2" hidden="1">#REF!</definedName>
    <definedName name="Z_A0276843_5A14_4A7A_AD1C_583475FE9ED2_.wvu.FilterData" localSheetId="3" hidden="1">#REF!</definedName>
    <definedName name="Z_A0276843_5A14_4A7A_AD1C_583475FE9ED2_.wvu.FilterData" hidden="1">#REF!</definedName>
    <definedName name="Z_A2CB926C_E33A_4E38_9626_682814771DB1_.wvu.FilterData" localSheetId="21" hidden="1">#REF!</definedName>
    <definedName name="Z_A2CB926C_E33A_4E38_9626_682814771DB1_.wvu.FilterData" localSheetId="12" hidden="1">#REF!</definedName>
    <definedName name="Z_A2CB926C_E33A_4E38_9626_682814771DB1_.wvu.FilterData" localSheetId="13" hidden="1">#REF!</definedName>
    <definedName name="Z_A2CB926C_E33A_4E38_9626_682814771DB1_.wvu.FilterData" localSheetId="14" hidden="1">#REF!</definedName>
    <definedName name="Z_A2CB926C_E33A_4E38_9626_682814771DB1_.wvu.FilterData" localSheetId="16" hidden="1">#REF!</definedName>
    <definedName name="Z_A2CB926C_E33A_4E38_9626_682814771DB1_.wvu.FilterData" localSheetId="15" hidden="1">#REF!</definedName>
    <definedName name="Z_A2CB926C_E33A_4E38_9626_682814771DB1_.wvu.FilterData" localSheetId="17" hidden="1">#REF!</definedName>
    <definedName name="Z_A2CB926C_E33A_4E38_9626_682814771DB1_.wvu.FilterData" localSheetId="11" hidden="1">#REF!</definedName>
    <definedName name="Z_A2CB926C_E33A_4E38_9626_682814771DB1_.wvu.FilterData" localSheetId="10" hidden="1">#REF!</definedName>
    <definedName name="Z_A2CB926C_E33A_4E38_9626_682814771DB1_.wvu.FilterData" localSheetId="22" hidden="1">#REF!</definedName>
    <definedName name="Z_A2CB926C_E33A_4E38_9626_682814771DB1_.wvu.FilterData" localSheetId="24" hidden="1">#REF!</definedName>
    <definedName name="Z_A2CB926C_E33A_4E38_9626_682814771DB1_.wvu.FilterData" localSheetId="23" hidden="1">#REF!</definedName>
    <definedName name="Z_A2CB926C_E33A_4E38_9626_682814771DB1_.wvu.FilterData" localSheetId="20" hidden="1">#REF!</definedName>
    <definedName name="Z_A2CB926C_E33A_4E38_9626_682814771DB1_.wvu.FilterData" localSheetId="19" hidden="1">#REF!</definedName>
    <definedName name="Z_A2CB926C_E33A_4E38_9626_682814771DB1_.wvu.FilterData" localSheetId="26" hidden="1">#REF!</definedName>
    <definedName name="Z_A2CB926C_E33A_4E38_9626_682814771DB1_.wvu.FilterData" localSheetId="27" hidden="1">#REF!</definedName>
    <definedName name="Z_A2CB926C_E33A_4E38_9626_682814771DB1_.wvu.FilterData" localSheetId="25" hidden="1">#REF!</definedName>
    <definedName name="Z_A2CB926C_E33A_4E38_9626_682814771DB1_.wvu.FilterData" localSheetId="7" hidden="1">#REF!</definedName>
    <definedName name="Z_A2CB926C_E33A_4E38_9626_682814771DB1_.wvu.FilterData" localSheetId="4" hidden="1">#REF!</definedName>
    <definedName name="Z_A2CB926C_E33A_4E38_9626_682814771DB1_.wvu.FilterData" localSheetId="5" hidden="1">#REF!</definedName>
    <definedName name="Z_A2CB926C_E33A_4E38_9626_682814771DB1_.wvu.FilterData" localSheetId="2" hidden="1">#REF!</definedName>
    <definedName name="Z_A2CB926C_E33A_4E38_9626_682814771DB1_.wvu.FilterData" localSheetId="3" hidden="1">#REF!</definedName>
    <definedName name="Z_A2CB926C_E33A_4E38_9626_682814771DB1_.wvu.FilterData" hidden="1">#REF!</definedName>
    <definedName name="Z_A320C8A7_8D87_4204_85D4_AE25493D1363_.wvu.FilterData" localSheetId="21" hidden="1">#REF!</definedName>
    <definedName name="Z_A320C8A7_8D87_4204_85D4_AE25493D1363_.wvu.FilterData" localSheetId="12" hidden="1">#REF!</definedName>
    <definedName name="Z_A320C8A7_8D87_4204_85D4_AE25493D1363_.wvu.FilterData" localSheetId="13" hidden="1">#REF!</definedName>
    <definedName name="Z_A320C8A7_8D87_4204_85D4_AE25493D1363_.wvu.FilterData" localSheetId="14" hidden="1">#REF!</definedName>
    <definedName name="Z_A320C8A7_8D87_4204_85D4_AE25493D1363_.wvu.FilterData" localSheetId="16" hidden="1">#REF!</definedName>
    <definedName name="Z_A320C8A7_8D87_4204_85D4_AE25493D1363_.wvu.FilterData" localSheetId="15" hidden="1">#REF!</definedName>
    <definedName name="Z_A320C8A7_8D87_4204_85D4_AE25493D1363_.wvu.FilterData" localSheetId="17" hidden="1">#REF!</definedName>
    <definedName name="Z_A320C8A7_8D87_4204_85D4_AE25493D1363_.wvu.FilterData" localSheetId="11" hidden="1">#REF!</definedName>
    <definedName name="Z_A320C8A7_8D87_4204_85D4_AE25493D1363_.wvu.FilterData" localSheetId="10" hidden="1">#REF!</definedName>
    <definedName name="Z_A320C8A7_8D87_4204_85D4_AE25493D1363_.wvu.FilterData" localSheetId="22" hidden="1">#REF!</definedName>
    <definedName name="Z_A320C8A7_8D87_4204_85D4_AE25493D1363_.wvu.FilterData" localSheetId="24" hidden="1">#REF!</definedName>
    <definedName name="Z_A320C8A7_8D87_4204_85D4_AE25493D1363_.wvu.FilterData" localSheetId="23" hidden="1">#REF!</definedName>
    <definedName name="Z_A320C8A7_8D87_4204_85D4_AE25493D1363_.wvu.FilterData" localSheetId="20" hidden="1">#REF!</definedName>
    <definedName name="Z_A320C8A7_8D87_4204_85D4_AE25493D1363_.wvu.FilterData" localSheetId="19" hidden="1">#REF!</definedName>
    <definedName name="Z_A320C8A7_8D87_4204_85D4_AE25493D1363_.wvu.FilterData" localSheetId="26" hidden="1">#REF!</definedName>
    <definedName name="Z_A320C8A7_8D87_4204_85D4_AE25493D1363_.wvu.FilterData" localSheetId="27" hidden="1">#REF!</definedName>
    <definedName name="Z_A320C8A7_8D87_4204_85D4_AE25493D1363_.wvu.FilterData" localSheetId="25" hidden="1">#REF!</definedName>
    <definedName name="Z_A320C8A7_8D87_4204_85D4_AE25493D1363_.wvu.FilterData" localSheetId="7" hidden="1">#REF!</definedName>
    <definedName name="Z_A320C8A7_8D87_4204_85D4_AE25493D1363_.wvu.FilterData" localSheetId="4" hidden="1">#REF!</definedName>
    <definedName name="Z_A320C8A7_8D87_4204_85D4_AE25493D1363_.wvu.FilterData" localSheetId="5" hidden="1">#REF!</definedName>
    <definedName name="Z_A320C8A7_8D87_4204_85D4_AE25493D1363_.wvu.FilterData" localSheetId="2" hidden="1">#REF!</definedName>
    <definedName name="Z_A320C8A7_8D87_4204_85D4_AE25493D1363_.wvu.FilterData" localSheetId="3" hidden="1">#REF!</definedName>
    <definedName name="Z_A320C8A7_8D87_4204_85D4_AE25493D1363_.wvu.FilterData" hidden="1">#REF!</definedName>
    <definedName name="Z_A5F4C2AC_640B_40D9_88C9_69B3215DBE96_.wvu.FilterData" localSheetId="21" hidden="1">#REF!</definedName>
    <definedName name="Z_A5F4C2AC_640B_40D9_88C9_69B3215DBE96_.wvu.FilterData" localSheetId="12" hidden="1">#REF!</definedName>
    <definedName name="Z_A5F4C2AC_640B_40D9_88C9_69B3215DBE96_.wvu.FilterData" localSheetId="13" hidden="1">#REF!</definedName>
    <definedName name="Z_A5F4C2AC_640B_40D9_88C9_69B3215DBE96_.wvu.FilterData" localSheetId="14" hidden="1">#REF!</definedName>
    <definedName name="Z_A5F4C2AC_640B_40D9_88C9_69B3215DBE96_.wvu.FilterData" localSheetId="16" hidden="1">#REF!</definedName>
    <definedName name="Z_A5F4C2AC_640B_40D9_88C9_69B3215DBE96_.wvu.FilterData" localSheetId="15" hidden="1">#REF!</definedName>
    <definedName name="Z_A5F4C2AC_640B_40D9_88C9_69B3215DBE96_.wvu.FilterData" localSheetId="17" hidden="1">#REF!</definedName>
    <definedName name="Z_A5F4C2AC_640B_40D9_88C9_69B3215DBE96_.wvu.FilterData" localSheetId="11" hidden="1">#REF!</definedName>
    <definedName name="Z_A5F4C2AC_640B_40D9_88C9_69B3215DBE96_.wvu.FilterData" localSheetId="10" hidden="1">#REF!</definedName>
    <definedName name="Z_A5F4C2AC_640B_40D9_88C9_69B3215DBE96_.wvu.FilterData" localSheetId="22" hidden="1">#REF!</definedName>
    <definedName name="Z_A5F4C2AC_640B_40D9_88C9_69B3215DBE96_.wvu.FilterData" localSheetId="24" hidden="1">#REF!</definedName>
    <definedName name="Z_A5F4C2AC_640B_40D9_88C9_69B3215DBE96_.wvu.FilterData" localSheetId="23" hidden="1">#REF!</definedName>
    <definedName name="Z_A5F4C2AC_640B_40D9_88C9_69B3215DBE96_.wvu.FilterData" localSheetId="20" hidden="1">#REF!</definedName>
    <definedName name="Z_A5F4C2AC_640B_40D9_88C9_69B3215DBE96_.wvu.FilterData" localSheetId="19" hidden="1">#REF!</definedName>
    <definedName name="Z_A5F4C2AC_640B_40D9_88C9_69B3215DBE96_.wvu.FilterData" localSheetId="26" hidden="1">#REF!</definedName>
    <definedName name="Z_A5F4C2AC_640B_40D9_88C9_69B3215DBE96_.wvu.FilterData" localSheetId="27" hidden="1">#REF!</definedName>
    <definedName name="Z_A5F4C2AC_640B_40D9_88C9_69B3215DBE96_.wvu.FilterData" localSheetId="25" hidden="1">#REF!</definedName>
    <definedName name="Z_A5F4C2AC_640B_40D9_88C9_69B3215DBE96_.wvu.FilterData" localSheetId="7" hidden="1">#REF!</definedName>
    <definedName name="Z_A5F4C2AC_640B_40D9_88C9_69B3215DBE96_.wvu.FilterData" localSheetId="4" hidden="1">#REF!</definedName>
    <definedName name="Z_A5F4C2AC_640B_40D9_88C9_69B3215DBE96_.wvu.FilterData" localSheetId="5" hidden="1">#REF!</definedName>
    <definedName name="Z_A5F4C2AC_640B_40D9_88C9_69B3215DBE96_.wvu.FilterData" localSheetId="2" hidden="1">#REF!</definedName>
    <definedName name="Z_A5F4C2AC_640B_40D9_88C9_69B3215DBE96_.wvu.FilterData" localSheetId="3" hidden="1">#REF!</definedName>
    <definedName name="Z_A5F4C2AC_640B_40D9_88C9_69B3215DBE96_.wvu.FilterData" hidden="1">#REF!</definedName>
    <definedName name="Z_A686C168_1672_48B1_ADFD_481A1276CC81_.wvu.FilterData" localSheetId="21" hidden="1">#REF!</definedName>
    <definedName name="Z_A686C168_1672_48B1_ADFD_481A1276CC81_.wvu.FilterData" localSheetId="12" hidden="1">#REF!</definedName>
    <definedName name="Z_A686C168_1672_48B1_ADFD_481A1276CC81_.wvu.FilterData" localSheetId="13" hidden="1">#REF!</definedName>
    <definedName name="Z_A686C168_1672_48B1_ADFD_481A1276CC81_.wvu.FilterData" localSheetId="14" hidden="1">#REF!</definedName>
    <definedName name="Z_A686C168_1672_48B1_ADFD_481A1276CC81_.wvu.FilterData" localSheetId="16" hidden="1">#REF!</definedName>
    <definedName name="Z_A686C168_1672_48B1_ADFD_481A1276CC81_.wvu.FilterData" localSheetId="15" hidden="1">#REF!</definedName>
    <definedName name="Z_A686C168_1672_48B1_ADFD_481A1276CC81_.wvu.FilterData" localSheetId="17" hidden="1">#REF!</definedName>
    <definedName name="Z_A686C168_1672_48B1_ADFD_481A1276CC81_.wvu.FilterData" localSheetId="11" hidden="1">#REF!</definedName>
    <definedName name="Z_A686C168_1672_48B1_ADFD_481A1276CC81_.wvu.FilterData" localSheetId="10" hidden="1">#REF!</definedName>
    <definedName name="Z_A686C168_1672_48B1_ADFD_481A1276CC81_.wvu.FilterData" localSheetId="22" hidden="1">#REF!</definedName>
    <definedName name="Z_A686C168_1672_48B1_ADFD_481A1276CC81_.wvu.FilterData" localSheetId="24" hidden="1">#REF!</definedName>
    <definedName name="Z_A686C168_1672_48B1_ADFD_481A1276CC81_.wvu.FilterData" localSheetId="23" hidden="1">#REF!</definedName>
    <definedName name="Z_A686C168_1672_48B1_ADFD_481A1276CC81_.wvu.FilterData" localSheetId="20" hidden="1">#REF!</definedName>
    <definedName name="Z_A686C168_1672_48B1_ADFD_481A1276CC81_.wvu.FilterData" localSheetId="19" hidden="1">#REF!</definedName>
    <definedName name="Z_A686C168_1672_48B1_ADFD_481A1276CC81_.wvu.FilterData" localSheetId="26" hidden="1">#REF!</definedName>
    <definedName name="Z_A686C168_1672_48B1_ADFD_481A1276CC81_.wvu.FilterData" localSheetId="27" hidden="1">#REF!</definedName>
    <definedName name="Z_A686C168_1672_48B1_ADFD_481A1276CC81_.wvu.FilterData" localSheetId="25" hidden="1">#REF!</definedName>
    <definedName name="Z_A686C168_1672_48B1_ADFD_481A1276CC81_.wvu.FilterData" localSheetId="7" hidden="1">#REF!</definedName>
    <definedName name="Z_A686C168_1672_48B1_ADFD_481A1276CC81_.wvu.FilterData" localSheetId="4" hidden="1">#REF!</definedName>
    <definedName name="Z_A686C168_1672_48B1_ADFD_481A1276CC81_.wvu.FilterData" localSheetId="5" hidden="1">#REF!</definedName>
    <definedName name="Z_A686C168_1672_48B1_ADFD_481A1276CC81_.wvu.FilterData" localSheetId="2" hidden="1">#REF!</definedName>
    <definedName name="Z_A686C168_1672_48B1_ADFD_481A1276CC81_.wvu.FilterData" localSheetId="3" hidden="1">#REF!</definedName>
    <definedName name="Z_A686C168_1672_48B1_ADFD_481A1276CC81_.wvu.FilterData" hidden="1">#REF!</definedName>
    <definedName name="Z_A933351F_4BD3_4901_98D5_53D192BD61DC_.wvu.FilterData" localSheetId="21" hidden="1">#REF!</definedName>
    <definedName name="Z_A933351F_4BD3_4901_98D5_53D192BD61DC_.wvu.FilterData" localSheetId="12" hidden="1">#REF!</definedName>
    <definedName name="Z_A933351F_4BD3_4901_98D5_53D192BD61DC_.wvu.FilterData" localSheetId="13" hidden="1">#REF!</definedName>
    <definedName name="Z_A933351F_4BD3_4901_98D5_53D192BD61DC_.wvu.FilterData" localSheetId="14" hidden="1">#REF!</definedName>
    <definedName name="Z_A933351F_4BD3_4901_98D5_53D192BD61DC_.wvu.FilterData" localSheetId="16" hidden="1">#REF!</definedName>
    <definedName name="Z_A933351F_4BD3_4901_98D5_53D192BD61DC_.wvu.FilterData" localSheetId="15" hidden="1">#REF!</definedName>
    <definedName name="Z_A933351F_4BD3_4901_98D5_53D192BD61DC_.wvu.FilterData" localSheetId="17" hidden="1">#REF!</definedName>
    <definedName name="Z_A933351F_4BD3_4901_98D5_53D192BD61DC_.wvu.FilterData" localSheetId="11" hidden="1">#REF!</definedName>
    <definedName name="Z_A933351F_4BD3_4901_98D5_53D192BD61DC_.wvu.FilterData" localSheetId="10" hidden="1">#REF!</definedName>
    <definedName name="Z_A933351F_4BD3_4901_98D5_53D192BD61DC_.wvu.FilterData" localSheetId="22" hidden="1">#REF!</definedName>
    <definedName name="Z_A933351F_4BD3_4901_98D5_53D192BD61DC_.wvu.FilterData" localSheetId="24" hidden="1">#REF!</definedName>
    <definedName name="Z_A933351F_4BD3_4901_98D5_53D192BD61DC_.wvu.FilterData" localSheetId="23" hidden="1">#REF!</definedName>
    <definedName name="Z_A933351F_4BD3_4901_98D5_53D192BD61DC_.wvu.FilterData" localSheetId="20" hidden="1">#REF!</definedName>
    <definedName name="Z_A933351F_4BD3_4901_98D5_53D192BD61DC_.wvu.FilterData" localSheetId="19" hidden="1">#REF!</definedName>
    <definedName name="Z_A933351F_4BD3_4901_98D5_53D192BD61DC_.wvu.FilterData" localSheetId="26" hidden="1">#REF!</definedName>
    <definedName name="Z_A933351F_4BD3_4901_98D5_53D192BD61DC_.wvu.FilterData" localSheetId="27" hidden="1">#REF!</definedName>
    <definedName name="Z_A933351F_4BD3_4901_98D5_53D192BD61DC_.wvu.FilterData" localSheetId="25" hidden="1">#REF!</definedName>
    <definedName name="Z_A933351F_4BD3_4901_98D5_53D192BD61DC_.wvu.FilterData" localSheetId="7" hidden="1">#REF!</definedName>
    <definedName name="Z_A933351F_4BD3_4901_98D5_53D192BD61DC_.wvu.FilterData" localSheetId="4" hidden="1">#REF!</definedName>
    <definedName name="Z_A933351F_4BD3_4901_98D5_53D192BD61DC_.wvu.FilterData" localSheetId="5" hidden="1">#REF!</definedName>
    <definedName name="Z_A933351F_4BD3_4901_98D5_53D192BD61DC_.wvu.FilterData" localSheetId="2" hidden="1">#REF!</definedName>
    <definedName name="Z_A933351F_4BD3_4901_98D5_53D192BD61DC_.wvu.FilterData" localSheetId="3" hidden="1">#REF!</definedName>
    <definedName name="Z_A933351F_4BD3_4901_98D5_53D192BD61DC_.wvu.FilterData" hidden="1">#REF!</definedName>
    <definedName name="Z_AA0BD2F5_1513_40DB_B224_CC27CA57E181_.wvu.FilterData" localSheetId="21" hidden="1">#REF!</definedName>
    <definedName name="Z_AA0BD2F5_1513_40DB_B224_CC27CA57E181_.wvu.FilterData" localSheetId="12" hidden="1">#REF!</definedName>
    <definedName name="Z_AA0BD2F5_1513_40DB_B224_CC27CA57E181_.wvu.FilterData" localSheetId="13" hidden="1">#REF!</definedName>
    <definedName name="Z_AA0BD2F5_1513_40DB_B224_CC27CA57E181_.wvu.FilterData" localSheetId="14" hidden="1">#REF!</definedName>
    <definedName name="Z_AA0BD2F5_1513_40DB_B224_CC27CA57E181_.wvu.FilterData" localSheetId="16" hidden="1">#REF!</definedName>
    <definedName name="Z_AA0BD2F5_1513_40DB_B224_CC27CA57E181_.wvu.FilterData" localSheetId="15" hidden="1">#REF!</definedName>
    <definedName name="Z_AA0BD2F5_1513_40DB_B224_CC27CA57E181_.wvu.FilterData" localSheetId="17" hidden="1">#REF!</definedName>
    <definedName name="Z_AA0BD2F5_1513_40DB_B224_CC27CA57E181_.wvu.FilterData" localSheetId="11" hidden="1">#REF!</definedName>
    <definedName name="Z_AA0BD2F5_1513_40DB_B224_CC27CA57E181_.wvu.FilterData" localSheetId="10" hidden="1">#REF!</definedName>
    <definedName name="Z_AA0BD2F5_1513_40DB_B224_CC27CA57E181_.wvu.FilterData" localSheetId="22" hidden="1">#REF!</definedName>
    <definedName name="Z_AA0BD2F5_1513_40DB_B224_CC27CA57E181_.wvu.FilterData" localSheetId="24" hidden="1">#REF!</definedName>
    <definedName name="Z_AA0BD2F5_1513_40DB_B224_CC27CA57E181_.wvu.FilterData" localSheetId="23" hidden="1">#REF!</definedName>
    <definedName name="Z_AA0BD2F5_1513_40DB_B224_CC27CA57E181_.wvu.FilterData" localSheetId="20" hidden="1">#REF!</definedName>
    <definedName name="Z_AA0BD2F5_1513_40DB_B224_CC27CA57E181_.wvu.FilterData" localSheetId="19" hidden="1">#REF!</definedName>
    <definedName name="Z_AA0BD2F5_1513_40DB_B224_CC27CA57E181_.wvu.FilterData" localSheetId="26" hidden="1">#REF!</definedName>
    <definedName name="Z_AA0BD2F5_1513_40DB_B224_CC27CA57E181_.wvu.FilterData" localSheetId="27" hidden="1">#REF!</definedName>
    <definedName name="Z_AA0BD2F5_1513_40DB_B224_CC27CA57E181_.wvu.FilterData" localSheetId="25" hidden="1">#REF!</definedName>
    <definedName name="Z_AA0BD2F5_1513_40DB_B224_CC27CA57E181_.wvu.FilterData" localSheetId="7" hidden="1">#REF!</definedName>
    <definedName name="Z_AA0BD2F5_1513_40DB_B224_CC27CA57E181_.wvu.FilterData" localSheetId="4" hidden="1">#REF!</definedName>
    <definedName name="Z_AA0BD2F5_1513_40DB_B224_CC27CA57E181_.wvu.FilterData" localSheetId="5" hidden="1">#REF!</definedName>
    <definedName name="Z_AA0BD2F5_1513_40DB_B224_CC27CA57E181_.wvu.FilterData" localSheetId="2" hidden="1">#REF!</definedName>
    <definedName name="Z_AA0BD2F5_1513_40DB_B224_CC27CA57E181_.wvu.FilterData" localSheetId="3" hidden="1">#REF!</definedName>
    <definedName name="Z_AA0BD2F5_1513_40DB_B224_CC27CA57E181_.wvu.FilterData" hidden="1">#REF!</definedName>
    <definedName name="Z_AA329A38_94E6_4014_8D54_EFB48C7FA433_.wvu.FilterData" localSheetId="21" hidden="1">#REF!</definedName>
    <definedName name="Z_AA329A38_94E6_4014_8D54_EFB48C7FA433_.wvu.FilterData" localSheetId="12" hidden="1">#REF!</definedName>
    <definedName name="Z_AA329A38_94E6_4014_8D54_EFB48C7FA433_.wvu.FilterData" localSheetId="13" hidden="1">#REF!</definedName>
    <definedName name="Z_AA329A38_94E6_4014_8D54_EFB48C7FA433_.wvu.FilterData" localSheetId="14" hidden="1">#REF!</definedName>
    <definedName name="Z_AA329A38_94E6_4014_8D54_EFB48C7FA433_.wvu.FilterData" localSheetId="16" hidden="1">#REF!</definedName>
    <definedName name="Z_AA329A38_94E6_4014_8D54_EFB48C7FA433_.wvu.FilterData" localSheetId="15" hidden="1">#REF!</definedName>
    <definedName name="Z_AA329A38_94E6_4014_8D54_EFB48C7FA433_.wvu.FilterData" localSheetId="17" hidden="1">#REF!</definedName>
    <definedName name="Z_AA329A38_94E6_4014_8D54_EFB48C7FA433_.wvu.FilterData" localSheetId="11" hidden="1">#REF!</definedName>
    <definedName name="Z_AA329A38_94E6_4014_8D54_EFB48C7FA433_.wvu.FilterData" localSheetId="10" hidden="1">#REF!</definedName>
    <definedName name="Z_AA329A38_94E6_4014_8D54_EFB48C7FA433_.wvu.FilterData" localSheetId="22" hidden="1">#REF!</definedName>
    <definedName name="Z_AA329A38_94E6_4014_8D54_EFB48C7FA433_.wvu.FilterData" localSheetId="24" hidden="1">#REF!</definedName>
    <definedName name="Z_AA329A38_94E6_4014_8D54_EFB48C7FA433_.wvu.FilterData" localSheetId="23" hidden="1">#REF!</definedName>
    <definedName name="Z_AA329A38_94E6_4014_8D54_EFB48C7FA433_.wvu.FilterData" localSheetId="20" hidden="1">#REF!</definedName>
    <definedName name="Z_AA329A38_94E6_4014_8D54_EFB48C7FA433_.wvu.FilterData" localSheetId="19" hidden="1">#REF!</definedName>
    <definedName name="Z_AA329A38_94E6_4014_8D54_EFB48C7FA433_.wvu.FilterData" localSheetId="26" hidden="1">#REF!</definedName>
    <definedName name="Z_AA329A38_94E6_4014_8D54_EFB48C7FA433_.wvu.FilterData" localSheetId="27" hidden="1">#REF!</definedName>
    <definedName name="Z_AA329A38_94E6_4014_8D54_EFB48C7FA433_.wvu.FilterData" localSheetId="25" hidden="1">#REF!</definedName>
    <definedName name="Z_AA329A38_94E6_4014_8D54_EFB48C7FA433_.wvu.FilterData" localSheetId="7" hidden="1">#REF!</definedName>
    <definedName name="Z_AA329A38_94E6_4014_8D54_EFB48C7FA433_.wvu.FilterData" localSheetId="4" hidden="1">#REF!</definedName>
    <definedName name="Z_AA329A38_94E6_4014_8D54_EFB48C7FA433_.wvu.FilterData" localSheetId="5" hidden="1">#REF!</definedName>
    <definedName name="Z_AA329A38_94E6_4014_8D54_EFB48C7FA433_.wvu.FilterData" localSheetId="2" hidden="1">#REF!</definedName>
    <definedName name="Z_AA329A38_94E6_4014_8D54_EFB48C7FA433_.wvu.FilterData" localSheetId="3" hidden="1">#REF!</definedName>
    <definedName name="Z_AA329A38_94E6_4014_8D54_EFB48C7FA433_.wvu.FilterData" hidden="1">#REF!</definedName>
    <definedName name="Z_AC5679A6_5A24_441C_BBA3_F0C9D8E8E441_.wvu.FilterData" localSheetId="21" hidden="1">#REF!</definedName>
    <definedName name="Z_AC5679A6_5A24_441C_BBA3_F0C9D8E8E441_.wvu.FilterData" localSheetId="12" hidden="1">#REF!</definedName>
    <definedName name="Z_AC5679A6_5A24_441C_BBA3_F0C9D8E8E441_.wvu.FilterData" localSheetId="13" hidden="1">#REF!</definedName>
    <definedName name="Z_AC5679A6_5A24_441C_BBA3_F0C9D8E8E441_.wvu.FilterData" localSheetId="14" hidden="1">#REF!</definedName>
    <definedName name="Z_AC5679A6_5A24_441C_BBA3_F0C9D8E8E441_.wvu.FilterData" localSheetId="16" hidden="1">#REF!</definedName>
    <definedName name="Z_AC5679A6_5A24_441C_BBA3_F0C9D8E8E441_.wvu.FilterData" localSheetId="15" hidden="1">#REF!</definedName>
    <definedName name="Z_AC5679A6_5A24_441C_BBA3_F0C9D8E8E441_.wvu.FilterData" localSheetId="17" hidden="1">#REF!</definedName>
    <definedName name="Z_AC5679A6_5A24_441C_BBA3_F0C9D8E8E441_.wvu.FilterData" localSheetId="11" hidden="1">#REF!</definedName>
    <definedName name="Z_AC5679A6_5A24_441C_BBA3_F0C9D8E8E441_.wvu.FilterData" localSheetId="10" hidden="1">#REF!</definedName>
    <definedName name="Z_AC5679A6_5A24_441C_BBA3_F0C9D8E8E441_.wvu.FilterData" localSheetId="22" hidden="1">#REF!</definedName>
    <definedName name="Z_AC5679A6_5A24_441C_BBA3_F0C9D8E8E441_.wvu.FilterData" localSheetId="24" hidden="1">#REF!</definedName>
    <definedName name="Z_AC5679A6_5A24_441C_BBA3_F0C9D8E8E441_.wvu.FilterData" localSheetId="23" hidden="1">#REF!</definedName>
    <definedName name="Z_AC5679A6_5A24_441C_BBA3_F0C9D8E8E441_.wvu.FilterData" localSheetId="20" hidden="1">#REF!</definedName>
    <definedName name="Z_AC5679A6_5A24_441C_BBA3_F0C9D8E8E441_.wvu.FilterData" localSheetId="19" hidden="1">#REF!</definedName>
    <definedName name="Z_AC5679A6_5A24_441C_BBA3_F0C9D8E8E441_.wvu.FilterData" localSheetId="26" hidden="1">#REF!</definedName>
    <definedName name="Z_AC5679A6_5A24_441C_BBA3_F0C9D8E8E441_.wvu.FilterData" localSheetId="27" hidden="1">#REF!</definedName>
    <definedName name="Z_AC5679A6_5A24_441C_BBA3_F0C9D8E8E441_.wvu.FilterData" localSheetId="25" hidden="1">#REF!</definedName>
    <definedName name="Z_AC5679A6_5A24_441C_BBA3_F0C9D8E8E441_.wvu.FilterData" localSheetId="7" hidden="1">#REF!</definedName>
    <definedName name="Z_AC5679A6_5A24_441C_BBA3_F0C9D8E8E441_.wvu.FilterData" localSheetId="4" hidden="1">#REF!</definedName>
    <definedName name="Z_AC5679A6_5A24_441C_BBA3_F0C9D8E8E441_.wvu.FilterData" localSheetId="5" hidden="1">#REF!</definedName>
    <definedName name="Z_AC5679A6_5A24_441C_BBA3_F0C9D8E8E441_.wvu.FilterData" localSheetId="2" hidden="1">#REF!</definedName>
    <definedName name="Z_AC5679A6_5A24_441C_BBA3_F0C9D8E8E441_.wvu.FilterData" localSheetId="3" hidden="1">#REF!</definedName>
    <definedName name="Z_AC5679A6_5A24_441C_BBA3_F0C9D8E8E441_.wvu.FilterData" hidden="1">#REF!</definedName>
    <definedName name="Z_ACE528A7_3516_429C_8E77_FA07F86ED2D8_.wvu.Cols" localSheetId="21" hidden="1">#REF!</definedName>
    <definedName name="Z_ACE528A7_3516_429C_8E77_FA07F86ED2D8_.wvu.Cols" localSheetId="12" hidden="1">#REF!</definedName>
    <definedName name="Z_ACE528A7_3516_429C_8E77_FA07F86ED2D8_.wvu.Cols" localSheetId="13" hidden="1">#REF!</definedName>
    <definedName name="Z_ACE528A7_3516_429C_8E77_FA07F86ED2D8_.wvu.Cols" localSheetId="14" hidden="1">#REF!</definedName>
    <definedName name="Z_ACE528A7_3516_429C_8E77_FA07F86ED2D8_.wvu.Cols" localSheetId="16" hidden="1">#REF!</definedName>
    <definedName name="Z_ACE528A7_3516_429C_8E77_FA07F86ED2D8_.wvu.Cols" localSheetId="15" hidden="1">#REF!</definedName>
    <definedName name="Z_ACE528A7_3516_429C_8E77_FA07F86ED2D8_.wvu.Cols" localSheetId="17" hidden="1">#REF!</definedName>
    <definedName name="Z_ACE528A7_3516_429C_8E77_FA07F86ED2D8_.wvu.Cols" localSheetId="11" hidden="1">#REF!</definedName>
    <definedName name="Z_ACE528A7_3516_429C_8E77_FA07F86ED2D8_.wvu.Cols" localSheetId="10" hidden="1">#REF!</definedName>
    <definedName name="Z_ACE528A7_3516_429C_8E77_FA07F86ED2D8_.wvu.Cols" localSheetId="22" hidden="1">#REF!</definedName>
    <definedName name="Z_ACE528A7_3516_429C_8E77_FA07F86ED2D8_.wvu.Cols" localSheetId="24" hidden="1">#REF!</definedName>
    <definedName name="Z_ACE528A7_3516_429C_8E77_FA07F86ED2D8_.wvu.Cols" localSheetId="23" hidden="1">#REF!</definedName>
    <definedName name="Z_ACE528A7_3516_429C_8E77_FA07F86ED2D8_.wvu.Cols" localSheetId="20" hidden="1">#REF!</definedName>
    <definedName name="Z_ACE528A7_3516_429C_8E77_FA07F86ED2D8_.wvu.Cols" localSheetId="19" hidden="1">#REF!</definedName>
    <definedName name="Z_ACE528A7_3516_429C_8E77_FA07F86ED2D8_.wvu.Cols" localSheetId="26" hidden="1">#REF!</definedName>
    <definedName name="Z_ACE528A7_3516_429C_8E77_FA07F86ED2D8_.wvu.Cols" localSheetId="27" hidden="1">#REF!</definedName>
    <definedName name="Z_ACE528A7_3516_429C_8E77_FA07F86ED2D8_.wvu.Cols" localSheetId="25" hidden="1">#REF!</definedName>
    <definedName name="Z_ACE528A7_3516_429C_8E77_FA07F86ED2D8_.wvu.Cols" localSheetId="7" hidden="1">#REF!</definedName>
    <definedName name="Z_ACE528A7_3516_429C_8E77_FA07F86ED2D8_.wvu.Cols" localSheetId="4" hidden="1">#REF!</definedName>
    <definedName name="Z_ACE528A7_3516_429C_8E77_FA07F86ED2D8_.wvu.Cols" localSheetId="5" hidden="1">#REF!</definedName>
    <definedName name="Z_ACE528A7_3516_429C_8E77_FA07F86ED2D8_.wvu.Cols" localSheetId="2" hidden="1">#REF!</definedName>
    <definedName name="Z_ACE528A7_3516_429C_8E77_FA07F86ED2D8_.wvu.Cols" localSheetId="3" hidden="1">#REF!</definedName>
    <definedName name="Z_ACE528A7_3516_429C_8E77_FA07F86ED2D8_.wvu.Cols" hidden="1">#REF!</definedName>
    <definedName name="Z_AE302359_F16A_4874_8921_3865B0ECD878_.wvu.FilterData" localSheetId="21" hidden="1">#REF!</definedName>
    <definedName name="Z_AE302359_F16A_4874_8921_3865B0ECD878_.wvu.FilterData" localSheetId="12" hidden="1">#REF!</definedName>
    <definedName name="Z_AE302359_F16A_4874_8921_3865B0ECD878_.wvu.FilterData" localSheetId="13" hidden="1">#REF!</definedName>
    <definedName name="Z_AE302359_F16A_4874_8921_3865B0ECD878_.wvu.FilterData" localSheetId="14" hidden="1">#REF!</definedName>
    <definedName name="Z_AE302359_F16A_4874_8921_3865B0ECD878_.wvu.FilterData" localSheetId="16" hidden="1">#REF!</definedName>
    <definedName name="Z_AE302359_F16A_4874_8921_3865B0ECD878_.wvu.FilterData" localSheetId="15" hidden="1">#REF!</definedName>
    <definedName name="Z_AE302359_F16A_4874_8921_3865B0ECD878_.wvu.FilterData" localSheetId="17" hidden="1">#REF!</definedName>
    <definedName name="Z_AE302359_F16A_4874_8921_3865B0ECD878_.wvu.FilterData" localSheetId="11" hidden="1">#REF!</definedName>
    <definedName name="Z_AE302359_F16A_4874_8921_3865B0ECD878_.wvu.FilterData" localSheetId="10" hidden="1">#REF!</definedName>
    <definedName name="Z_AE302359_F16A_4874_8921_3865B0ECD878_.wvu.FilterData" localSheetId="22" hidden="1">#REF!</definedName>
    <definedName name="Z_AE302359_F16A_4874_8921_3865B0ECD878_.wvu.FilterData" localSheetId="24" hidden="1">#REF!</definedName>
    <definedName name="Z_AE302359_F16A_4874_8921_3865B0ECD878_.wvu.FilterData" localSheetId="23" hidden="1">#REF!</definedName>
    <definedName name="Z_AE302359_F16A_4874_8921_3865B0ECD878_.wvu.FilterData" localSheetId="20" hidden="1">#REF!</definedName>
    <definedName name="Z_AE302359_F16A_4874_8921_3865B0ECD878_.wvu.FilterData" localSheetId="19" hidden="1">#REF!</definedName>
    <definedName name="Z_AE302359_F16A_4874_8921_3865B0ECD878_.wvu.FilterData" localSheetId="26" hidden="1">#REF!</definedName>
    <definedName name="Z_AE302359_F16A_4874_8921_3865B0ECD878_.wvu.FilterData" localSheetId="27" hidden="1">#REF!</definedName>
    <definedName name="Z_AE302359_F16A_4874_8921_3865B0ECD878_.wvu.FilterData" localSheetId="25" hidden="1">#REF!</definedName>
    <definedName name="Z_AE302359_F16A_4874_8921_3865B0ECD878_.wvu.FilterData" localSheetId="7" hidden="1">#REF!</definedName>
    <definedName name="Z_AE302359_F16A_4874_8921_3865B0ECD878_.wvu.FilterData" localSheetId="4" hidden="1">#REF!</definedName>
    <definedName name="Z_AE302359_F16A_4874_8921_3865B0ECD878_.wvu.FilterData" localSheetId="5" hidden="1">#REF!</definedName>
    <definedName name="Z_AE302359_F16A_4874_8921_3865B0ECD878_.wvu.FilterData" localSheetId="2" hidden="1">#REF!</definedName>
    <definedName name="Z_AE302359_F16A_4874_8921_3865B0ECD878_.wvu.FilterData" localSheetId="3" hidden="1">#REF!</definedName>
    <definedName name="Z_AE302359_F16A_4874_8921_3865B0ECD878_.wvu.FilterData" hidden="1">#REF!</definedName>
    <definedName name="Z_AF0BF736_181F_4A59_8FB9_D3BCA8E591F7_.wvu.FilterData" localSheetId="21" hidden="1">#REF!</definedName>
    <definedName name="Z_AF0BF736_181F_4A59_8FB9_D3BCA8E591F7_.wvu.FilterData" localSheetId="12" hidden="1">#REF!</definedName>
    <definedName name="Z_AF0BF736_181F_4A59_8FB9_D3BCA8E591F7_.wvu.FilterData" localSheetId="13" hidden="1">#REF!</definedName>
    <definedName name="Z_AF0BF736_181F_4A59_8FB9_D3BCA8E591F7_.wvu.FilterData" localSheetId="14" hidden="1">#REF!</definedName>
    <definedName name="Z_AF0BF736_181F_4A59_8FB9_D3BCA8E591F7_.wvu.FilterData" localSheetId="16" hidden="1">#REF!</definedName>
    <definedName name="Z_AF0BF736_181F_4A59_8FB9_D3BCA8E591F7_.wvu.FilterData" localSheetId="15" hidden="1">#REF!</definedName>
    <definedName name="Z_AF0BF736_181F_4A59_8FB9_D3BCA8E591F7_.wvu.FilterData" localSheetId="17" hidden="1">#REF!</definedName>
    <definedName name="Z_AF0BF736_181F_4A59_8FB9_D3BCA8E591F7_.wvu.FilterData" localSheetId="11" hidden="1">#REF!</definedName>
    <definedName name="Z_AF0BF736_181F_4A59_8FB9_D3BCA8E591F7_.wvu.FilterData" localSheetId="10" hidden="1">#REF!</definedName>
    <definedName name="Z_AF0BF736_181F_4A59_8FB9_D3BCA8E591F7_.wvu.FilterData" localSheetId="22" hidden="1">#REF!</definedName>
    <definedName name="Z_AF0BF736_181F_4A59_8FB9_D3BCA8E591F7_.wvu.FilterData" localSheetId="24" hidden="1">#REF!</definedName>
    <definedName name="Z_AF0BF736_181F_4A59_8FB9_D3BCA8E591F7_.wvu.FilterData" localSheetId="23" hidden="1">#REF!</definedName>
    <definedName name="Z_AF0BF736_181F_4A59_8FB9_D3BCA8E591F7_.wvu.FilterData" localSheetId="20" hidden="1">#REF!</definedName>
    <definedName name="Z_AF0BF736_181F_4A59_8FB9_D3BCA8E591F7_.wvu.FilterData" localSheetId="19" hidden="1">#REF!</definedName>
    <definedName name="Z_AF0BF736_181F_4A59_8FB9_D3BCA8E591F7_.wvu.FilterData" localSheetId="26" hidden="1">#REF!</definedName>
    <definedName name="Z_AF0BF736_181F_4A59_8FB9_D3BCA8E591F7_.wvu.FilterData" localSheetId="27" hidden="1">#REF!</definedName>
    <definedName name="Z_AF0BF736_181F_4A59_8FB9_D3BCA8E591F7_.wvu.FilterData" localSheetId="25" hidden="1">#REF!</definedName>
    <definedName name="Z_AF0BF736_181F_4A59_8FB9_D3BCA8E591F7_.wvu.FilterData" localSheetId="7" hidden="1">#REF!</definedName>
    <definedName name="Z_AF0BF736_181F_4A59_8FB9_D3BCA8E591F7_.wvu.FilterData" localSheetId="4" hidden="1">#REF!</definedName>
    <definedName name="Z_AF0BF736_181F_4A59_8FB9_D3BCA8E591F7_.wvu.FilterData" localSheetId="5" hidden="1">#REF!</definedName>
    <definedName name="Z_AF0BF736_181F_4A59_8FB9_D3BCA8E591F7_.wvu.FilterData" localSheetId="2" hidden="1">#REF!</definedName>
    <definedName name="Z_AF0BF736_181F_4A59_8FB9_D3BCA8E591F7_.wvu.FilterData" localSheetId="3" hidden="1">#REF!</definedName>
    <definedName name="Z_AF0BF736_181F_4A59_8FB9_D3BCA8E591F7_.wvu.FilterData" hidden="1">#REF!</definedName>
    <definedName name="Z_AF12B415_1D2E_4088_9C86_BB0173951217_.wvu.FilterData" localSheetId="21" hidden="1">#REF!</definedName>
    <definedName name="Z_AF12B415_1D2E_4088_9C86_BB0173951217_.wvu.FilterData" localSheetId="12" hidden="1">#REF!</definedName>
    <definedName name="Z_AF12B415_1D2E_4088_9C86_BB0173951217_.wvu.FilterData" localSheetId="13" hidden="1">#REF!</definedName>
    <definedName name="Z_AF12B415_1D2E_4088_9C86_BB0173951217_.wvu.FilterData" localSheetId="14" hidden="1">#REF!</definedName>
    <definedName name="Z_AF12B415_1D2E_4088_9C86_BB0173951217_.wvu.FilterData" localSheetId="16" hidden="1">#REF!</definedName>
    <definedName name="Z_AF12B415_1D2E_4088_9C86_BB0173951217_.wvu.FilterData" localSheetId="15" hidden="1">#REF!</definedName>
    <definedName name="Z_AF12B415_1D2E_4088_9C86_BB0173951217_.wvu.FilterData" localSheetId="17" hidden="1">#REF!</definedName>
    <definedName name="Z_AF12B415_1D2E_4088_9C86_BB0173951217_.wvu.FilterData" localSheetId="11" hidden="1">#REF!</definedName>
    <definedName name="Z_AF12B415_1D2E_4088_9C86_BB0173951217_.wvu.FilterData" localSheetId="10" hidden="1">#REF!</definedName>
    <definedName name="Z_AF12B415_1D2E_4088_9C86_BB0173951217_.wvu.FilterData" localSheetId="22" hidden="1">#REF!</definedName>
    <definedName name="Z_AF12B415_1D2E_4088_9C86_BB0173951217_.wvu.FilterData" localSheetId="24" hidden="1">#REF!</definedName>
    <definedName name="Z_AF12B415_1D2E_4088_9C86_BB0173951217_.wvu.FilterData" localSheetId="23" hidden="1">#REF!</definedName>
    <definedName name="Z_AF12B415_1D2E_4088_9C86_BB0173951217_.wvu.FilterData" localSheetId="20" hidden="1">#REF!</definedName>
    <definedName name="Z_AF12B415_1D2E_4088_9C86_BB0173951217_.wvu.FilterData" localSheetId="19" hidden="1">#REF!</definedName>
    <definedName name="Z_AF12B415_1D2E_4088_9C86_BB0173951217_.wvu.FilterData" localSheetId="26" hidden="1">#REF!</definedName>
    <definedName name="Z_AF12B415_1D2E_4088_9C86_BB0173951217_.wvu.FilterData" localSheetId="27" hidden="1">#REF!</definedName>
    <definedName name="Z_AF12B415_1D2E_4088_9C86_BB0173951217_.wvu.FilterData" localSheetId="25" hidden="1">#REF!</definedName>
    <definedName name="Z_AF12B415_1D2E_4088_9C86_BB0173951217_.wvu.FilterData" localSheetId="7" hidden="1">#REF!</definedName>
    <definedName name="Z_AF12B415_1D2E_4088_9C86_BB0173951217_.wvu.FilterData" localSheetId="4" hidden="1">#REF!</definedName>
    <definedName name="Z_AF12B415_1D2E_4088_9C86_BB0173951217_.wvu.FilterData" localSheetId="5" hidden="1">#REF!</definedName>
    <definedName name="Z_AF12B415_1D2E_4088_9C86_BB0173951217_.wvu.FilterData" localSheetId="2" hidden="1">#REF!</definedName>
    <definedName name="Z_AF12B415_1D2E_4088_9C86_BB0173951217_.wvu.FilterData" localSheetId="3" hidden="1">#REF!</definedName>
    <definedName name="Z_AF12B415_1D2E_4088_9C86_BB0173951217_.wvu.FilterData" hidden="1">#REF!</definedName>
    <definedName name="Z_AF537E87_E5DE_4792_8C82_FFA1FC35463A_.wvu.FilterData" localSheetId="21" hidden="1">#REF!</definedName>
    <definedName name="Z_AF537E87_E5DE_4792_8C82_FFA1FC35463A_.wvu.FilterData" localSheetId="12" hidden="1">#REF!</definedName>
    <definedName name="Z_AF537E87_E5DE_4792_8C82_FFA1FC35463A_.wvu.FilterData" localSheetId="13" hidden="1">#REF!</definedName>
    <definedName name="Z_AF537E87_E5DE_4792_8C82_FFA1FC35463A_.wvu.FilterData" localSheetId="14" hidden="1">#REF!</definedName>
    <definedName name="Z_AF537E87_E5DE_4792_8C82_FFA1FC35463A_.wvu.FilterData" localSheetId="16" hidden="1">#REF!</definedName>
    <definedName name="Z_AF537E87_E5DE_4792_8C82_FFA1FC35463A_.wvu.FilterData" localSheetId="15" hidden="1">#REF!</definedName>
    <definedName name="Z_AF537E87_E5DE_4792_8C82_FFA1FC35463A_.wvu.FilterData" localSheetId="17" hidden="1">#REF!</definedName>
    <definedName name="Z_AF537E87_E5DE_4792_8C82_FFA1FC35463A_.wvu.FilterData" localSheetId="11" hidden="1">#REF!</definedName>
    <definedName name="Z_AF537E87_E5DE_4792_8C82_FFA1FC35463A_.wvu.FilterData" localSheetId="10" hidden="1">#REF!</definedName>
    <definedName name="Z_AF537E87_E5DE_4792_8C82_FFA1FC35463A_.wvu.FilterData" localSheetId="22" hidden="1">#REF!</definedName>
    <definedName name="Z_AF537E87_E5DE_4792_8C82_FFA1FC35463A_.wvu.FilterData" localSheetId="24" hidden="1">#REF!</definedName>
    <definedName name="Z_AF537E87_E5DE_4792_8C82_FFA1FC35463A_.wvu.FilterData" localSheetId="23" hidden="1">#REF!</definedName>
    <definedName name="Z_AF537E87_E5DE_4792_8C82_FFA1FC35463A_.wvu.FilterData" localSheetId="20" hidden="1">#REF!</definedName>
    <definedName name="Z_AF537E87_E5DE_4792_8C82_FFA1FC35463A_.wvu.FilterData" localSheetId="19" hidden="1">#REF!</definedName>
    <definedName name="Z_AF537E87_E5DE_4792_8C82_FFA1FC35463A_.wvu.FilterData" localSheetId="26" hidden="1">#REF!</definedName>
    <definedName name="Z_AF537E87_E5DE_4792_8C82_FFA1FC35463A_.wvu.FilterData" localSheetId="27" hidden="1">#REF!</definedName>
    <definedName name="Z_AF537E87_E5DE_4792_8C82_FFA1FC35463A_.wvu.FilterData" localSheetId="25" hidden="1">#REF!</definedName>
    <definedName name="Z_AF537E87_E5DE_4792_8C82_FFA1FC35463A_.wvu.FilterData" localSheetId="7" hidden="1">#REF!</definedName>
    <definedName name="Z_AF537E87_E5DE_4792_8C82_FFA1FC35463A_.wvu.FilterData" localSheetId="4" hidden="1">#REF!</definedName>
    <definedName name="Z_AF537E87_E5DE_4792_8C82_FFA1FC35463A_.wvu.FilterData" localSheetId="5" hidden="1">#REF!</definedName>
    <definedName name="Z_AF537E87_E5DE_4792_8C82_FFA1FC35463A_.wvu.FilterData" localSheetId="2" hidden="1">#REF!</definedName>
    <definedName name="Z_AF537E87_E5DE_4792_8C82_FFA1FC35463A_.wvu.FilterData" localSheetId="3" hidden="1">#REF!</definedName>
    <definedName name="Z_AF537E87_E5DE_4792_8C82_FFA1FC35463A_.wvu.FilterData" hidden="1">#REF!</definedName>
    <definedName name="Z_B1269BAB_A618_45E5_8379_9ECE98405A14_.wvu.FilterData" localSheetId="21" hidden="1">#REF!</definedName>
    <definedName name="Z_B1269BAB_A618_45E5_8379_9ECE98405A14_.wvu.FilterData" localSheetId="12" hidden="1">#REF!</definedName>
    <definedName name="Z_B1269BAB_A618_45E5_8379_9ECE98405A14_.wvu.FilterData" localSheetId="13" hidden="1">#REF!</definedName>
    <definedName name="Z_B1269BAB_A618_45E5_8379_9ECE98405A14_.wvu.FilterData" localSheetId="14" hidden="1">#REF!</definedName>
    <definedName name="Z_B1269BAB_A618_45E5_8379_9ECE98405A14_.wvu.FilterData" localSheetId="16" hidden="1">#REF!</definedName>
    <definedName name="Z_B1269BAB_A618_45E5_8379_9ECE98405A14_.wvu.FilterData" localSheetId="15" hidden="1">#REF!</definedName>
    <definedName name="Z_B1269BAB_A618_45E5_8379_9ECE98405A14_.wvu.FilterData" localSheetId="17" hidden="1">#REF!</definedName>
    <definedName name="Z_B1269BAB_A618_45E5_8379_9ECE98405A14_.wvu.FilterData" localSheetId="11" hidden="1">#REF!</definedName>
    <definedName name="Z_B1269BAB_A618_45E5_8379_9ECE98405A14_.wvu.FilterData" localSheetId="10" hidden="1">#REF!</definedName>
    <definedName name="Z_B1269BAB_A618_45E5_8379_9ECE98405A14_.wvu.FilterData" localSheetId="22" hidden="1">#REF!</definedName>
    <definedName name="Z_B1269BAB_A618_45E5_8379_9ECE98405A14_.wvu.FilterData" localSheetId="24" hidden="1">#REF!</definedName>
    <definedName name="Z_B1269BAB_A618_45E5_8379_9ECE98405A14_.wvu.FilterData" localSheetId="23" hidden="1">#REF!</definedName>
    <definedName name="Z_B1269BAB_A618_45E5_8379_9ECE98405A14_.wvu.FilterData" localSheetId="20" hidden="1">#REF!</definedName>
    <definedName name="Z_B1269BAB_A618_45E5_8379_9ECE98405A14_.wvu.FilterData" localSheetId="19" hidden="1">#REF!</definedName>
    <definedName name="Z_B1269BAB_A618_45E5_8379_9ECE98405A14_.wvu.FilterData" localSheetId="26" hidden="1">#REF!</definedName>
    <definedName name="Z_B1269BAB_A618_45E5_8379_9ECE98405A14_.wvu.FilterData" localSheetId="27" hidden="1">#REF!</definedName>
    <definedName name="Z_B1269BAB_A618_45E5_8379_9ECE98405A14_.wvu.FilterData" localSheetId="25" hidden="1">#REF!</definedName>
    <definedName name="Z_B1269BAB_A618_45E5_8379_9ECE98405A14_.wvu.FilterData" localSheetId="7" hidden="1">#REF!</definedName>
    <definedName name="Z_B1269BAB_A618_45E5_8379_9ECE98405A14_.wvu.FilterData" localSheetId="4" hidden="1">#REF!</definedName>
    <definedName name="Z_B1269BAB_A618_45E5_8379_9ECE98405A14_.wvu.FilterData" localSheetId="5" hidden="1">#REF!</definedName>
    <definedName name="Z_B1269BAB_A618_45E5_8379_9ECE98405A14_.wvu.FilterData" localSheetId="2" hidden="1">#REF!</definedName>
    <definedName name="Z_B1269BAB_A618_45E5_8379_9ECE98405A14_.wvu.FilterData" localSheetId="3" hidden="1">#REF!</definedName>
    <definedName name="Z_B1269BAB_A618_45E5_8379_9ECE98405A14_.wvu.FilterData" hidden="1">#REF!</definedName>
    <definedName name="Z_B20EEB3D_E9E6_496E_8678_B417DDC74718_.wvu.FilterData" localSheetId="21" hidden="1">#REF!</definedName>
    <definedName name="Z_B20EEB3D_E9E6_496E_8678_B417DDC74718_.wvu.FilterData" localSheetId="12" hidden="1">#REF!</definedName>
    <definedName name="Z_B20EEB3D_E9E6_496E_8678_B417DDC74718_.wvu.FilterData" localSheetId="13" hidden="1">#REF!</definedName>
    <definedName name="Z_B20EEB3D_E9E6_496E_8678_B417DDC74718_.wvu.FilterData" localSheetId="14" hidden="1">#REF!</definedName>
    <definedName name="Z_B20EEB3D_E9E6_496E_8678_B417DDC74718_.wvu.FilterData" localSheetId="16" hidden="1">#REF!</definedName>
    <definedName name="Z_B20EEB3D_E9E6_496E_8678_B417DDC74718_.wvu.FilterData" localSheetId="15" hidden="1">#REF!</definedName>
    <definedName name="Z_B20EEB3D_E9E6_496E_8678_B417DDC74718_.wvu.FilterData" localSheetId="17" hidden="1">#REF!</definedName>
    <definedName name="Z_B20EEB3D_E9E6_496E_8678_B417DDC74718_.wvu.FilterData" localSheetId="11" hidden="1">#REF!</definedName>
    <definedName name="Z_B20EEB3D_E9E6_496E_8678_B417DDC74718_.wvu.FilterData" localSheetId="10" hidden="1">#REF!</definedName>
    <definedName name="Z_B20EEB3D_E9E6_496E_8678_B417DDC74718_.wvu.FilterData" localSheetId="22" hidden="1">#REF!</definedName>
    <definedName name="Z_B20EEB3D_E9E6_496E_8678_B417DDC74718_.wvu.FilterData" localSheetId="24" hidden="1">#REF!</definedName>
    <definedName name="Z_B20EEB3D_E9E6_496E_8678_B417DDC74718_.wvu.FilterData" localSheetId="23" hidden="1">#REF!</definedName>
    <definedName name="Z_B20EEB3D_E9E6_496E_8678_B417DDC74718_.wvu.FilterData" localSheetId="20" hidden="1">#REF!</definedName>
    <definedName name="Z_B20EEB3D_E9E6_496E_8678_B417DDC74718_.wvu.FilterData" localSheetId="19" hidden="1">#REF!</definedName>
    <definedName name="Z_B20EEB3D_E9E6_496E_8678_B417DDC74718_.wvu.FilterData" localSheetId="26" hidden="1">#REF!</definedName>
    <definedName name="Z_B20EEB3D_E9E6_496E_8678_B417DDC74718_.wvu.FilterData" localSheetId="27" hidden="1">#REF!</definedName>
    <definedName name="Z_B20EEB3D_E9E6_496E_8678_B417DDC74718_.wvu.FilterData" localSheetId="25" hidden="1">#REF!</definedName>
    <definedName name="Z_B20EEB3D_E9E6_496E_8678_B417DDC74718_.wvu.FilterData" localSheetId="7" hidden="1">#REF!</definedName>
    <definedName name="Z_B20EEB3D_E9E6_496E_8678_B417DDC74718_.wvu.FilterData" localSheetId="4" hidden="1">#REF!</definedName>
    <definedName name="Z_B20EEB3D_E9E6_496E_8678_B417DDC74718_.wvu.FilterData" localSheetId="5" hidden="1">#REF!</definedName>
    <definedName name="Z_B20EEB3D_E9E6_496E_8678_B417DDC74718_.wvu.FilterData" localSheetId="2" hidden="1">#REF!</definedName>
    <definedName name="Z_B20EEB3D_E9E6_496E_8678_B417DDC74718_.wvu.FilterData" localSheetId="3" hidden="1">#REF!</definedName>
    <definedName name="Z_B20EEB3D_E9E6_496E_8678_B417DDC74718_.wvu.FilterData" hidden="1">#REF!</definedName>
    <definedName name="Z_B4864B96_AD18_4114_8AFA_A8BAA8915737_.wvu.FilterData" localSheetId="21" hidden="1">#REF!</definedName>
    <definedName name="Z_B4864B96_AD18_4114_8AFA_A8BAA8915737_.wvu.FilterData" localSheetId="12" hidden="1">#REF!</definedName>
    <definedName name="Z_B4864B96_AD18_4114_8AFA_A8BAA8915737_.wvu.FilterData" localSheetId="13" hidden="1">#REF!</definedName>
    <definedName name="Z_B4864B96_AD18_4114_8AFA_A8BAA8915737_.wvu.FilterData" localSheetId="14" hidden="1">#REF!</definedName>
    <definedName name="Z_B4864B96_AD18_4114_8AFA_A8BAA8915737_.wvu.FilterData" localSheetId="16" hidden="1">#REF!</definedName>
    <definedName name="Z_B4864B96_AD18_4114_8AFA_A8BAA8915737_.wvu.FilterData" localSheetId="15" hidden="1">#REF!</definedName>
    <definedName name="Z_B4864B96_AD18_4114_8AFA_A8BAA8915737_.wvu.FilterData" localSheetId="17" hidden="1">#REF!</definedName>
    <definedName name="Z_B4864B96_AD18_4114_8AFA_A8BAA8915737_.wvu.FilterData" localSheetId="11" hidden="1">#REF!</definedName>
    <definedName name="Z_B4864B96_AD18_4114_8AFA_A8BAA8915737_.wvu.FilterData" localSheetId="10" hidden="1">#REF!</definedName>
    <definedName name="Z_B4864B96_AD18_4114_8AFA_A8BAA8915737_.wvu.FilterData" localSheetId="22" hidden="1">#REF!</definedName>
    <definedName name="Z_B4864B96_AD18_4114_8AFA_A8BAA8915737_.wvu.FilterData" localSheetId="24" hidden="1">#REF!</definedName>
    <definedName name="Z_B4864B96_AD18_4114_8AFA_A8BAA8915737_.wvu.FilterData" localSheetId="23" hidden="1">#REF!</definedName>
    <definedName name="Z_B4864B96_AD18_4114_8AFA_A8BAA8915737_.wvu.FilterData" localSheetId="20" hidden="1">#REF!</definedName>
    <definedName name="Z_B4864B96_AD18_4114_8AFA_A8BAA8915737_.wvu.FilterData" localSheetId="19" hidden="1">#REF!</definedName>
    <definedName name="Z_B4864B96_AD18_4114_8AFA_A8BAA8915737_.wvu.FilterData" localSheetId="26" hidden="1">#REF!</definedName>
    <definedName name="Z_B4864B96_AD18_4114_8AFA_A8BAA8915737_.wvu.FilterData" localSheetId="27" hidden="1">#REF!</definedName>
    <definedName name="Z_B4864B96_AD18_4114_8AFA_A8BAA8915737_.wvu.FilterData" localSheetId="25" hidden="1">#REF!</definedName>
    <definedName name="Z_B4864B96_AD18_4114_8AFA_A8BAA8915737_.wvu.FilterData" localSheetId="7" hidden="1">#REF!</definedName>
    <definedName name="Z_B4864B96_AD18_4114_8AFA_A8BAA8915737_.wvu.FilterData" localSheetId="4" hidden="1">#REF!</definedName>
    <definedName name="Z_B4864B96_AD18_4114_8AFA_A8BAA8915737_.wvu.FilterData" localSheetId="5" hidden="1">#REF!</definedName>
    <definedName name="Z_B4864B96_AD18_4114_8AFA_A8BAA8915737_.wvu.FilterData" localSheetId="2" hidden="1">#REF!</definedName>
    <definedName name="Z_B4864B96_AD18_4114_8AFA_A8BAA8915737_.wvu.FilterData" localSheetId="3" hidden="1">#REF!</definedName>
    <definedName name="Z_B4864B96_AD18_4114_8AFA_A8BAA8915737_.wvu.FilterData" hidden="1">#REF!</definedName>
    <definedName name="Z_B645C4A8_1830_42C7_9DBF_0F519499A6CE_.wvu.FilterData" localSheetId="21" hidden="1">#REF!</definedName>
    <definedName name="Z_B645C4A8_1830_42C7_9DBF_0F519499A6CE_.wvu.FilterData" localSheetId="12" hidden="1">#REF!</definedName>
    <definedName name="Z_B645C4A8_1830_42C7_9DBF_0F519499A6CE_.wvu.FilterData" localSheetId="13" hidden="1">#REF!</definedName>
    <definedName name="Z_B645C4A8_1830_42C7_9DBF_0F519499A6CE_.wvu.FilterData" localSheetId="14" hidden="1">#REF!</definedName>
    <definedName name="Z_B645C4A8_1830_42C7_9DBF_0F519499A6CE_.wvu.FilterData" localSheetId="16" hidden="1">#REF!</definedName>
    <definedName name="Z_B645C4A8_1830_42C7_9DBF_0F519499A6CE_.wvu.FilterData" localSheetId="15" hidden="1">#REF!</definedName>
    <definedName name="Z_B645C4A8_1830_42C7_9DBF_0F519499A6CE_.wvu.FilterData" localSheetId="17" hidden="1">#REF!</definedName>
    <definedName name="Z_B645C4A8_1830_42C7_9DBF_0F519499A6CE_.wvu.FilterData" localSheetId="11" hidden="1">#REF!</definedName>
    <definedName name="Z_B645C4A8_1830_42C7_9DBF_0F519499A6CE_.wvu.FilterData" localSheetId="10" hidden="1">#REF!</definedName>
    <definedName name="Z_B645C4A8_1830_42C7_9DBF_0F519499A6CE_.wvu.FilterData" localSheetId="22" hidden="1">#REF!</definedName>
    <definedName name="Z_B645C4A8_1830_42C7_9DBF_0F519499A6CE_.wvu.FilterData" localSheetId="24" hidden="1">#REF!</definedName>
    <definedName name="Z_B645C4A8_1830_42C7_9DBF_0F519499A6CE_.wvu.FilterData" localSheetId="23" hidden="1">#REF!</definedName>
    <definedName name="Z_B645C4A8_1830_42C7_9DBF_0F519499A6CE_.wvu.FilterData" localSheetId="20" hidden="1">#REF!</definedName>
    <definedName name="Z_B645C4A8_1830_42C7_9DBF_0F519499A6CE_.wvu.FilterData" localSheetId="19" hidden="1">#REF!</definedName>
    <definedName name="Z_B645C4A8_1830_42C7_9DBF_0F519499A6CE_.wvu.FilterData" localSheetId="26" hidden="1">#REF!</definedName>
    <definedName name="Z_B645C4A8_1830_42C7_9DBF_0F519499A6CE_.wvu.FilterData" localSheetId="27" hidden="1">#REF!</definedName>
    <definedName name="Z_B645C4A8_1830_42C7_9DBF_0F519499A6CE_.wvu.FilterData" localSheetId="25" hidden="1">#REF!</definedName>
    <definedName name="Z_B645C4A8_1830_42C7_9DBF_0F519499A6CE_.wvu.FilterData" localSheetId="7" hidden="1">#REF!</definedName>
    <definedName name="Z_B645C4A8_1830_42C7_9DBF_0F519499A6CE_.wvu.FilterData" localSheetId="4" hidden="1">#REF!</definedName>
    <definedName name="Z_B645C4A8_1830_42C7_9DBF_0F519499A6CE_.wvu.FilterData" localSheetId="5" hidden="1">#REF!</definedName>
    <definedName name="Z_B645C4A8_1830_42C7_9DBF_0F519499A6CE_.wvu.FilterData" localSheetId="2" hidden="1">#REF!</definedName>
    <definedName name="Z_B645C4A8_1830_42C7_9DBF_0F519499A6CE_.wvu.FilterData" localSheetId="3" hidden="1">#REF!</definedName>
    <definedName name="Z_B645C4A8_1830_42C7_9DBF_0F519499A6CE_.wvu.FilterData" hidden="1">#REF!</definedName>
    <definedName name="Z_B7475313_60A1_440E_A07B_6B97978B34F2_.wvu.FilterData" localSheetId="21" hidden="1">#REF!</definedName>
    <definedName name="Z_B7475313_60A1_440E_A07B_6B97978B34F2_.wvu.FilterData" localSheetId="12" hidden="1">#REF!</definedName>
    <definedName name="Z_B7475313_60A1_440E_A07B_6B97978B34F2_.wvu.FilterData" localSheetId="13" hidden="1">#REF!</definedName>
    <definedName name="Z_B7475313_60A1_440E_A07B_6B97978B34F2_.wvu.FilterData" localSheetId="14" hidden="1">#REF!</definedName>
    <definedName name="Z_B7475313_60A1_440E_A07B_6B97978B34F2_.wvu.FilterData" localSheetId="16" hidden="1">#REF!</definedName>
    <definedName name="Z_B7475313_60A1_440E_A07B_6B97978B34F2_.wvu.FilterData" localSheetId="15" hidden="1">#REF!</definedName>
    <definedName name="Z_B7475313_60A1_440E_A07B_6B97978B34F2_.wvu.FilterData" localSheetId="17" hidden="1">#REF!</definedName>
    <definedName name="Z_B7475313_60A1_440E_A07B_6B97978B34F2_.wvu.FilterData" localSheetId="11" hidden="1">#REF!</definedName>
    <definedName name="Z_B7475313_60A1_440E_A07B_6B97978B34F2_.wvu.FilterData" localSheetId="10" hidden="1">#REF!</definedName>
    <definedName name="Z_B7475313_60A1_440E_A07B_6B97978B34F2_.wvu.FilterData" localSheetId="22" hidden="1">#REF!</definedName>
    <definedName name="Z_B7475313_60A1_440E_A07B_6B97978B34F2_.wvu.FilterData" localSheetId="24" hidden="1">#REF!</definedName>
    <definedName name="Z_B7475313_60A1_440E_A07B_6B97978B34F2_.wvu.FilterData" localSheetId="23" hidden="1">#REF!</definedName>
    <definedName name="Z_B7475313_60A1_440E_A07B_6B97978B34F2_.wvu.FilterData" localSheetId="20" hidden="1">#REF!</definedName>
    <definedName name="Z_B7475313_60A1_440E_A07B_6B97978B34F2_.wvu.FilterData" localSheetId="19" hidden="1">#REF!</definedName>
    <definedName name="Z_B7475313_60A1_440E_A07B_6B97978B34F2_.wvu.FilterData" localSheetId="26" hidden="1">#REF!</definedName>
    <definedName name="Z_B7475313_60A1_440E_A07B_6B97978B34F2_.wvu.FilterData" localSheetId="27" hidden="1">#REF!</definedName>
    <definedName name="Z_B7475313_60A1_440E_A07B_6B97978B34F2_.wvu.FilterData" localSheetId="25" hidden="1">#REF!</definedName>
    <definedName name="Z_B7475313_60A1_440E_A07B_6B97978B34F2_.wvu.FilterData" localSheetId="7" hidden="1">#REF!</definedName>
    <definedName name="Z_B7475313_60A1_440E_A07B_6B97978B34F2_.wvu.FilterData" localSheetId="4" hidden="1">#REF!</definedName>
    <definedName name="Z_B7475313_60A1_440E_A07B_6B97978B34F2_.wvu.FilterData" localSheetId="5" hidden="1">#REF!</definedName>
    <definedName name="Z_B7475313_60A1_440E_A07B_6B97978B34F2_.wvu.FilterData" localSheetId="2" hidden="1">#REF!</definedName>
    <definedName name="Z_B7475313_60A1_440E_A07B_6B97978B34F2_.wvu.FilterData" localSheetId="3" hidden="1">#REF!</definedName>
    <definedName name="Z_B7475313_60A1_440E_A07B_6B97978B34F2_.wvu.FilterData" hidden="1">#REF!</definedName>
    <definedName name="Z_B891B51F_1CA2_435F_A819_8A494B08D3EE_.wvu.FilterData" localSheetId="21" hidden="1">#REF!</definedName>
    <definedName name="Z_B891B51F_1CA2_435F_A819_8A494B08D3EE_.wvu.FilterData" localSheetId="12" hidden="1">#REF!</definedName>
    <definedName name="Z_B891B51F_1CA2_435F_A819_8A494B08D3EE_.wvu.FilterData" localSheetId="13" hidden="1">#REF!</definedName>
    <definedName name="Z_B891B51F_1CA2_435F_A819_8A494B08D3EE_.wvu.FilterData" localSheetId="14" hidden="1">#REF!</definedName>
    <definedName name="Z_B891B51F_1CA2_435F_A819_8A494B08D3EE_.wvu.FilterData" localSheetId="16" hidden="1">#REF!</definedName>
    <definedName name="Z_B891B51F_1CA2_435F_A819_8A494B08D3EE_.wvu.FilterData" localSheetId="15" hidden="1">#REF!</definedName>
    <definedName name="Z_B891B51F_1CA2_435F_A819_8A494B08D3EE_.wvu.FilterData" localSheetId="17" hidden="1">#REF!</definedName>
    <definedName name="Z_B891B51F_1CA2_435F_A819_8A494B08D3EE_.wvu.FilterData" localSheetId="11" hidden="1">#REF!</definedName>
    <definedName name="Z_B891B51F_1CA2_435F_A819_8A494B08D3EE_.wvu.FilterData" localSheetId="10" hidden="1">#REF!</definedName>
    <definedName name="Z_B891B51F_1CA2_435F_A819_8A494B08D3EE_.wvu.FilterData" localSheetId="22" hidden="1">#REF!</definedName>
    <definedName name="Z_B891B51F_1CA2_435F_A819_8A494B08D3EE_.wvu.FilterData" localSheetId="24" hidden="1">#REF!</definedName>
    <definedName name="Z_B891B51F_1CA2_435F_A819_8A494B08D3EE_.wvu.FilterData" localSheetId="23" hidden="1">#REF!</definedName>
    <definedName name="Z_B891B51F_1CA2_435F_A819_8A494B08D3EE_.wvu.FilterData" localSheetId="20" hidden="1">#REF!</definedName>
    <definedName name="Z_B891B51F_1CA2_435F_A819_8A494B08D3EE_.wvu.FilterData" localSheetId="19" hidden="1">#REF!</definedName>
    <definedName name="Z_B891B51F_1CA2_435F_A819_8A494B08D3EE_.wvu.FilterData" localSheetId="26" hidden="1">#REF!</definedName>
    <definedName name="Z_B891B51F_1CA2_435F_A819_8A494B08D3EE_.wvu.FilterData" localSheetId="27" hidden="1">#REF!</definedName>
    <definedName name="Z_B891B51F_1CA2_435F_A819_8A494B08D3EE_.wvu.FilterData" localSheetId="25" hidden="1">#REF!</definedName>
    <definedName name="Z_B891B51F_1CA2_435F_A819_8A494B08D3EE_.wvu.FilterData" localSheetId="7" hidden="1">#REF!</definedName>
    <definedName name="Z_B891B51F_1CA2_435F_A819_8A494B08D3EE_.wvu.FilterData" localSheetId="4" hidden="1">#REF!</definedName>
    <definedName name="Z_B891B51F_1CA2_435F_A819_8A494B08D3EE_.wvu.FilterData" localSheetId="5" hidden="1">#REF!</definedName>
    <definedName name="Z_B891B51F_1CA2_435F_A819_8A494B08D3EE_.wvu.FilterData" localSheetId="2" hidden="1">#REF!</definedName>
    <definedName name="Z_B891B51F_1CA2_435F_A819_8A494B08D3EE_.wvu.FilterData" localSheetId="3" hidden="1">#REF!</definedName>
    <definedName name="Z_B891B51F_1CA2_435F_A819_8A494B08D3EE_.wvu.FilterData" hidden="1">#REF!</definedName>
    <definedName name="Z_B8CE2FA5_D3F2_48A0_8603_A3FBA2808CB4_.wvu.FilterData" localSheetId="21" hidden="1">#REF!</definedName>
    <definedName name="Z_B8CE2FA5_D3F2_48A0_8603_A3FBA2808CB4_.wvu.FilterData" localSheetId="12" hidden="1">#REF!</definedName>
    <definedName name="Z_B8CE2FA5_D3F2_48A0_8603_A3FBA2808CB4_.wvu.FilterData" localSheetId="13" hidden="1">#REF!</definedName>
    <definedName name="Z_B8CE2FA5_D3F2_48A0_8603_A3FBA2808CB4_.wvu.FilterData" localSheetId="14" hidden="1">#REF!</definedName>
    <definedName name="Z_B8CE2FA5_D3F2_48A0_8603_A3FBA2808CB4_.wvu.FilterData" localSheetId="16" hidden="1">#REF!</definedName>
    <definedName name="Z_B8CE2FA5_D3F2_48A0_8603_A3FBA2808CB4_.wvu.FilterData" localSheetId="15" hidden="1">#REF!</definedName>
    <definedName name="Z_B8CE2FA5_D3F2_48A0_8603_A3FBA2808CB4_.wvu.FilterData" localSheetId="17" hidden="1">#REF!</definedName>
    <definedName name="Z_B8CE2FA5_D3F2_48A0_8603_A3FBA2808CB4_.wvu.FilterData" localSheetId="11" hidden="1">#REF!</definedName>
    <definedName name="Z_B8CE2FA5_D3F2_48A0_8603_A3FBA2808CB4_.wvu.FilterData" localSheetId="10" hidden="1">#REF!</definedName>
    <definedName name="Z_B8CE2FA5_D3F2_48A0_8603_A3FBA2808CB4_.wvu.FilterData" localSheetId="22" hidden="1">#REF!</definedName>
    <definedName name="Z_B8CE2FA5_D3F2_48A0_8603_A3FBA2808CB4_.wvu.FilterData" localSheetId="24" hidden="1">#REF!</definedName>
    <definedName name="Z_B8CE2FA5_D3F2_48A0_8603_A3FBA2808CB4_.wvu.FilterData" localSheetId="23" hidden="1">#REF!</definedName>
    <definedName name="Z_B8CE2FA5_D3F2_48A0_8603_A3FBA2808CB4_.wvu.FilterData" localSheetId="20" hidden="1">#REF!</definedName>
    <definedName name="Z_B8CE2FA5_D3F2_48A0_8603_A3FBA2808CB4_.wvu.FilterData" localSheetId="19" hidden="1">#REF!</definedName>
    <definedName name="Z_B8CE2FA5_D3F2_48A0_8603_A3FBA2808CB4_.wvu.FilterData" localSheetId="26" hidden="1">#REF!</definedName>
    <definedName name="Z_B8CE2FA5_D3F2_48A0_8603_A3FBA2808CB4_.wvu.FilterData" localSheetId="27" hidden="1">#REF!</definedName>
    <definedName name="Z_B8CE2FA5_D3F2_48A0_8603_A3FBA2808CB4_.wvu.FilterData" localSheetId="25" hidden="1">#REF!</definedName>
    <definedName name="Z_B8CE2FA5_D3F2_48A0_8603_A3FBA2808CB4_.wvu.FilterData" localSheetId="7" hidden="1">#REF!</definedName>
    <definedName name="Z_B8CE2FA5_D3F2_48A0_8603_A3FBA2808CB4_.wvu.FilterData" localSheetId="4" hidden="1">#REF!</definedName>
    <definedName name="Z_B8CE2FA5_D3F2_48A0_8603_A3FBA2808CB4_.wvu.FilterData" localSheetId="5" hidden="1">#REF!</definedName>
    <definedName name="Z_B8CE2FA5_D3F2_48A0_8603_A3FBA2808CB4_.wvu.FilterData" localSheetId="2" hidden="1">#REF!</definedName>
    <definedName name="Z_B8CE2FA5_D3F2_48A0_8603_A3FBA2808CB4_.wvu.FilterData" localSheetId="3" hidden="1">#REF!</definedName>
    <definedName name="Z_B8CE2FA5_D3F2_48A0_8603_A3FBA2808CB4_.wvu.FilterData" hidden="1">#REF!</definedName>
    <definedName name="Z_B9837360_94DA_11D7_9C1E_0004231B06E7_.wvu.FilterData" localSheetId="21" hidden="1">#REF!</definedName>
    <definedName name="Z_B9837360_94DA_11D7_9C1E_0004231B06E7_.wvu.FilterData" localSheetId="12" hidden="1">#REF!</definedName>
    <definedName name="Z_B9837360_94DA_11D7_9C1E_0004231B06E7_.wvu.FilterData" localSheetId="13" hidden="1">#REF!</definedName>
    <definedName name="Z_B9837360_94DA_11D7_9C1E_0004231B06E7_.wvu.FilterData" localSheetId="14" hidden="1">#REF!</definedName>
    <definedName name="Z_B9837360_94DA_11D7_9C1E_0004231B06E7_.wvu.FilterData" localSheetId="16" hidden="1">#REF!</definedName>
    <definedName name="Z_B9837360_94DA_11D7_9C1E_0004231B06E7_.wvu.FilterData" localSheetId="15" hidden="1">#REF!</definedName>
    <definedName name="Z_B9837360_94DA_11D7_9C1E_0004231B06E7_.wvu.FilterData" localSheetId="17" hidden="1">#REF!</definedName>
    <definedName name="Z_B9837360_94DA_11D7_9C1E_0004231B06E7_.wvu.FilterData" localSheetId="11" hidden="1">#REF!</definedName>
    <definedName name="Z_B9837360_94DA_11D7_9C1E_0004231B06E7_.wvu.FilterData" localSheetId="10" hidden="1">#REF!</definedName>
    <definedName name="Z_B9837360_94DA_11D7_9C1E_0004231B06E7_.wvu.FilterData" localSheetId="22" hidden="1">#REF!</definedName>
    <definedName name="Z_B9837360_94DA_11D7_9C1E_0004231B06E7_.wvu.FilterData" localSheetId="24" hidden="1">#REF!</definedName>
    <definedName name="Z_B9837360_94DA_11D7_9C1E_0004231B06E7_.wvu.FilterData" localSheetId="23" hidden="1">#REF!</definedName>
    <definedName name="Z_B9837360_94DA_11D7_9C1E_0004231B06E7_.wvu.FilterData" localSheetId="20" hidden="1">#REF!</definedName>
    <definedName name="Z_B9837360_94DA_11D7_9C1E_0004231B06E7_.wvu.FilterData" localSheetId="19" hidden="1">#REF!</definedName>
    <definedName name="Z_B9837360_94DA_11D7_9C1E_0004231B06E7_.wvu.FilterData" localSheetId="26" hidden="1">#REF!</definedName>
    <definedName name="Z_B9837360_94DA_11D7_9C1E_0004231B06E7_.wvu.FilterData" localSheetId="27" hidden="1">#REF!</definedName>
    <definedName name="Z_B9837360_94DA_11D7_9C1E_0004231B06E7_.wvu.FilterData" localSheetId="25" hidden="1">#REF!</definedName>
    <definedName name="Z_B9837360_94DA_11D7_9C1E_0004231B06E7_.wvu.FilterData" localSheetId="7" hidden="1">#REF!</definedName>
    <definedName name="Z_B9837360_94DA_11D7_9C1E_0004231B06E7_.wvu.FilterData" localSheetId="4" hidden="1">#REF!</definedName>
    <definedName name="Z_B9837360_94DA_11D7_9C1E_0004231B06E7_.wvu.FilterData" localSheetId="5" hidden="1">#REF!</definedName>
    <definedName name="Z_B9837360_94DA_11D7_9C1E_0004231B06E7_.wvu.FilterData" localSheetId="2" hidden="1">#REF!</definedName>
    <definedName name="Z_B9837360_94DA_11D7_9C1E_0004231B06E7_.wvu.FilterData" localSheetId="3" hidden="1">#REF!</definedName>
    <definedName name="Z_B9837360_94DA_11D7_9C1E_0004231B06E7_.wvu.FilterData" hidden="1">#REF!</definedName>
    <definedName name="Z_BBE1AFA0_C6F6_4019_9D53_075DA4654337_.wvu.FilterData" localSheetId="21" hidden="1">#REF!</definedName>
    <definedName name="Z_BBE1AFA0_C6F6_4019_9D53_075DA4654337_.wvu.FilterData" localSheetId="12" hidden="1">#REF!</definedName>
    <definedName name="Z_BBE1AFA0_C6F6_4019_9D53_075DA4654337_.wvu.FilterData" localSheetId="13" hidden="1">#REF!</definedName>
    <definedName name="Z_BBE1AFA0_C6F6_4019_9D53_075DA4654337_.wvu.FilterData" localSheetId="14" hidden="1">#REF!</definedName>
    <definedName name="Z_BBE1AFA0_C6F6_4019_9D53_075DA4654337_.wvu.FilterData" localSheetId="16" hidden="1">#REF!</definedName>
    <definedName name="Z_BBE1AFA0_C6F6_4019_9D53_075DA4654337_.wvu.FilterData" localSheetId="15" hidden="1">#REF!</definedName>
    <definedName name="Z_BBE1AFA0_C6F6_4019_9D53_075DA4654337_.wvu.FilterData" localSheetId="17" hidden="1">#REF!</definedName>
    <definedName name="Z_BBE1AFA0_C6F6_4019_9D53_075DA4654337_.wvu.FilterData" localSheetId="11" hidden="1">#REF!</definedName>
    <definedName name="Z_BBE1AFA0_C6F6_4019_9D53_075DA4654337_.wvu.FilterData" localSheetId="10" hidden="1">#REF!</definedName>
    <definedName name="Z_BBE1AFA0_C6F6_4019_9D53_075DA4654337_.wvu.FilterData" localSheetId="22" hidden="1">#REF!</definedName>
    <definedName name="Z_BBE1AFA0_C6F6_4019_9D53_075DA4654337_.wvu.FilterData" localSheetId="24" hidden="1">#REF!</definedName>
    <definedName name="Z_BBE1AFA0_C6F6_4019_9D53_075DA4654337_.wvu.FilterData" localSheetId="23" hidden="1">#REF!</definedName>
    <definedName name="Z_BBE1AFA0_C6F6_4019_9D53_075DA4654337_.wvu.FilterData" localSheetId="20" hidden="1">#REF!</definedName>
    <definedName name="Z_BBE1AFA0_C6F6_4019_9D53_075DA4654337_.wvu.FilterData" localSheetId="19" hidden="1">#REF!</definedName>
    <definedName name="Z_BBE1AFA0_C6F6_4019_9D53_075DA4654337_.wvu.FilterData" localSheetId="26" hidden="1">#REF!</definedName>
    <definedName name="Z_BBE1AFA0_C6F6_4019_9D53_075DA4654337_.wvu.FilterData" localSheetId="27" hidden="1">#REF!</definedName>
    <definedName name="Z_BBE1AFA0_C6F6_4019_9D53_075DA4654337_.wvu.FilterData" localSheetId="25" hidden="1">#REF!</definedName>
    <definedName name="Z_BBE1AFA0_C6F6_4019_9D53_075DA4654337_.wvu.FilterData" localSheetId="7" hidden="1">#REF!</definedName>
    <definedName name="Z_BBE1AFA0_C6F6_4019_9D53_075DA4654337_.wvu.FilterData" localSheetId="4" hidden="1">#REF!</definedName>
    <definedName name="Z_BBE1AFA0_C6F6_4019_9D53_075DA4654337_.wvu.FilterData" localSheetId="5" hidden="1">#REF!</definedName>
    <definedName name="Z_BBE1AFA0_C6F6_4019_9D53_075DA4654337_.wvu.FilterData" localSheetId="2" hidden="1">#REF!</definedName>
    <definedName name="Z_BBE1AFA0_C6F6_4019_9D53_075DA4654337_.wvu.FilterData" localSheetId="3" hidden="1">#REF!</definedName>
    <definedName name="Z_BBE1AFA0_C6F6_4019_9D53_075DA4654337_.wvu.FilterData" hidden="1">#REF!</definedName>
    <definedName name="Z_BC0EED6A_3F15_49FF_A48F_B40AC74B528A_.wvu.FilterData" localSheetId="21" hidden="1">#REF!</definedName>
    <definedName name="Z_BC0EED6A_3F15_49FF_A48F_B40AC74B528A_.wvu.FilterData" localSheetId="12" hidden="1">#REF!</definedName>
    <definedName name="Z_BC0EED6A_3F15_49FF_A48F_B40AC74B528A_.wvu.FilterData" localSheetId="13" hidden="1">#REF!</definedName>
    <definedName name="Z_BC0EED6A_3F15_49FF_A48F_B40AC74B528A_.wvu.FilterData" localSheetId="14" hidden="1">#REF!</definedName>
    <definedName name="Z_BC0EED6A_3F15_49FF_A48F_B40AC74B528A_.wvu.FilterData" localSheetId="16" hidden="1">#REF!</definedName>
    <definedName name="Z_BC0EED6A_3F15_49FF_A48F_B40AC74B528A_.wvu.FilterData" localSheetId="15" hidden="1">#REF!</definedName>
    <definedName name="Z_BC0EED6A_3F15_49FF_A48F_B40AC74B528A_.wvu.FilterData" localSheetId="17" hidden="1">#REF!</definedName>
    <definedName name="Z_BC0EED6A_3F15_49FF_A48F_B40AC74B528A_.wvu.FilterData" localSheetId="11" hidden="1">#REF!</definedName>
    <definedName name="Z_BC0EED6A_3F15_49FF_A48F_B40AC74B528A_.wvu.FilterData" localSheetId="10" hidden="1">#REF!</definedName>
    <definedName name="Z_BC0EED6A_3F15_49FF_A48F_B40AC74B528A_.wvu.FilterData" localSheetId="22" hidden="1">#REF!</definedName>
    <definedName name="Z_BC0EED6A_3F15_49FF_A48F_B40AC74B528A_.wvu.FilterData" localSheetId="24" hidden="1">#REF!</definedName>
    <definedName name="Z_BC0EED6A_3F15_49FF_A48F_B40AC74B528A_.wvu.FilterData" localSheetId="23" hidden="1">#REF!</definedName>
    <definedName name="Z_BC0EED6A_3F15_49FF_A48F_B40AC74B528A_.wvu.FilterData" localSheetId="20" hidden="1">#REF!</definedName>
    <definedName name="Z_BC0EED6A_3F15_49FF_A48F_B40AC74B528A_.wvu.FilterData" localSheetId="19" hidden="1">#REF!</definedName>
    <definedName name="Z_BC0EED6A_3F15_49FF_A48F_B40AC74B528A_.wvu.FilterData" localSheetId="26" hidden="1">#REF!</definedName>
    <definedName name="Z_BC0EED6A_3F15_49FF_A48F_B40AC74B528A_.wvu.FilterData" localSheetId="27" hidden="1">#REF!</definedName>
    <definedName name="Z_BC0EED6A_3F15_49FF_A48F_B40AC74B528A_.wvu.FilterData" localSheetId="25" hidden="1">#REF!</definedName>
    <definedName name="Z_BC0EED6A_3F15_49FF_A48F_B40AC74B528A_.wvu.FilterData" localSheetId="7" hidden="1">#REF!</definedName>
    <definedName name="Z_BC0EED6A_3F15_49FF_A48F_B40AC74B528A_.wvu.FilterData" localSheetId="4" hidden="1">#REF!</definedName>
    <definedName name="Z_BC0EED6A_3F15_49FF_A48F_B40AC74B528A_.wvu.FilterData" localSheetId="5" hidden="1">#REF!</definedName>
    <definedName name="Z_BC0EED6A_3F15_49FF_A48F_B40AC74B528A_.wvu.FilterData" localSheetId="2" hidden="1">#REF!</definedName>
    <definedName name="Z_BC0EED6A_3F15_49FF_A48F_B40AC74B528A_.wvu.FilterData" localSheetId="3" hidden="1">#REF!</definedName>
    <definedName name="Z_BC0EED6A_3F15_49FF_A48F_B40AC74B528A_.wvu.FilterData" hidden="1">#REF!</definedName>
    <definedName name="Z_BC4212E8_2D54_48E9_A2B4_66875F86EBEF_.wvu.FilterData" localSheetId="21" hidden="1">#REF!</definedName>
    <definedName name="Z_BC4212E8_2D54_48E9_A2B4_66875F86EBEF_.wvu.FilterData" localSheetId="12" hidden="1">#REF!</definedName>
    <definedName name="Z_BC4212E8_2D54_48E9_A2B4_66875F86EBEF_.wvu.FilterData" localSheetId="13" hidden="1">#REF!</definedName>
    <definedName name="Z_BC4212E8_2D54_48E9_A2B4_66875F86EBEF_.wvu.FilterData" localSheetId="14" hidden="1">#REF!</definedName>
    <definedName name="Z_BC4212E8_2D54_48E9_A2B4_66875F86EBEF_.wvu.FilterData" localSheetId="16" hidden="1">#REF!</definedName>
    <definedName name="Z_BC4212E8_2D54_48E9_A2B4_66875F86EBEF_.wvu.FilterData" localSheetId="15" hidden="1">#REF!</definedName>
    <definedName name="Z_BC4212E8_2D54_48E9_A2B4_66875F86EBEF_.wvu.FilterData" localSheetId="17" hidden="1">#REF!</definedName>
    <definedName name="Z_BC4212E8_2D54_48E9_A2B4_66875F86EBEF_.wvu.FilterData" localSheetId="11" hidden="1">#REF!</definedName>
    <definedName name="Z_BC4212E8_2D54_48E9_A2B4_66875F86EBEF_.wvu.FilterData" localSheetId="10" hidden="1">#REF!</definedName>
    <definedName name="Z_BC4212E8_2D54_48E9_A2B4_66875F86EBEF_.wvu.FilterData" localSheetId="22" hidden="1">#REF!</definedName>
    <definedName name="Z_BC4212E8_2D54_48E9_A2B4_66875F86EBEF_.wvu.FilterData" localSheetId="24" hidden="1">#REF!</definedName>
    <definedName name="Z_BC4212E8_2D54_48E9_A2B4_66875F86EBEF_.wvu.FilterData" localSheetId="23" hidden="1">#REF!</definedName>
    <definedName name="Z_BC4212E8_2D54_48E9_A2B4_66875F86EBEF_.wvu.FilterData" localSheetId="20" hidden="1">#REF!</definedName>
    <definedName name="Z_BC4212E8_2D54_48E9_A2B4_66875F86EBEF_.wvu.FilterData" localSheetId="19" hidden="1">#REF!</definedName>
    <definedName name="Z_BC4212E8_2D54_48E9_A2B4_66875F86EBEF_.wvu.FilterData" localSheetId="26" hidden="1">#REF!</definedName>
    <definedName name="Z_BC4212E8_2D54_48E9_A2B4_66875F86EBEF_.wvu.FilterData" localSheetId="27" hidden="1">#REF!</definedName>
    <definedName name="Z_BC4212E8_2D54_48E9_A2B4_66875F86EBEF_.wvu.FilterData" localSheetId="25" hidden="1">#REF!</definedName>
    <definedName name="Z_BC4212E8_2D54_48E9_A2B4_66875F86EBEF_.wvu.FilterData" localSheetId="7" hidden="1">#REF!</definedName>
    <definedName name="Z_BC4212E8_2D54_48E9_A2B4_66875F86EBEF_.wvu.FilterData" localSheetId="4" hidden="1">#REF!</definedName>
    <definedName name="Z_BC4212E8_2D54_48E9_A2B4_66875F86EBEF_.wvu.FilterData" localSheetId="5" hidden="1">#REF!</definedName>
    <definedName name="Z_BC4212E8_2D54_48E9_A2B4_66875F86EBEF_.wvu.FilterData" localSheetId="2" hidden="1">#REF!</definedName>
    <definedName name="Z_BC4212E8_2D54_48E9_A2B4_66875F86EBEF_.wvu.FilterData" localSheetId="3" hidden="1">#REF!</definedName>
    <definedName name="Z_BC4212E8_2D54_48E9_A2B4_66875F86EBEF_.wvu.FilterData" hidden="1">#REF!</definedName>
    <definedName name="Z_BE48B5BF_102F_4FB8_8807_DA126440E01B_.wvu.FilterData" localSheetId="21" hidden="1">#REF!</definedName>
    <definedName name="Z_BE48B5BF_102F_4FB8_8807_DA126440E01B_.wvu.FilterData" localSheetId="12" hidden="1">#REF!</definedName>
    <definedName name="Z_BE48B5BF_102F_4FB8_8807_DA126440E01B_.wvu.FilterData" localSheetId="13" hidden="1">#REF!</definedName>
    <definedName name="Z_BE48B5BF_102F_4FB8_8807_DA126440E01B_.wvu.FilterData" localSheetId="14" hidden="1">#REF!</definedName>
    <definedName name="Z_BE48B5BF_102F_4FB8_8807_DA126440E01B_.wvu.FilterData" localSheetId="16" hidden="1">#REF!</definedName>
    <definedName name="Z_BE48B5BF_102F_4FB8_8807_DA126440E01B_.wvu.FilterData" localSheetId="15" hidden="1">#REF!</definedName>
    <definedName name="Z_BE48B5BF_102F_4FB8_8807_DA126440E01B_.wvu.FilterData" localSheetId="17" hidden="1">#REF!</definedName>
    <definedName name="Z_BE48B5BF_102F_4FB8_8807_DA126440E01B_.wvu.FilterData" localSheetId="11" hidden="1">#REF!</definedName>
    <definedName name="Z_BE48B5BF_102F_4FB8_8807_DA126440E01B_.wvu.FilterData" localSheetId="10" hidden="1">#REF!</definedName>
    <definedName name="Z_BE48B5BF_102F_4FB8_8807_DA126440E01B_.wvu.FilterData" localSheetId="22" hidden="1">#REF!</definedName>
    <definedName name="Z_BE48B5BF_102F_4FB8_8807_DA126440E01B_.wvu.FilterData" localSheetId="24" hidden="1">#REF!</definedName>
    <definedName name="Z_BE48B5BF_102F_4FB8_8807_DA126440E01B_.wvu.FilterData" localSheetId="23" hidden="1">#REF!</definedName>
    <definedName name="Z_BE48B5BF_102F_4FB8_8807_DA126440E01B_.wvu.FilterData" localSheetId="20" hidden="1">#REF!</definedName>
    <definedName name="Z_BE48B5BF_102F_4FB8_8807_DA126440E01B_.wvu.FilterData" localSheetId="19" hidden="1">#REF!</definedName>
    <definedName name="Z_BE48B5BF_102F_4FB8_8807_DA126440E01B_.wvu.FilterData" localSheetId="26" hidden="1">#REF!</definedName>
    <definedName name="Z_BE48B5BF_102F_4FB8_8807_DA126440E01B_.wvu.FilterData" localSheetId="27" hidden="1">#REF!</definedName>
    <definedName name="Z_BE48B5BF_102F_4FB8_8807_DA126440E01B_.wvu.FilterData" localSheetId="25" hidden="1">#REF!</definedName>
    <definedName name="Z_BE48B5BF_102F_4FB8_8807_DA126440E01B_.wvu.FilterData" localSheetId="7" hidden="1">#REF!</definedName>
    <definedName name="Z_BE48B5BF_102F_4FB8_8807_DA126440E01B_.wvu.FilterData" localSheetId="4" hidden="1">#REF!</definedName>
    <definedName name="Z_BE48B5BF_102F_4FB8_8807_DA126440E01B_.wvu.FilterData" localSheetId="5" hidden="1">#REF!</definedName>
    <definedName name="Z_BE48B5BF_102F_4FB8_8807_DA126440E01B_.wvu.FilterData" localSheetId="2" hidden="1">#REF!</definedName>
    <definedName name="Z_BE48B5BF_102F_4FB8_8807_DA126440E01B_.wvu.FilterData" localSheetId="3" hidden="1">#REF!</definedName>
    <definedName name="Z_BE48B5BF_102F_4FB8_8807_DA126440E01B_.wvu.FilterData" hidden="1">#REF!</definedName>
    <definedName name="Z_BE949522_4A35_4352_9A91_0CE0E28D3461_.wvu.FilterData" localSheetId="21" hidden="1">#REF!</definedName>
    <definedName name="Z_BE949522_4A35_4352_9A91_0CE0E28D3461_.wvu.FilterData" localSheetId="12" hidden="1">#REF!</definedName>
    <definedName name="Z_BE949522_4A35_4352_9A91_0CE0E28D3461_.wvu.FilterData" localSheetId="13" hidden="1">#REF!</definedName>
    <definedName name="Z_BE949522_4A35_4352_9A91_0CE0E28D3461_.wvu.FilterData" localSheetId="14" hidden="1">#REF!</definedName>
    <definedName name="Z_BE949522_4A35_4352_9A91_0CE0E28D3461_.wvu.FilterData" localSheetId="16" hidden="1">#REF!</definedName>
    <definedName name="Z_BE949522_4A35_4352_9A91_0CE0E28D3461_.wvu.FilterData" localSheetId="15" hidden="1">#REF!</definedName>
    <definedName name="Z_BE949522_4A35_4352_9A91_0CE0E28D3461_.wvu.FilterData" localSheetId="17" hidden="1">#REF!</definedName>
    <definedName name="Z_BE949522_4A35_4352_9A91_0CE0E28D3461_.wvu.FilterData" localSheetId="11" hidden="1">#REF!</definedName>
    <definedName name="Z_BE949522_4A35_4352_9A91_0CE0E28D3461_.wvu.FilterData" localSheetId="10" hidden="1">#REF!</definedName>
    <definedName name="Z_BE949522_4A35_4352_9A91_0CE0E28D3461_.wvu.FilterData" localSheetId="22" hidden="1">#REF!</definedName>
    <definedName name="Z_BE949522_4A35_4352_9A91_0CE0E28D3461_.wvu.FilterData" localSheetId="24" hidden="1">#REF!</definedName>
    <definedName name="Z_BE949522_4A35_4352_9A91_0CE0E28D3461_.wvu.FilterData" localSheetId="23" hidden="1">#REF!</definedName>
    <definedName name="Z_BE949522_4A35_4352_9A91_0CE0E28D3461_.wvu.FilterData" localSheetId="20" hidden="1">#REF!</definedName>
    <definedName name="Z_BE949522_4A35_4352_9A91_0CE0E28D3461_.wvu.FilterData" localSheetId="19" hidden="1">#REF!</definedName>
    <definedName name="Z_BE949522_4A35_4352_9A91_0CE0E28D3461_.wvu.FilterData" localSheetId="26" hidden="1">#REF!</definedName>
    <definedName name="Z_BE949522_4A35_4352_9A91_0CE0E28D3461_.wvu.FilterData" localSheetId="27" hidden="1">#REF!</definedName>
    <definedName name="Z_BE949522_4A35_4352_9A91_0CE0E28D3461_.wvu.FilterData" localSheetId="25" hidden="1">#REF!</definedName>
    <definedName name="Z_BE949522_4A35_4352_9A91_0CE0E28D3461_.wvu.FilterData" localSheetId="7" hidden="1">#REF!</definedName>
    <definedName name="Z_BE949522_4A35_4352_9A91_0CE0E28D3461_.wvu.FilterData" localSheetId="4" hidden="1">#REF!</definedName>
    <definedName name="Z_BE949522_4A35_4352_9A91_0CE0E28D3461_.wvu.FilterData" localSheetId="5" hidden="1">#REF!</definedName>
    <definedName name="Z_BE949522_4A35_4352_9A91_0CE0E28D3461_.wvu.FilterData" localSheetId="2" hidden="1">#REF!</definedName>
    <definedName name="Z_BE949522_4A35_4352_9A91_0CE0E28D3461_.wvu.FilterData" localSheetId="3" hidden="1">#REF!</definedName>
    <definedName name="Z_BE949522_4A35_4352_9A91_0CE0E28D3461_.wvu.FilterData" hidden="1">#REF!</definedName>
    <definedName name="Z_C1310828_8567_4952_A9D3_7183F1221321_.wvu.FilterData" localSheetId="21" hidden="1">#REF!</definedName>
    <definedName name="Z_C1310828_8567_4952_A9D3_7183F1221321_.wvu.FilterData" localSheetId="12" hidden="1">#REF!</definedName>
    <definedName name="Z_C1310828_8567_4952_A9D3_7183F1221321_.wvu.FilterData" localSheetId="13" hidden="1">#REF!</definedName>
    <definedName name="Z_C1310828_8567_4952_A9D3_7183F1221321_.wvu.FilterData" localSheetId="14" hidden="1">#REF!</definedName>
    <definedName name="Z_C1310828_8567_4952_A9D3_7183F1221321_.wvu.FilterData" localSheetId="16" hidden="1">#REF!</definedName>
    <definedName name="Z_C1310828_8567_4952_A9D3_7183F1221321_.wvu.FilterData" localSheetId="15" hidden="1">#REF!</definedName>
    <definedName name="Z_C1310828_8567_4952_A9D3_7183F1221321_.wvu.FilterData" localSheetId="17" hidden="1">#REF!</definedName>
    <definedName name="Z_C1310828_8567_4952_A9D3_7183F1221321_.wvu.FilterData" localSheetId="11" hidden="1">#REF!</definedName>
    <definedName name="Z_C1310828_8567_4952_A9D3_7183F1221321_.wvu.FilterData" localSheetId="10" hidden="1">#REF!</definedName>
    <definedName name="Z_C1310828_8567_4952_A9D3_7183F1221321_.wvu.FilterData" localSheetId="22" hidden="1">#REF!</definedName>
    <definedName name="Z_C1310828_8567_4952_A9D3_7183F1221321_.wvu.FilterData" localSheetId="24" hidden="1">#REF!</definedName>
    <definedName name="Z_C1310828_8567_4952_A9D3_7183F1221321_.wvu.FilterData" localSheetId="23" hidden="1">#REF!</definedName>
    <definedName name="Z_C1310828_8567_4952_A9D3_7183F1221321_.wvu.FilterData" localSheetId="20" hidden="1">#REF!</definedName>
    <definedName name="Z_C1310828_8567_4952_A9D3_7183F1221321_.wvu.FilterData" localSheetId="19" hidden="1">#REF!</definedName>
    <definedName name="Z_C1310828_8567_4952_A9D3_7183F1221321_.wvu.FilterData" localSheetId="26" hidden="1">#REF!</definedName>
    <definedName name="Z_C1310828_8567_4952_A9D3_7183F1221321_.wvu.FilterData" localSheetId="27" hidden="1">#REF!</definedName>
    <definedName name="Z_C1310828_8567_4952_A9D3_7183F1221321_.wvu.FilterData" localSheetId="25" hidden="1">#REF!</definedName>
    <definedName name="Z_C1310828_8567_4952_A9D3_7183F1221321_.wvu.FilterData" localSheetId="7" hidden="1">#REF!</definedName>
    <definedName name="Z_C1310828_8567_4952_A9D3_7183F1221321_.wvu.FilterData" localSheetId="4" hidden="1">#REF!</definedName>
    <definedName name="Z_C1310828_8567_4952_A9D3_7183F1221321_.wvu.FilterData" localSheetId="5" hidden="1">#REF!</definedName>
    <definedName name="Z_C1310828_8567_4952_A9D3_7183F1221321_.wvu.FilterData" localSheetId="2" hidden="1">#REF!</definedName>
    <definedName name="Z_C1310828_8567_4952_A9D3_7183F1221321_.wvu.FilterData" localSheetId="3" hidden="1">#REF!</definedName>
    <definedName name="Z_C1310828_8567_4952_A9D3_7183F1221321_.wvu.FilterData" hidden="1">#REF!</definedName>
    <definedName name="Z_C581774C_2FCD_4906_B930_CCB3F9F9A50B_.wvu.FilterData" localSheetId="21" hidden="1">#REF!</definedName>
    <definedName name="Z_C581774C_2FCD_4906_B930_CCB3F9F9A50B_.wvu.FilterData" localSheetId="12" hidden="1">#REF!</definedName>
    <definedName name="Z_C581774C_2FCD_4906_B930_CCB3F9F9A50B_.wvu.FilterData" localSheetId="13" hidden="1">#REF!</definedName>
    <definedName name="Z_C581774C_2FCD_4906_B930_CCB3F9F9A50B_.wvu.FilterData" localSheetId="14" hidden="1">#REF!</definedName>
    <definedName name="Z_C581774C_2FCD_4906_B930_CCB3F9F9A50B_.wvu.FilterData" localSheetId="16" hidden="1">#REF!</definedName>
    <definedName name="Z_C581774C_2FCD_4906_B930_CCB3F9F9A50B_.wvu.FilterData" localSheetId="15" hidden="1">#REF!</definedName>
    <definedName name="Z_C581774C_2FCD_4906_B930_CCB3F9F9A50B_.wvu.FilterData" localSheetId="17" hidden="1">#REF!</definedName>
    <definedName name="Z_C581774C_2FCD_4906_B930_CCB3F9F9A50B_.wvu.FilterData" localSheetId="11" hidden="1">#REF!</definedName>
    <definedName name="Z_C581774C_2FCD_4906_B930_CCB3F9F9A50B_.wvu.FilterData" localSheetId="10" hidden="1">#REF!</definedName>
    <definedName name="Z_C581774C_2FCD_4906_B930_CCB3F9F9A50B_.wvu.FilterData" localSheetId="22" hidden="1">#REF!</definedName>
    <definedName name="Z_C581774C_2FCD_4906_B930_CCB3F9F9A50B_.wvu.FilterData" localSheetId="24" hidden="1">#REF!</definedName>
    <definedName name="Z_C581774C_2FCD_4906_B930_CCB3F9F9A50B_.wvu.FilterData" localSheetId="23" hidden="1">#REF!</definedName>
    <definedName name="Z_C581774C_2FCD_4906_B930_CCB3F9F9A50B_.wvu.FilterData" localSheetId="20" hidden="1">#REF!</definedName>
    <definedName name="Z_C581774C_2FCD_4906_B930_CCB3F9F9A50B_.wvu.FilterData" localSheetId="19" hidden="1">#REF!</definedName>
    <definedName name="Z_C581774C_2FCD_4906_B930_CCB3F9F9A50B_.wvu.FilterData" localSheetId="26" hidden="1">#REF!</definedName>
    <definedName name="Z_C581774C_2FCD_4906_B930_CCB3F9F9A50B_.wvu.FilterData" localSheetId="27" hidden="1">#REF!</definedName>
    <definedName name="Z_C581774C_2FCD_4906_B930_CCB3F9F9A50B_.wvu.FilterData" localSheetId="25" hidden="1">#REF!</definedName>
    <definedName name="Z_C581774C_2FCD_4906_B930_CCB3F9F9A50B_.wvu.FilterData" localSheetId="7" hidden="1">#REF!</definedName>
    <definedName name="Z_C581774C_2FCD_4906_B930_CCB3F9F9A50B_.wvu.FilterData" localSheetId="4" hidden="1">#REF!</definedName>
    <definedName name="Z_C581774C_2FCD_4906_B930_CCB3F9F9A50B_.wvu.FilterData" localSheetId="5" hidden="1">#REF!</definedName>
    <definedName name="Z_C581774C_2FCD_4906_B930_CCB3F9F9A50B_.wvu.FilterData" localSheetId="2" hidden="1">#REF!</definedName>
    <definedName name="Z_C581774C_2FCD_4906_B930_CCB3F9F9A50B_.wvu.FilterData" localSheetId="3" hidden="1">#REF!</definedName>
    <definedName name="Z_C581774C_2FCD_4906_B930_CCB3F9F9A50B_.wvu.FilterData" hidden="1">#REF!</definedName>
    <definedName name="Z_C67C9A44_7556_4756_AC39_E00F137116ED_.wvu.FilterData" localSheetId="21" hidden="1">#REF!</definedName>
    <definedName name="Z_C67C9A44_7556_4756_AC39_E00F137116ED_.wvu.FilterData" localSheetId="12" hidden="1">#REF!</definedName>
    <definedName name="Z_C67C9A44_7556_4756_AC39_E00F137116ED_.wvu.FilterData" localSheetId="13" hidden="1">#REF!</definedName>
    <definedName name="Z_C67C9A44_7556_4756_AC39_E00F137116ED_.wvu.FilterData" localSheetId="14" hidden="1">#REF!</definedName>
    <definedName name="Z_C67C9A44_7556_4756_AC39_E00F137116ED_.wvu.FilterData" localSheetId="16" hidden="1">#REF!</definedName>
    <definedName name="Z_C67C9A44_7556_4756_AC39_E00F137116ED_.wvu.FilterData" localSheetId="15" hidden="1">#REF!</definedName>
    <definedName name="Z_C67C9A44_7556_4756_AC39_E00F137116ED_.wvu.FilterData" localSheetId="17" hidden="1">#REF!</definedName>
    <definedName name="Z_C67C9A44_7556_4756_AC39_E00F137116ED_.wvu.FilterData" localSheetId="11" hidden="1">#REF!</definedName>
    <definedName name="Z_C67C9A44_7556_4756_AC39_E00F137116ED_.wvu.FilterData" localSheetId="10" hidden="1">#REF!</definedName>
    <definedName name="Z_C67C9A44_7556_4756_AC39_E00F137116ED_.wvu.FilterData" localSheetId="22" hidden="1">#REF!</definedName>
    <definedName name="Z_C67C9A44_7556_4756_AC39_E00F137116ED_.wvu.FilterData" localSheetId="24" hidden="1">#REF!</definedName>
    <definedName name="Z_C67C9A44_7556_4756_AC39_E00F137116ED_.wvu.FilterData" localSheetId="23" hidden="1">#REF!</definedName>
    <definedName name="Z_C67C9A44_7556_4756_AC39_E00F137116ED_.wvu.FilterData" localSheetId="20" hidden="1">#REF!</definedName>
    <definedName name="Z_C67C9A44_7556_4756_AC39_E00F137116ED_.wvu.FilterData" localSheetId="19" hidden="1">#REF!</definedName>
    <definedName name="Z_C67C9A44_7556_4756_AC39_E00F137116ED_.wvu.FilterData" localSheetId="26" hidden="1">#REF!</definedName>
    <definedName name="Z_C67C9A44_7556_4756_AC39_E00F137116ED_.wvu.FilterData" localSheetId="27" hidden="1">#REF!</definedName>
    <definedName name="Z_C67C9A44_7556_4756_AC39_E00F137116ED_.wvu.FilterData" localSheetId="25" hidden="1">#REF!</definedName>
    <definedName name="Z_C67C9A44_7556_4756_AC39_E00F137116ED_.wvu.FilterData" localSheetId="7" hidden="1">#REF!</definedName>
    <definedName name="Z_C67C9A44_7556_4756_AC39_E00F137116ED_.wvu.FilterData" localSheetId="4" hidden="1">#REF!</definedName>
    <definedName name="Z_C67C9A44_7556_4756_AC39_E00F137116ED_.wvu.FilterData" localSheetId="5" hidden="1">#REF!</definedName>
    <definedName name="Z_C67C9A44_7556_4756_AC39_E00F137116ED_.wvu.FilterData" localSheetId="2" hidden="1">#REF!</definedName>
    <definedName name="Z_C67C9A44_7556_4756_AC39_E00F137116ED_.wvu.FilterData" localSheetId="3" hidden="1">#REF!</definedName>
    <definedName name="Z_C67C9A44_7556_4756_AC39_E00F137116ED_.wvu.FilterData" hidden="1">#REF!</definedName>
    <definedName name="Z_C908089F_9A5A_11D7_9C1E_0004231B06E7_.wvu.FilterData" localSheetId="21" hidden="1">#REF!</definedName>
    <definedName name="Z_C908089F_9A5A_11D7_9C1E_0004231B06E7_.wvu.FilterData" localSheetId="12" hidden="1">#REF!</definedName>
    <definedName name="Z_C908089F_9A5A_11D7_9C1E_0004231B06E7_.wvu.FilterData" localSheetId="13" hidden="1">#REF!</definedName>
    <definedName name="Z_C908089F_9A5A_11D7_9C1E_0004231B06E7_.wvu.FilterData" localSheetId="14" hidden="1">#REF!</definedName>
    <definedName name="Z_C908089F_9A5A_11D7_9C1E_0004231B06E7_.wvu.FilterData" localSheetId="16" hidden="1">#REF!</definedName>
    <definedName name="Z_C908089F_9A5A_11D7_9C1E_0004231B06E7_.wvu.FilterData" localSheetId="15" hidden="1">#REF!</definedName>
    <definedName name="Z_C908089F_9A5A_11D7_9C1E_0004231B06E7_.wvu.FilterData" localSheetId="17" hidden="1">#REF!</definedName>
    <definedName name="Z_C908089F_9A5A_11D7_9C1E_0004231B06E7_.wvu.FilterData" localSheetId="11" hidden="1">#REF!</definedName>
    <definedName name="Z_C908089F_9A5A_11D7_9C1E_0004231B06E7_.wvu.FilterData" localSheetId="10" hidden="1">#REF!</definedName>
    <definedName name="Z_C908089F_9A5A_11D7_9C1E_0004231B06E7_.wvu.FilterData" localSheetId="22" hidden="1">#REF!</definedName>
    <definedName name="Z_C908089F_9A5A_11D7_9C1E_0004231B06E7_.wvu.FilterData" localSheetId="24" hidden="1">#REF!</definedName>
    <definedName name="Z_C908089F_9A5A_11D7_9C1E_0004231B06E7_.wvu.FilterData" localSheetId="23" hidden="1">#REF!</definedName>
    <definedName name="Z_C908089F_9A5A_11D7_9C1E_0004231B06E7_.wvu.FilterData" localSheetId="20" hidden="1">#REF!</definedName>
    <definedName name="Z_C908089F_9A5A_11D7_9C1E_0004231B06E7_.wvu.FilterData" localSheetId="19" hidden="1">#REF!</definedName>
    <definedName name="Z_C908089F_9A5A_11D7_9C1E_0004231B06E7_.wvu.FilterData" localSheetId="26" hidden="1">#REF!</definedName>
    <definedName name="Z_C908089F_9A5A_11D7_9C1E_0004231B06E7_.wvu.FilterData" localSheetId="27" hidden="1">#REF!</definedName>
    <definedName name="Z_C908089F_9A5A_11D7_9C1E_0004231B06E7_.wvu.FilterData" localSheetId="25" hidden="1">#REF!</definedName>
    <definedName name="Z_C908089F_9A5A_11D7_9C1E_0004231B06E7_.wvu.FilterData" localSheetId="7" hidden="1">#REF!</definedName>
    <definedName name="Z_C908089F_9A5A_11D7_9C1E_0004231B06E7_.wvu.FilterData" localSheetId="4" hidden="1">#REF!</definedName>
    <definedName name="Z_C908089F_9A5A_11D7_9C1E_0004231B06E7_.wvu.FilterData" localSheetId="5" hidden="1">#REF!</definedName>
    <definedName name="Z_C908089F_9A5A_11D7_9C1E_0004231B06E7_.wvu.FilterData" localSheetId="2" hidden="1">#REF!</definedName>
    <definedName name="Z_C908089F_9A5A_11D7_9C1E_0004231B06E7_.wvu.FilterData" localSheetId="3" hidden="1">#REF!</definedName>
    <definedName name="Z_C908089F_9A5A_11D7_9C1E_0004231B06E7_.wvu.FilterData" hidden="1">#REF!</definedName>
    <definedName name="Z_C942EE3A_8DBF_41D7_ADAF_F43C01F31E23_.wvu.FilterData" localSheetId="21" hidden="1">#REF!</definedName>
    <definedName name="Z_C942EE3A_8DBF_41D7_ADAF_F43C01F31E23_.wvu.FilterData" localSheetId="12" hidden="1">#REF!</definedName>
    <definedName name="Z_C942EE3A_8DBF_41D7_ADAF_F43C01F31E23_.wvu.FilterData" localSheetId="13" hidden="1">#REF!</definedName>
    <definedName name="Z_C942EE3A_8DBF_41D7_ADAF_F43C01F31E23_.wvu.FilterData" localSheetId="14" hidden="1">#REF!</definedName>
    <definedName name="Z_C942EE3A_8DBF_41D7_ADAF_F43C01F31E23_.wvu.FilterData" localSheetId="16" hidden="1">#REF!</definedName>
    <definedName name="Z_C942EE3A_8DBF_41D7_ADAF_F43C01F31E23_.wvu.FilterData" localSheetId="15" hidden="1">#REF!</definedName>
    <definedName name="Z_C942EE3A_8DBF_41D7_ADAF_F43C01F31E23_.wvu.FilterData" localSheetId="17" hidden="1">#REF!</definedName>
    <definedName name="Z_C942EE3A_8DBF_41D7_ADAF_F43C01F31E23_.wvu.FilterData" localSheetId="11" hidden="1">#REF!</definedName>
    <definedName name="Z_C942EE3A_8DBF_41D7_ADAF_F43C01F31E23_.wvu.FilterData" localSheetId="10" hidden="1">#REF!</definedName>
    <definedName name="Z_C942EE3A_8DBF_41D7_ADAF_F43C01F31E23_.wvu.FilterData" localSheetId="22" hidden="1">#REF!</definedName>
    <definedName name="Z_C942EE3A_8DBF_41D7_ADAF_F43C01F31E23_.wvu.FilterData" localSheetId="24" hidden="1">#REF!</definedName>
    <definedName name="Z_C942EE3A_8DBF_41D7_ADAF_F43C01F31E23_.wvu.FilterData" localSheetId="23" hidden="1">#REF!</definedName>
    <definedName name="Z_C942EE3A_8DBF_41D7_ADAF_F43C01F31E23_.wvu.FilterData" localSheetId="20" hidden="1">#REF!</definedName>
    <definedName name="Z_C942EE3A_8DBF_41D7_ADAF_F43C01F31E23_.wvu.FilterData" localSheetId="19" hidden="1">#REF!</definedName>
    <definedName name="Z_C942EE3A_8DBF_41D7_ADAF_F43C01F31E23_.wvu.FilterData" localSheetId="26" hidden="1">#REF!</definedName>
    <definedName name="Z_C942EE3A_8DBF_41D7_ADAF_F43C01F31E23_.wvu.FilterData" localSheetId="27" hidden="1">#REF!</definedName>
    <definedName name="Z_C942EE3A_8DBF_41D7_ADAF_F43C01F31E23_.wvu.FilterData" localSheetId="25" hidden="1">#REF!</definedName>
    <definedName name="Z_C942EE3A_8DBF_41D7_ADAF_F43C01F31E23_.wvu.FilterData" localSheetId="7" hidden="1">#REF!</definedName>
    <definedName name="Z_C942EE3A_8DBF_41D7_ADAF_F43C01F31E23_.wvu.FilterData" localSheetId="4" hidden="1">#REF!</definedName>
    <definedName name="Z_C942EE3A_8DBF_41D7_ADAF_F43C01F31E23_.wvu.FilterData" localSheetId="5" hidden="1">#REF!</definedName>
    <definedName name="Z_C942EE3A_8DBF_41D7_ADAF_F43C01F31E23_.wvu.FilterData" localSheetId="2" hidden="1">#REF!</definedName>
    <definedName name="Z_C942EE3A_8DBF_41D7_ADAF_F43C01F31E23_.wvu.FilterData" localSheetId="3" hidden="1">#REF!</definedName>
    <definedName name="Z_C942EE3A_8DBF_41D7_ADAF_F43C01F31E23_.wvu.FilterData" hidden="1">#REF!</definedName>
    <definedName name="Z_CB8FB7EE_B771_11D7_9C1E_0004231B06E7_.wvu.FilterData" localSheetId="21" hidden="1">#REF!</definedName>
    <definedName name="Z_CB8FB7EE_B771_11D7_9C1E_0004231B06E7_.wvu.FilterData" localSheetId="12" hidden="1">#REF!</definedName>
    <definedName name="Z_CB8FB7EE_B771_11D7_9C1E_0004231B06E7_.wvu.FilterData" localSheetId="13" hidden="1">#REF!</definedName>
    <definedName name="Z_CB8FB7EE_B771_11D7_9C1E_0004231B06E7_.wvu.FilterData" localSheetId="14" hidden="1">#REF!</definedName>
    <definedName name="Z_CB8FB7EE_B771_11D7_9C1E_0004231B06E7_.wvu.FilterData" localSheetId="16" hidden="1">#REF!</definedName>
    <definedName name="Z_CB8FB7EE_B771_11D7_9C1E_0004231B06E7_.wvu.FilterData" localSheetId="15" hidden="1">#REF!</definedName>
    <definedName name="Z_CB8FB7EE_B771_11D7_9C1E_0004231B06E7_.wvu.FilterData" localSheetId="17" hidden="1">#REF!</definedName>
    <definedName name="Z_CB8FB7EE_B771_11D7_9C1E_0004231B06E7_.wvu.FilterData" localSheetId="11" hidden="1">#REF!</definedName>
    <definedName name="Z_CB8FB7EE_B771_11D7_9C1E_0004231B06E7_.wvu.FilterData" localSheetId="10" hidden="1">#REF!</definedName>
    <definedName name="Z_CB8FB7EE_B771_11D7_9C1E_0004231B06E7_.wvu.FilterData" localSheetId="22" hidden="1">#REF!</definedName>
    <definedName name="Z_CB8FB7EE_B771_11D7_9C1E_0004231B06E7_.wvu.FilterData" localSheetId="24" hidden="1">#REF!</definedName>
    <definedName name="Z_CB8FB7EE_B771_11D7_9C1E_0004231B06E7_.wvu.FilterData" localSheetId="23" hidden="1">#REF!</definedName>
    <definedName name="Z_CB8FB7EE_B771_11D7_9C1E_0004231B06E7_.wvu.FilterData" localSheetId="20" hidden="1">#REF!</definedName>
    <definedName name="Z_CB8FB7EE_B771_11D7_9C1E_0004231B06E7_.wvu.FilterData" localSheetId="19" hidden="1">#REF!</definedName>
    <definedName name="Z_CB8FB7EE_B771_11D7_9C1E_0004231B06E7_.wvu.FilterData" localSheetId="26" hidden="1">#REF!</definedName>
    <definedName name="Z_CB8FB7EE_B771_11D7_9C1E_0004231B06E7_.wvu.FilterData" localSheetId="27" hidden="1">#REF!</definedName>
    <definedName name="Z_CB8FB7EE_B771_11D7_9C1E_0004231B06E7_.wvu.FilterData" localSheetId="25" hidden="1">#REF!</definedName>
    <definedName name="Z_CB8FB7EE_B771_11D7_9C1E_0004231B06E7_.wvu.FilterData" localSheetId="7" hidden="1">#REF!</definedName>
    <definedName name="Z_CB8FB7EE_B771_11D7_9C1E_0004231B06E7_.wvu.FilterData" localSheetId="4" hidden="1">#REF!</definedName>
    <definedName name="Z_CB8FB7EE_B771_11D7_9C1E_0004231B06E7_.wvu.FilterData" localSheetId="5" hidden="1">#REF!</definedName>
    <definedName name="Z_CB8FB7EE_B771_11D7_9C1E_0004231B06E7_.wvu.FilterData" localSheetId="2" hidden="1">#REF!</definedName>
    <definedName name="Z_CB8FB7EE_B771_11D7_9C1E_0004231B06E7_.wvu.FilterData" localSheetId="3" hidden="1">#REF!</definedName>
    <definedName name="Z_CB8FB7EE_B771_11D7_9C1E_0004231B06E7_.wvu.FilterData" hidden="1">#REF!</definedName>
    <definedName name="Z_CB8FB7F1_B771_11D7_9C1E_0004231B06E7_.wvu.FilterData" localSheetId="21" hidden="1">#REF!</definedName>
    <definedName name="Z_CB8FB7F1_B771_11D7_9C1E_0004231B06E7_.wvu.FilterData" localSheetId="12" hidden="1">#REF!</definedName>
    <definedName name="Z_CB8FB7F1_B771_11D7_9C1E_0004231B06E7_.wvu.FilterData" localSheetId="13" hidden="1">#REF!</definedName>
    <definedName name="Z_CB8FB7F1_B771_11D7_9C1E_0004231B06E7_.wvu.FilterData" localSheetId="14" hidden="1">#REF!</definedName>
    <definedName name="Z_CB8FB7F1_B771_11D7_9C1E_0004231B06E7_.wvu.FilterData" localSheetId="16" hidden="1">#REF!</definedName>
    <definedName name="Z_CB8FB7F1_B771_11D7_9C1E_0004231B06E7_.wvu.FilterData" localSheetId="15" hidden="1">#REF!</definedName>
    <definedName name="Z_CB8FB7F1_B771_11D7_9C1E_0004231B06E7_.wvu.FilterData" localSheetId="17" hidden="1">#REF!</definedName>
    <definedName name="Z_CB8FB7F1_B771_11D7_9C1E_0004231B06E7_.wvu.FilterData" localSheetId="11" hidden="1">#REF!</definedName>
    <definedName name="Z_CB8FB7F1_B771_11D7_9C1E_0004231B06E7_.wvu.FilterData" localSheetId="10" hidden="1">#REF!</definedName>
    <definedName name="Z_CB8FB7F1_B771_11D7_9C1E_0004231B06E7_.wvu.FilterData" localSheetId="22" hidden="1">#REF!</definedName>
    <definedName name="Z_CB8FB7F1_B771_11D7_9C1E_0004231B06E7_.wvu.FilterData" localSheetId="24" hidden="1">#REF!</definedName>
    <definedName name="Z_CB8FB7F1_B771_11D7_9C1E_0004231B06E7_.wvu.FilterData" localSheetId="23" hidden="1">#REF!</definedName>
    <definedName name="Z_CB8FB7F1_B771_11D7_9C1E_0004231B06E7_.wvu.FilterData" localSheetId="20" hidden="1">#REF!</definedName>
    <definedName name="Z_CB8FB7F1_B771_11D7_9C1E_0004231B06E7_.wvu.FilterData" localSheetId="19" hidden="1">#REF!</definedName>
    <definedName name="Z_CB8FB7F1_B771_11D7_9C1E_0004231B06E7_.wvu.FilterData" localSheetId="26" hidden="1">#REF!</definedName>
    <definedName name="Z_CB8FB7F1_B771_11D7_9C1E_0004231B06E7_.wvu.FilterData" localSheetId="27" hidden="1">#REF!</definedName>
    <definedName name="Z_CB8FB7F1_B771_11D7_9C1E_0004231B06E7_.wvu.FilterData" localSheetId="25" hidden="1">#REF!</definedName>
    <definedName name="Z_CB8FB7F1_B771_11D7_9C1E_0004231B06E7_.wvu.FilterData" localSheetId="7" hidden="1">#REF!</definedName>
    <definedName name="Z_CB8FB7F1_B771_11D7_9C1E_0004231B06E7_.wvu.FilterData" localSheetId="4" hidden="1">#REF!</definedName>
    <definedName name="Z_CB8FB7F1_B771_11D7_9C1E_0004231B06E7_.wvu.FilterData" localSheetId="5" hidden="1">#REF!</definedName>
    <definedName name="Z_CB8FB7F1_B771_11D7_9C1E_0004231B06E7_.wvu.FilterData" localSheetId="2" hidden="1">#REF!</definedName>
    <definedName name="Z_CB8FB7F1_B771_11D7_9C1E_0004231B06E7_.wvu.FilterData" localSheetId="3" hidden="1">#REF!</definedName>
    <definedName name="Z_CB8FB7F1_B771_11D7_9C1E_0004231B06E7_.wvu.FilterData" hidden="1">#REF!</definedName>
    <definedName name="Z_CD48E0DF_E307_492A_9CFD_ADF6DE6ECCFB_.wvu.FilterData" localSheetId="21" hidden="1">#REF!</definedName>
    <definedName name="Z_CD48E0DF_E307_492A_9CFD_ADF6DE6ECCFB_.wvu.FilterData" localSheetId="12" hidden="1">#REF!</definedName>
    <definedName name="Z_CD48E0DF_E307_492A_9CFD_ADF6DE6ECCFB_.wvu.FilterData" localSheetId="13" hidden="1">#REF!</definedName>
    <definedName name="Z_CD48E0DF_E307_492A_9CFD_ADF6DE6ECCFB_.wvu.FilterData" localSheetId="14" hidden="1">#REF!</definedName>
    <definedName name="Z_CD48E0DF_E307_492A_9CFD_ADF6DE6ECCFB_.wvu.FilterData" localSheetId="16" hidden="1">#REF!</definedName>
    <definedName name="Z_CD48E0DF_E307_492A_9CFD_ADF6DE6ECCFB_.wvu.FilterData" localSheetId="15" hidden="1">#REF!</definedName>
    <definedName name="Z_CD48E0DF_E307_492A_9CFD_ADF6DE6ECCFB_.wvu.FilterData" localSheetId="17" hidden="1">#REF!</definedName>
    <definedName name="Z_CD48E0DF_E307_492A_9CFD_ADF6DE6ECCFB_.wvu.FilterData" localSheetId="11" hidden="1">#REF!</definedName>
    <definedName name="Z_CD48E0DF_E307_492A_9CFD_ADF6DE6ECCFB_.wvu.FilterData" localSheetId="10" hidden="1">#REF!</definedName>
    <definedName name="Z_CD48E0DF_E307_492A_9CFD_ADF6DE6ECCFB_.wvu.FilterData" localSheetId="22" hidden="1">#REF!</definedName>
    <definedName name="Z_CD48E0DF_E307_492A_9CFD_ADF6DE6ECCFB_.wvu.FilterData" localSheetId="24" hidden="1">#REF!</definedName>
    <definedName name="Z_CD48E0DF_E307_492A_9CFD_ADF6DE6ECCFB_.wvu.FilterData" localSheetId="23" hidden="1">#REF!</definedName>
    <definedName name="Z_CD48E0DF_E307_492A_9CFD_ADF6DE6ECCFB_.wvu.FilterData" localSheetId="20" hidden="1">#REF!</definedName>
    <definedName name="Z_CD48E0DF_E307_492A_9CFD_ADF6DE6ECCFB_.wvu.FilterData" localSheetId="19" hidden="1">#REF!</definedName>
    <definedName name="Z_CD48E0DF_E307_492A_9CFD_ADF6DE6ECCFB_.wvu.FilterData" localSheetId="26" hidden="1">#REF!</definedName>
    <definedName name="Z_CD48E0DF_E307_492A_9CFD_ADF6DE6ECCFB_.wvu.FilterData" localSheetId="27" hidden="1">#REF!</definedName>
    <definedName name="Z_CD48E0DF_E307_492A_9CFD_ADF6DE6ECCFB_.wvu.FilterData" localSheetId="25" hidden="1">#REF!</definedName>
    <definedName name="Z_CD48E0DF_E307_492A_9CFD_ADF6DE6ECCFB_.wvu.FilterData" localSheetId="7" hidden="1">#REF!</definedName>
    <definedName name="Z_CD48E0DF_E307_492A_9CFD_ADF6DE6ECCFB_.wvu.FilterData" localSheetId="4" hidden="1">#REF!</definedName>
    <definedName name="Z_CD48E0DF_E307_492A_9CFD_ADF6DE6ECCFB_.wvu.FilterData" localSheetId="5" hidden="1">#REF!</definedName>
    <definedName name="Z_CD48E0DF_E307_492A_9CFD_ADF6DE6ECCFB_.wvu.FilterData" localSheetId="2" hidden="1">#REF!</definedName>
    <definedName name="Z_CD48E0DF_E307_492A_9CFD_ADF6DE6ECCFB_.wvu.FilterData" localSheetId="3" hidden="1">#REF!</definedName>
    <definedName name="Z_CD48E0DF_E307_492A_9CFD_ADF6DE6ECCFB_.wvu.FilterData" hidden="1">#REF!</definedName>
    <definedName name="Z_CDAD3BC7_95B1_4949_91B3_EAB234D2A550_.wvu.FilterData" localSheetId="21" hidden="1">#REF!</definedName>
    <definedName name="Z_CDAD3BC7_95B1_4949_91B3_EAB234D2A550_.wvu.FilterData" localSheetId="12" hidden="1">#REF!</definedName>
    <definedName name="Z_CDAD3BC7_95B1_4949_91B3_EAB234D2A550_.wvu.FilterData" localSheetId="13" hidden="1">#REF!</definedName>
    <definedName name="Z_CDAD3BC7_95B1_4949_91B3_EAB234D2A550_.wvu.FilterData" localSheetId="14" hidden="1">#REF!</definedName>
    <definedName name="Z_CDAD3BC7_95B1_4949_91B3_EAB234D2A550_.wvu.FilterData" localSheetId="16" hidden="1">#REF!</definedName>
    <definedName name="Z_CDAD3BC7_95B1_4949_91B3_EAB234D2A550_.wvu.FilterData" localSheetId="15" hidden="1">#REF!</definedName>
    <definedName name="Z_CDAD3BC7_95B1_4949_91B3_EAB234D2A550_.wvu.FilterData" localSheetId="17" hidden="1">#REF!</definedName>
    <definedName name="Z_CDAD3BC7_95B1_4949_91B3_EAB234D2A550_.wvu.FilterData" localSheetId="11" hidden="1">#REF!</definedName>
    <definedName name="Z_CDAD3BC7_95B1_4949_91B3_EAB234D2A550_.wvu.FilterData" localSheetId="10" hidden="1">#REF!</definedName>
    <definedName name="Z_CDAD3BC7_95B1_4949_91B3_EAB234D2A550_.wvu.FilterData" localSheetId="22" hidden="1">#REF!</definedName>
    <definedName name="Z_CDAD3BC7_95B1_4949_91B3_EAB234D2A550_.wvu.FilterData" localSheetId="24" hidden="1">#REF!</definedName>
    <definedName name="Z_CDAD3BC7_95B1_4949_91B3_EAB234D2A550_.wvu.FilterData" localSheetId="23" hidden="1">#REF!</definedName>
    <definedName name="Z_CDAD3BC7_95B1_4949_91B3_EAB234D2A550_.wvu.FilterData" localSheetId="20" hidden="1">#REF!</definedName>
    <definedName name="Z_CDAD3BC7_95B1_4949_91B3_EAB234D2A550_.wvu.FilterData" localSheetId="19" hidden="1">#REF!</definedName>
    <definedName name="Z_CDAD3BC7_95B1_4949_91B3_EAB234D2A550_.wvu.FilterData" localSheetId="26" hidden="1">#REF!</definedName>
    <definedName name="Z_CDAD3BC7_95B1_4949_91B3_EAB234D2A550_.wvu.FilterData" localSheetId="27" hidden="1">#REF!</definedName>
    <definedName name="Z_CDAD3BC7_95B1_4949_91B3_EAB234D2A550_.wvu.FilterData" localSheetId="25" hidden="1">#REF!</definedName>
    <definedName name="Z_CDAD3BC7_95B1_4949_91B3_EAB234D2A550_.wvu.FilterData" localSheetId="7" hidden="1">#REF!</definedName>
    <definedName name="Z_CDAD3BC7_95B1_4949_91B3_EAB234D2A550_.wvu.FilterData" localSheetId="4" hidden="1">#REF!</definedName>
    <definedName name="Z_CDAD3BC7_95B1_4949_91B3_EAB234D2A550_.wvu.FilterData" localSheetId="5" hidden="1">#REF!</definedName>
    <definedName name="Z_CDAD3BC7_95B1_4949_91B3_EAB234D2A550_.wvu.FilterData" localSheetId="2" hidden="1">#REF!</definedName>
    <definedName name="Z_CDAD3BC7_95B1_4949_91B3_EAB234D2A550_.wvu.FilterData" localSheetId="3" hidden="1">#REF!</definedName>
    <definedName name="Z_CDAD3BC7_95B1_4949_91B3_EAB234D2A550_.wvu.FilterData" hidden="1">#REF!</definedName>
    <definedName name="Z_CE1A6073_4007_44EE_88D3_3C79CF746C78_.wvu.FilterData" localSheetId="21" hidden="1">#REF!</definedName>
    <definedName name="Z_CE1A6073_4007_44EE_88D3_3C79CF746C78_.wvu.FilterData" localSheetId="12" hidden="1">#REF!</definedName>
    <definedName name="Z_CE1A6073_4007_44EE_88D3_3C79CF746C78_.wvu.FilterData" localSheetId="13" hidden="1">#REF!</definedName>
    <definedName name="Z_CE1A6073_4007_44EE_88D3_3C79CF746C78_.wvu.FilterData" localSheetId="14" hidden="1">#REF!</definedName>
    <definedName name="Z_CE1A6073_4007_44EE_88D3_3C79CF746C78_.wvu.FilterData" localSheetId="16" hidden="1">#REF!</definedName>
    <definedName name="Z_CE1A6073_4007_44EE_88D3_3C79CF746C78_.wvu.FilterData" localSheetId="15" hidden="1">#REF!</definedName>
    <definedName name="Z_CE1A6073_4007_44EE_88D3_3C79CF746C78_.wvu.FilterData" localSheetId="17" hidden="1">#REF!</definedName>
    <definedName name="Z_CE1A6073_4007_44EE_88D3_3C79CF746C78_.wvu.FilterData" localSheetId="11" hidden="1">#REF!</definedName>
    <definedName name="Z_CE1A6073_4007_44EE_88D3_3C79CF746C78_.wvu.FilterData" localSheetId="10" hidden="1">#REF!</definedName>
    <definedName name="Z_CE1A6073_4007_44EE_88D3_3C79CF746C78_.wvu.FilterData" localSheetId="22" hidden="1">#REF!</definedName>
    <definedName name="Z_CE1A6073_4007_44EE_88D3_3C79CF746C78_.wvu.FilterData" localSheetId="24" hidden="1">#REF!</definedName>
    <definedName name="Z_CE1A6073_4007_44EE_88D3_3C79CF746C78_.wvu.FilterData" localSheetId="23" hidden="1">#REF!</definedName>
    <definedName name="Z_CE1A6073_4007_44EE_88D3_3C79CF746C78_.wvu.FilterData" localSheetId="20" hidden="1">#REF!</definedName>
    <definedName name="Z_CE1A6073_4007_44EE_88D3_3C79CF746C78_.wvu.FilterData" localSheetId="19" hidden="1">#REF!</definedName>
    <definedName name="Z_CE1A6073_4007_44EE_88D3_3C79CF746C78_.wvu.FilterData" localSheetId="26" hidden="1">#REF!</definedName>
    <definedName name="Z_CE1A6073_4007_44EE_88D3_3C79CF746C78_.wvu.FilterData" localSheetId="27" hidden="1">#REF!</definedName>
    <definedName name="Z_CE1A6073_4007_44EE_88D3_3C79CF746C78_.wvu.FilterData" localSheetId="25" hidden="1">#REF!</definedName>
    <definedName name="Z_CE1A6073_4007_44EE_88D3_3C79CF746C78_.wvu.FilterData" localSheetId="7" hidden="1">#REF!</definedName>
    <definedName name="Z_CE1A6073_4007_44EE_88D3_3C79CF746C78_.wvu.FilterData" localSheetId="4" hidden="1">#REF!</definedName>
    <definedName name="Z_CE1A6073_4007_44EE_88D3_3C79CF746C78_.wvu.FilterData" localSheetId="5" hidden="1">#REF!</definedName>
    <definedName name="Z_CE1A6073_4007_44EE_88D3_3C79CF746C78_.wvu.FilterData" localSheetId="2" hidden="1">#REF!</definedName>
    <definedName name="Z_CE1A6073_4007_44EE_88D3_3C79CF746C78_.wvu.FilterData" localSheetId="3" hidden="1">#REF!</definedName>
    <definedName name="Z_CE1A6073_4007_44EE_88D3_3C79CF746C78_.wvu.FilterData" hidden="1">#REF!</definedName>
    <definedName name="Z_D0500033_B90B_46E5_BD62_60D0DA033A55_.wvu.FilterData" localSheetId="21" hidden="1">#REF!</definedName>
    <definedName name="Z_D0500033_B90B_46E5_BD62_60D0DA033A55_.wvu.FilterData" localSheetId="12" hidden="1">#REF!</definedName>
    <definedName name="Z_D0500033_B90B_46E5_BD62_60D0DA033A55_.wvu.FilterData" localSheetId="13" hidden="1">#REF!</definedName>
    <definedName name="Z_D0500033_B90B_46E5_BD62_60D0DA033A55_.wvu.FilterData" localSheetId="14" hidden="1">#REF!</definedName>
    <definedName name="Z_D0500033_B90B_46E5_BD62_60D0DA033A55_.wvu.FilterData" localSheetId="16" hidden="1">#REF!</definedName>
    <definedName name="Z_D0500033_B90B_46E5_BD62_60D0DA033A55_.wvu.FilterData" localSheetId="15" hidden="1">#REF!</definedName>
    <definedName name="Z_D0500033_B90B_46E5_BD62_60D0DA033A55_.wvu.FilterData" localSheetId="17" hidden="1">#REF!</definedName>
    <definedName name="Z_D0500033_B90B_46E5_BD62_60D0DA033A55_.wvu.FilterData" localSheetId="11" hidden="1">#REF!</definedName>
    <definedName name="Z_D0500033_B90B_46E5_BD62_60D0DA033A55_.wvu.FilterData" localSheetId="10" hidden="1">#REF!</definedName>
    <definedName name="Z_D0500033_B90B_46E5_BD62_60D0DA033A55_.wvu.FilterData" localSheetId="22" hidden="1">#REF!</definedName>
    <definedName name="Z_D0500033_B90B_46E5_BD62_60D0DA033A55_.wvu.FilterData" localSheetId="24" hidden="1">#REF!</definedName>
    <definedName name="Z_D0500033_B90B_46E5_BD62_60D0DA033A55_.wvu.FilterData" localSheetId="23" hidden="1">#REF!</definedName>
    <definedName name="Z_D0500033_B90B_46E5_BD62_60D0DA033A55_.wvu.FilterData" localSheetId="20" hidden="1">#REF!</definedName>
    <definedName name="Z_D0500033_B90B_46E5_BD62_60D0DA033A55_.wvu.FilterData" localSheetId="19" hidden="1">#REF!</definedName>
    <definedName name="Z_D0500033_B90B_46E5_BD62_60D0DA033A55_.wvu.FilterData" localSheetId="26" hidden="1">#REF!</definedName>
    <definedName name="Z_D0500033_B90B_46E5_BD62_60D0DA033A55_.wvu.FilterData" localSheetId="27" hidden="1">#REF!</definedName>
    <definedName name="Z_D0500033_B90B_46E5_BD62_60D0DA033A55_.wvu.FilterData" localSheetId="25" hidden="1">#REF!</definedName>
    <definedName name="Z_D0500033_B90B_46E5_BD62_60D0DA033A55_.wvu.FilterData" localSheetId="7" hidden="1">#REF!</definedName>
    <definedName name="Z_D0500033_B90B_46E5_BD62_60D0DA033A55_.wvu.FilterData" localSheetId="4" hidden="1">#REF!</definedName>
    <definedName name="Z_D0500033_B90B_46E5_BD62_60D0DA033A55_.wvu.FilterData" localSheetId="5" hidden="1">#REF!</definedName>
    <definedName name="Z_D0500033_B90B_46E5_BD62_60D0DA033A55_.wvu.FilterData" localSheetId="2" hidden="1">#REF!</definedName>
    <definedName name="Z_D0500033_B90B_46E5_BD62_60D0DA033A55_.wvu.FilterData" localSheetId="3" hidden="1">#REF!</definedName>
    <definedName name="Z_D0500033_B90B_46E5_BD62_60D0DA033A55_.wvu.FilterData" hidden="1">#REF!</definedName>
    <definedName name="Z_D11C04A2_606C_4EF4_9AD3_4865E5EFAE70_.wvu.FilterData" localSheetId="21" hidden="1">#REF!</definedName>
    <definedName name="Z_D11C04A2_606C_4EF4_9AD3_4865E5EFAE70_.wvu.FilterData" localSheetId="12" hidden="1">#REF!</definedName>
    <definedName name="Z_D11C04A2_606C_4EF4_9AD3_4865E5EFAE70_.wvu.FilterData" localSheetId="13" hidden="1">#REF!</definedName>
    <definedName name="Z_D11C04A2_606C_4EF4_9AD3_4865E5EFAE70_.wvu.FilterData" localSheetId="14" hidden="1">#REF!</definedName>
    <definedName name="Z_D11C04A2_606C_4EF4_9AD3_4865E5EFAE70_.wvu.FilterData" localSheetId="16" hidden="1">#REF!</definedName>
    <definedName name="Z_D11C04A2_606C_4EF4_9AD3_4865E5EFAE70_.wvu.FilterData" localSheetId="15" hidden="1">#REF!</definedName>
    <definedName name="Z_D11C04A2_606C_4EF4_9AD3_4865E5EFAE70_.wvu.FilterData" localSheetId="17" hidden="1">#REF!</definedName>
    <definedName name="Z_D11C04A2_606C_4EF4_9AD3_4865E5EFAE70_.wvu.FilterData" localSheetId="11" hidden="1">#REF!</definedName>
    <definedName name="Z_D11C04A2_606C_4EF4_9AD3_4865E5EFAE70_.wvu.FilterData" localSheetId="10" hidden="1">#REF!</definedName>
    <definedName name="Z_D11C04A2_606C_4EF4_9AD3_4865E5EFAE70_.wvu.FilterData" localSheetId="22" hidden="1">#REF!</definedName>
    <definedName name="Z_D11C04A2_606C_4EF4_9AD3_4865E5EFAE70_.wvu.FilterData" localSheetId="24" hidden="1">#REF!</definedName>
    <definedName name="Z_D11C04A2_606C_4EF4_9AD3_4865E5EFAE70_.wvu.FilterData" localSheetId="23" hidden="1">#REF!</definedName>
    <definedName name="Z_D11C04A2_606C_4EF4_9AD3_4865E5EFAE70_.wvu.FilterData" localSheetId="20" hidden="1">#REF!</definedName>
    <definedName name="Z_D11C04A2_606C_4EF4_9AD3_4865E5EFAE70_.wvu.FilterData" localSheetId="19" hidden="1">#REF!</definedName>
    <definedName name="Z_D11C04A2_606C_4EF4_9AD3_4865E5EFAE70_.wvu.FilterData" localSheetId="26" hidden="1">#REF!</definedName>
    <definedName name="Z_D11C04A2_606C_4EF4_9AD3_4865E5EFAE70_.wvu.FilterData" localSheetId="27" hidden="1">#REF!</definedName>
    <definedName name="Z_D11C04A2_606C_4EF4_9AD3_4865E5EFAE70_.wvu.FilterData" localSheetId="25" hidden="1">#REF!</definedName>
    <definedName name="Z_D11C04A2_606C_4EF4_9AD3_4865E5EFAE70_.wvu.FilterData" localSheetId="7" hidden="1">#REF!</definedName>
    <definedName name="Z_D11C04A2_606C_4EF4_9AD3_4865E5EFAE70_.wvu.FilterData" localSheetId="4" hidden="1">#REF!</definedName>
    <definedName name="Z_D11C04A2_606C_4EF4_9AD3_4865E5EFAE70_.wvu.FilterData" localSheetId="5" hidden="1">#REF!</definedName>
    <definedName name="Z_D11C04A2_606C_4EF4_9AD3_4865E5EFAE70_.wvu.FilterData" localSheetId="2" hidden="1">#REF!</definedName>
    <definedName name="Z_D11C04A2_606C_4EF4_9AD3_4865E5EFAE70_.wvu.FilterData" localSheetId="3" hidden="1">#REF!</definedName>
    <definedName name="Z_D11C04A2_606C_4EF4_9AD3_4865E5EFAE70_.wvu.FilterData" hidden="1">#REF!</definedName>
    <definedName name="Z_D1371C66_ADFD_11D7_9C1E_0004231B06E7_.wvu.FilterData" localSheetId="21" hidden="1">#REF!</definedName>
    <definedName name="Z_D1371C66_ADFD_11D7_9C1E_0004231B06E7_.wvu.FilterData" localSheetId="12" hidden="1">#REF!</definedName>
    <definedName name="Z_D1371C66_ADFD_11D7_9C1E_0004231B06E7_.wvu.FilterData" localSheetId="13" hidden="1">#REF!</definedName>
    <definedName name="Z_D1371C66_ADFD_11D7_9C1E_0004231B06E7_.wvu.FilterData" localSheetId="14" hidden="1">#REF!</definedName>
    <definedName name="Z_D1371C66_ADFD_11D7_9C1E_0004231B06E7_.wvu.FilterData" localSheetId="16" hidden="1">#REF!</definedName>
    <definedName name="Z_D1371C66_ADFD_11D7_9C1E_0004231B06E7_.wvu.FilterData" localSheetId="15" hidden="1">#REF!</definedName>
    <definedName name="Z_D1371C66_ADFD_11D7_9C1E_0004231B06E7_.wvu.FilterData" localSheetId="17" hidden="1">#REF!</definedName>
    <definedName name="Z_D1371C66_ADFD_11D7_9C1E_0004231B06E7_.wvu.FilterData" localSheetId="11" hidden="1">#REF!</definedName>
    <definedName name="Z_D1371C66_ADFD_11D7_9C1E_0004231B06E7_.wvu.FilterData" localSheetId="10" hidden="1">#REF!</definedName>
    <definedName name="Z_D1371C66_ADFD_11D7_9C1E_0004231B06E7_.wvu.FilterData" localSheetId="22" hidden="1">#REF!</definedName>
    <definedName name="Z_D1371C66_ADFD_11D7_9C1E_0004231B06E7_.wvu.FilterData" localSheetId="24" hidden="1">#REF!</definedName>
    <definedName name="Z_D1371C66_ADFD_11D7_9C1E_0004231B06E7_.wvu.FilterData" localSheetId="23" hidden="1">#REF!</definedName>
    <definedName name="Z_D1371C66_ADFD_11D7_9C1E_0004231B06E7_.wvu.FilterData" localSheetId="20" hidden="1">#REF!</definedName>
    <definedName name="Z_D1371C66_ADFD_11D7_9C1E_0004231B06E7_.wvu.FilterData" localSheetId="19" hidden="1">#REF!</definedName>
    <definedName name="Z_D1371C66_ADFD_11D7_9C1E_0004231B06E7_.wvu.FilterData" localSheetId="26" hidden="1">#REF!</definedName>
    <definedName name="Z_D1371C66_ADFD_11D7_9C1E_0004231B06E7_.wvu.FilterData" localSheetId="27" hidden="1">#REF!</definedName>
    <definedName name="Z_D1371C66_ADFD_11D7_9C1E_0004231B06E7_.wvu.FilterData" localSheetId="25" hidden="1">#REF!</definedName>
    <definedName name="Z_D1371C66_ADFD_11D7_9C1E_0004231B06E7_.wvu.FilterData" localSheetId="7" hidden="1">#REF!</definedName>
    <definedName name="Z_D1371C66_ADFD_11D7_9C1E_0004231B06E7_.wvu.FilterData" localSheetId="4" hidden="1">#REF!</definedName>
    <definedName name="Z_D1371C66_ADFD_11D7_9C1E_0004231B06E7_.wvu.FilterData" localSheetId="5" hidden="1">#REF!</definedName>
    <definedName name="Z_D1371C66_ADFD_11D7_9C1E_0004231B06E7_.wvu.FilterData" localSheetId="2" hidden="1">#REF!</definedName>
    <definedName name="Z_D1371C66_ADFD_11D7_9C1E_0004231B06E7_.wvu.FilterData" localSheetId="3" hidden="1">#REF!</definedName>
    <definedName name="Z_D1371C66_ADFD_11D7_9C1E_0004231B06E7_.wvu.FilterData" hidden="1">#REF!</definedName>
    <definedName name="Z_D1371C82_ADFD_11D7_9C1E_0004231B06E7_.wvu.FilterData" localSheetId="21" hidden="1">#REF!</definedName>
    <definedName name="Z_D1371C82_ADFD_11D7_9C1E_0004231B06E7_.wvu.FilterData" localSheetId="12" hidden="1">#REF!</definedName>
    <definedName name="Z_D1371C82_ADFD_11D7_9C1E_0004231B06E7_.wvu.FilterData" localSheetId="13" hidden="1">#REF!</definedName>
    <definedName name="Z_D1371C82_ADFD_11D7_9C1E_0004231B06E7_.wvu.FilterData" localSheetId="14" hidden="1">#REF!</definedName>
    <definedName name="Z_D1371C82_ADFD_11D7_9C1E_0004231B06E7_.wvu.FilterData" localSheetId="16" hidden="1">#REF!</definedName>
    <definedName name="Z_D1371C82_ADFD_11D7_9C1E_0004231B06E7_.wvu.FilterData" localSheetId="15" hidden="1">#REF!</definedName>
    <definedName name="Z_D1371C82_ADFD_11D7_9C1E_0004231B06E7_.wvu.FilterData" localSheetId="17" hidden="1">#REF!</definedName>
    <definedName name="Z_D1371C82_ADFD_11D7_9C1E_0004231B06E7_.wvu.FilterData" localSheetId="11" hidden="1">#REF!</definedName>
    <definedName name="Z_D1371C82_ADFD_11D7_9C1E_0004231B06E7_.wvu.FilterData" localSheetId="10" hidden="1">#REF!</definedName>
    <definedName name="Z_D1371C82_ADFD_11D7_9C1E_0004231B06E7_.wvu.FilterData" localSheetId="22" hidden="1">#REF!</definedName>
    <definedName name="Z_D1371C82_ADFD_11D7_9C1E_0004231B06E7_.wvu.FilterData" localSheetId="24" hidden="1">#REF!</definedName>
    <definedName name="Z_D1371C82_ADFD_11D7_9C1E_0004231B06E7_.wvu.FilterData" localSheetId="23" hidden="1">#REF!</definedName>
    <definedName name="Z_D1371C82_ADFD_11D7_9C1E_0004231B06E7_.wvu.FilterData" localSheetId="20" hidden="1">#REF!</definedName>
    <definedName name="Z_D1371C82_ADFD_11D7_9C1E_0004231B06E7_.wvu.FilterData" localSheetId="19" hidden="1">#REF!</definedName>
    <definedName name="Z_D1371C82_ADFD_11D7_9C1E_0004231B06E7_.wvu.FilterData" localSheetId="26" hidden="1">#REF!</definedName>
    <definedName name="Z_D1371C82_ADFD_11D7_9C1E_0004231B06E7_.wvu.FilterData" localSheetId="27" hidden="1">#REF!</definedName>
    <definedName name="Z_D1371C82_ADFD_11D7_9C1E_0004231B06E7_.wvu.FilterData" localSheetId="25" hidden="1">#REF!</definedName>
    <definedName name="Z_D1371C82_ADFD_11D7_9C1E_0004231B06E7_.wvu.FilterData" localSheetId="7" hidden="1">#REF!</definedName>
    <definedName name="Z_D1371C82_ADFD_11D7_9C1E_0004231B06E7_.wvu.FilterData" localSheetId="4" hidden="1">#REF!</definedName>
    <definedName name="Z_D1371C82_ADFD_11D7_9C1E_0004231B06E7_.wvu.FilterData" localSheetId="5" hidden="1">#REF!</definedName>
    <definedName name="Z_D1371C82_ADFD_11D7_9C1E_0004231B06E7_.wvu.FilterData" localSheetId="2" hidden="1">#REF!</definedName>
    <definedName name="Z_D1371C82_ADFD_11D7_9C1E_0004231B06E7_.wvu.FilterData" localSheetId="3" hidden="1">#REF!</definedName>
    <definedName name="Z_D1371C82_ADFD_11D7_9C1E_0004231B06E7_.wvu.FilterData" hidden="1">#REF!</definedName>
    <definedName name="Z_D1371C98_ADFD_11D7_9C1E_0004231B06E7_.wvu.FilterData" localSheetId="21" hidden="1">#REF!</definedName>
    <definedName name="Z_D1371C98_ADFD_11D7_9C1E_0004231B06E7_.wvu.FilterData" localSheetId="12" hidden="1">#REF!</definedName>
    <definedName name="Z_D1371C98_ADFD_11D7_9C1E_0004231B06E7_.wvu.FilterData" localSheetId="13" hidden="1">#REF!</definedName>
    <definedName name="Z_D1371C98_ADFD_11D7_9C1E_0004231B06E7_.wvu.FilterData" localSheetId="14" hidden="1">#REF!</definedName>
    <definedName name="Z_D1371C98_ADFD_11D7_9C1E_0004231B06E7_.wvu.FilterData" localSheetId="16" hidden="1">#REF!</definedName>
    <definedName name="Z_D1371C98_ADFD_11D7_9C1E_0004231B06E7_.wvu.FilterData" localSheetId="15" hidden="1">#REF!</definedName>
    <definedName name="Z_D1371C98_ADFD_11D7_9C1E_0004231B06E7_.wvu.FilterData" localSheetId="17" hidden="1">#REF!</definedName>
    <definedName name="Z_D1371C98_ADFD_11D7_9C1E_0004231B06E7_.wvu.FilterData" localSheetId="11" hidden="1">#REF!</definedName>
    <definedName name="Z_D1371C98_ADFD_11D7_9C1E_0004231B06E7_.wvu.FilterData" localSheetId="10" hidden="1">#REF!</definedName>
    <definedName name="Z_D1371C98_ADFD_11D7_9C1E_0004231B06E7_.wvu.FilterData" localSheetId="22" hidden="1">#REF!</definedName>
    <definedName name="Z_D1371C98_ADFD_11D7_9C1E_0004231B06E7_.wvu.FilterData" localSheetId="24" hidden="1">#REF!</definedName>
    <definedName name="Z_D1371C98_ADFD_11D7_9C1E_0004231B06E7_.wvu.FilterData" localSheetId="23" hidden="1">#REF!</definedName>
    <definedName name="Z_D1371C98_ADFD_11D7_9C1E_0004231B06E7_.wvu.FilterData" localSheetId="20" hidden="1">#REF!</definedName>
    <definedName name="Z_D1371C98_ADFD_11D7_9C1E_0004231B06E7_.wvu.FilterData" localSheetId="19" hidden="1">#REF!</definedName>
    <definedName name="Z_D1371C98_ADFD_11D7_9C1E_0004231B06E7_.wvu.FilterData" localSheetId="26" hidden="1">#REF!</definedName>
    <definedName name="Z_D1371C98_ADFD_11D7_9C1E_0004231B06E7_.wvu.FilterData" localSheetId="27" hidden="1">#REF!</definedName>
    <definedName name="Z_D1371C98_ADFD_11D7_9C1E_0004231B06E7_.wvu.FilterData" localSheetId="25" hidden="1">#REF!</definedName>
    <definedName name="Z_D1371C98_ADFD_11D7_9C1E_0004231B06E7_.wvu.FilterData" localSheetId="7" hidden="1">#REF!</definedName>
    <definedName name="Z_D1371C98_ADFD_11D7_9C1E_0004231B06E7_.wvu.FilterData" localSheetId="4" hidden="1">#REF!</definedName>
    <definedName name="Z_D1371C98_ADFD_11D7_9C1E_0004231B06E7_.wvu.FilterData" localSheetId="5" hidden="1">#REF!</definedName>
    <definedName name="Z_D1371C98_ADFD_11D7_9C1E_0004231B06E7_.wvu.FilterData" localSheetId="2" hidden="1">#REF!</definedName>
    <definedName name="Z_D1371C98_ADFD_11D7_9C1E_0004231B06E7_.wvu.FilterData" localSheetId="3" hidden="1">#REF!</definedName>
    <definedName name="Z_D1371C98_ADFD_11D7_9C1E_0004231B06E7_.wvu.FilterData" hidden="1">#REF!</definedName>
    <definedName name="Z_D15727E9_9BC2_420E_AC98_E8E9B60BD754_.wvu.FilterData" localSheetId="21" hidden="1">#REF!</definedName>
    <definedName name="Z_D15727E9_9BC2_420E_AC98_E8E9B60BD754_.wvu.FilterData" localSheetId="12" hidden="1">#REF!</definedName>
    <definedName name="Z_D15727E9_9BC2_420E_AC98_E8E9B60BD754_.wvu.FilterData" localSheetId="13" hidden="1">#REF!</definedName>
    <definedName name="Z_D15727E9_9BC2_420E_AC98_E8E9B60BD754_.wvu.FilterData" localSheetId="14" hidden="1">#REF!</definedName>
    <definedName name="Z_D15727E9_9BC2_420E_AC98_E8E9B60BD754_.wvu.FilterData" localSheetId="16" hidden="1">#REF!</definedName>
    <definedName name="Z_D15727E9_9BC2_420E_AC98_E8E9B60BD754_.wvu.FilterData" localSheetId="15" hidden="1">#REF!</definedName>
    <definedName name="Z_D15727E9_9BC2_420E_AC98_E8E9B60BD754_.wvu.FilterData" localSheetId="17" hidden="1">#REF!</definedName>
    <definedName name="Z_D15727E9_9BC2_420E_AC98_E8E9B60BD754_.wvu.FilterData" localSheetId="11" hidden="1">#REF!</definedName>
    <definedName name="Z_D15727E9_9BC2_420E_AC98_E8E9B60BD754_.wvu.FilterData" localSheetId="10" hidden="1">#REF!</definedName>
    <definedName name="Z_D15727E9_9BC2_420E_AC98_E8E9B60BD754_.wvu.FilterData" localSheetId="22" hidden="1">#REF!</definedName>
    <definedName name="Z_D15727E9_9BC2_420E_AC98_E8E9B60BD754_.wvu.FilterData" localSheetId="24" hidden="1">#REF!</definedName>
    <definedName name="Z_D15727E9_9BC2_420E_AC98_E8E9B60BD754_.wvu.FilterData" localSheetId="23" hidden="1">#REF!</definedName>
    <definedName name="Z_D15727E9_9BC2_420E_AC98_E8E9B60BD754_.wvu.FilterData" localSheetId="20" hidden="1">#REF!</definedName>
    <definedName name="Z_D15727E9_9BC2_420E_AC98_E8E9B60BD754_.wvu.FilterData" localSheetId="19" hidden="1">#REF!</definedName>
    <definedName name="Z_D15727E9_9BC2_420E_AC98_E8E9B60BD754_.wvu.FilterData" localSheetId="26" hidden="1">#REF!</definedName>
    <definedName name="Z_D15727E9_9BC2_420E_AC98_E8E9B60BD754_.wvu.FilterData" localSheetId="27" hidden="1">#REF!</definedName>
    <definedName name="Z_D15727E9_9BC2_420E_AC98_E8E9B60BD754_.wvu.FilterData" localSheetId="25" hidden="1">#REF!</definedName>
    <definedName name="Z_D15727E9_9BC2_420E_AC98_E8E9B60BD754_.wvu.FilterData" localSheetId="7" hidden="1">#REF!</definedName>
    <definedName name="Z_D15727E9_9BC2_420E_AC98_E8E9B60BD754_.wvu.FilterData" localSheetId="4" hidden="1">#REF!</definedName>
    <definedName name="Z_D15727E9_9BC2_420E_AC98_E8E9B60BD754_.wvu.FilterData" localSheetId="5" hidden="1">#REF!</definedName>
    <definedName name="Z_D15727E9_9BC2_420E_AC98_E8E9B60BD754_.wvu.FilterData" localSheetId="2" hidden="1">#REF!</definedName>
    <definedName name="Z_D15727E9_9BC2_420E_AC98_E8E9B60BD754_.wvu.FilterData" localSheetId="3" hidden="1">#REF!</definedName>
    <definedName name="Z_D15727E9_9BC2_420E_AC98_E8E9B60BD754_.wvu.FilterData" hidden="1">#REF!</definedName>
    <definedName name="Z_D371D622_5497_46A4_826D_01F2F492E39D_.wvu.FilterData" localSheetId="21" hidden="1">#REF!</definedName>
    <definedName name="Z_D371D622_5497_46A4_826D_01F2F492E39D_.wvu.FilterData" localSheetId="12" hidden="1">#REF!</definedName>
    <definedName name="Z_D371D622_5497_46A4_826D_01F2F492E39D_.wvu.FilterData" localSheetId="13" hidden="1">#REF!</definedName>
    <definedName name="Z_D371D622_5497_46A4_826D_01F2F492E39D_.wvu.FilterData" localSheetId="14" hidden="1">#REF!</definedName>
    <definedName name="Z_D371D622_5497_46A4_826D_01F2F492E39D_.wvu.FilterData" localSheetId="16" hidden="1">#REF!</definedName>
    <definedName name="Z_D371D622_5497_46A4_826D_01F2F492E39D_.wvu.FilterData" localSheetId="15" hidden="1">#REF!</definedName>
    <definedName name="Z_D371D622_5497_46A4_826D_01F2F492E39D_.wvu.FilterData" localSheetId="17" hidden="1">#REF!</definedName>
    <definedName name="Z_D371D622_5497_46A4_826D_01F2F492E39D_.wvu.FilterData" localSheetId="11" hidden="1">#REF!</definedName>
    <definedName name="Z_D371D622_5497_46A4_826D_01F2F492E39D_.wvu.FilterData" localSheetId="10" hidden="1">#REF!</definedName>
    <definedName name="Z_D371D622_5497_46A4_826D_01F2F492E39D_.wvu.FilterData" localSheetId="22" hidden="1">#REF!</definedName>
    <definedName name="Z_D371D622_5497_46A4_826D_01F2F492E39D_.wvu.FilterData" localSheetId="24" hidden="1">#REF!</definedName>
    <definedName name="Z_D371D622_5497_46A4_826D_01F2F492E39D_.wvu.FilterData" localSheetId="23" hidden="1">#REF!</definedName>
    <definedName name="Z_D371D622_5497_46A4_826D_01F2F492E39D_.wvu.FilterData" localSheetId="20" hidden="1">#REF!</definedName>
    <definedName name="Z_D371D622_5497_46A4_826D_01F2F492E39D_.wvu.FilterData" localSheetId="19" hidden="1">#REF!</definedName>
    <definedName name="Z_D371D622_5497_46A4_826D_01F2F492E39D_.wvu.FilterData" localSheetId="26" hidden="1">#REF!</definedName>
    <definedName name="Z_D371D622_5497_46A4_826D_01F2F492E39D_.wvu.FilterData" localSheetId="27" hidden="1">#REF!</definedName>
    <definedName name="Z_D371D622_5497_46A4_826D_01F2F492E39D_.wvu.FilterData" localSheetId="25" hidden="1">#REF!</definedName>
    <definedName name="Z_D371D622_5497_46A4_826D_01F2F492E39D_.wvu.FilterData" localSheetId="7" hidden="1">#REF!</definedName>
    <definedName name="Z_D371D622_5497_46A4_826D_01F2F492E39D_.wvu.FilterData" localSheetId="4" hidden="1">#REF!</definedName>
    <definedName name="Z_D371D622_5497_46A4_826D_01F2F492E39D_.wvu.FilterData" localSheetId="5" hidden="1">#REF!</definedName>
    <definedName name="Z_D371D622_5497_46A4_826D_01F2F492E39D_.wvu.FilterData" localSheetId="2" hidden="1">#REF!</definedName>
    <definedName name="Z_D371D622_5497_46A4_826D_01F2F492E39D_.wvu.FilterData" localSheetId="3" hidden="1">#REF!</definedName>
    <definedName name="Z_D371D622_5497_46A4_826D_01F2F492E39D_.wvu.FilterData" hidden="1">#REF!</definedName>
    <definedName name="Z_D3FF2053_BD11_4CA8_9648_A06F387C0C79_.wvu.FilterData" localSheetId="21" hidden="1">#REF!</definedName>
    <definedName name="Z_D3FF2053_BD11_4CA8_9648_A06F387C0C79_.wvu.FilterData" localSheetId="12" hidden="1">#REF!</definedName>
    <definedName name="Z_D3FF2053_BD11_4CA8_9648_A06F387C0C79_.wvu.FilterData" localSheetId="13" hidden="1">#REF!</definedName>
    <definedName name="Z_D3FF2053_BD11_4CA8_9648_A06F387C0C79_.wvu.FilterData" localSheetId="14" hidden="1">#REF!</definedName>
    <definedName name="Z_D3FF2053_BD11_4CA8_9648_A06F387C0C79_.wvu.FilterData" localSheetId="16" hidden="1">#REF!</definedName>
    <definedName name="Z_D3FF2053_BD11_4CA8_9648_A06F387C0C79_.wvu.FilterData" localSheetId="15" hidden="1">#REF!</definedName>
    <definedName name="Z_D3FF2053_BD11_4CA8_9648_A06F387C0C79_.wvu.FilterData" localSheetId="17" hidden="1">#REF!</definedName>
    <definedName name="Z_D3FF2053_BD11_4CA8_9648_A06F387C0C79_.wvu.FilterData" localSheetId="11" hidden="1">#REF!</definedName>
    <definedName name="Z_D3FF2053_BD11_4CA8_9648_A06F387C0C79_.wvu.FilterData" localSheetId="10" hidden="1">#REF!</definedName>
    <definedName name="Z_D3FF2053_BD11_4CA8_9648_A06F387C0C79_.wvu.FilterData" localSheetId="22" hidden="1">#REF!</definedName>
    <definedName name="Z_D3FF2053_BD11_4CA8_9648_A06F387C0C79_.wvu.FilterData" localSheetId="24" hidden="1">#REF!</definedName>
    <definedName name="Z_D3FF2053_BD11_4CA8_9648_A06F387C0C79_.wvu.FilterData" localSheetId="23" hidden="1">#REF!</definedName>
    <definedName name="Z_D3FF2053_BD11_4CA8_9648_A06F387C0C79_.wvu.FilterData" localSheetId="20" hidden="1">#REF!</definedName>
    <definedName name="Z_D3FF2053_BD11_4CA8_9648_A06F387C0C79_.wvu.FilterData" localSheetId="19" hidden="1">#REF!</definedName>
    <definedName name="Z_D3FF2053_BD11_4CA8_9648_A06F387C0C79_.wvu.FilterData" localSheetId="26" hidden="1">#REF!</definedName>
    <definedName name="Z_D3FF2053_BD11_4CA8_9648_A06F387C0C79_.wvu.FilterData" localSheetId="27" hidden="1">#REF!</definedName>
    <definedName name="Z_D3FF2053_BD11_4CA8_9648_A06F387C0C79_.wvu.FilterData" localSheetId="25" hidden="1">#REF!</definedName>
    <definedName name="Z_D3FF2053_BD11_4CA8_9648_A06F387C0C79_.wvu.FilterData" localSheetId="7" hidden="1">#REF!</definedName>
    <definedName name="Z_D3FF2053_BD11_4CA8_9648_A06F387C0C79_.wvu.FilterData" localSheetId="4" hidden="1">#REF!</definedName>
    <definedName name="Z_D3FF2053_BD11_4CA8_9648_A06F387C0C79_.wvu.FilterData" localSheetId="5" hidden="1">#REF!</definedName>
    <definedName name="Z_D3FF2053_BD11_4CA8_9648_A06F387C0C79_.wvu.FilterData" localSheetId="2" hidden="1">#REF!</definedName>
    <definedName name="Z_D3FF2053_BD11_4CA8_9648_A06F387C0C79_.wvu.FilterData" localSheetId="3" hidden="1">#REF!</definedName>
    <definedName name="Z_D3FF2053_BD11_4CA8_9648_A06F387C0C79_.wvu.FilterData" hidden="1">#REF!</definedName>
    <definedName name="Z_D4D6DC3A_302F_4BF4_8221_EFB7EA05B30F_.wvu.FilterData" localSheetId="21" hidden="1">#REF!</definedName>
    <definedName name="Z_D4D6DC3A_302F_4BF4_8221_EFB7EA05B30F_.wvu.FilterData" localSheetId="12" hidden="1">#REF!</definedName>
    <definedName name="Z_D4D6DC3A_302F_4BF4_8221_EFB7EA05B30F_.wvu.FilterData" localSheetId="13" hidden="1">#REF!</definedName>
    <definedName name="Z_D4D6DC3A_302F_4BF4_8221_EFB7EA05B30F_.wvu.FilterData" localSheetId="14" hidden="1">#REF!</definedName>
    <definedName name="Z_D4D6DC3A_302F_4BF4_8221_EFB7EA05B30F_.wvu.FilterData" localSheetId="16" hidden="1">#REF!</definedName>
    <definedName name="Z_D4D6DC3A_302F_4BF4_8221_EFB7EA05B30F_.wvu.FilterData" localSheetId="15" hidden="1">#REF!</definedName>
    <definedName name="Z_D4D6DC3A_302F_4BF4_8221_EFB7EA05B30F_.wvu.FilterData" localSheetId="17" hidden="1">#REF!</definedName>
    <definedName name="Z_D4D6DC3A_302F_4BF4_8221_EFB7EA05B30F_.wvu.FilterData" localSheetId="11" hidden="1">#REF!</definedName>
    <definedName name="Z_D4D6DC3A_302F_4BF4_8221_EFB7EA05B30F_.wvu.FilterData" localSheetId="10" hidden="1">#REF!</definedName>
    <definedName name="Z_D4D6DC3A_302F_4BF4_8221_EFB7EA05B30F_.wvu.FilterData" localSheetId="22" hidden="1">#REF!</definedName>
    <definedName name="Z_D4D6DC3A_302F_4BF4_8221_EFB7EA05B30F_.wvu.FilterData" localSheetId="24" hidden="1">#REF!</definedName>
    <definedName name="Z_D4D6DC3A_302F_4BF4_8221_EFB7EA05B30F_.wvu.FilterData" localSheetId="23" hidden="1">#REF!</definedName>
    <definedName name="Z_D4D6DC3A_302F_4BF4_8221_EFB7EA05B30F_.wvu.FilterData" localSheetId="20" hidden="1">#REF!</definedName>
    <definedName name="Z_D4D6DC3A_302F_4BF4_8221_EFB7EA05B30F_.wvu.FilterData" localSheetId="19" hidden="1">#REF!</definedName>
    <definedName name="Z_D4D6DC3A_302F_4BF4_8221_EFB7EA05B30F_.wvu.FilterData" localSheetId="26" hidden="1">#REF!</definedName>
    <definedName name="Z_D4D6DC3A_302F_4BF4_8221_EFB7EA05B30F_.wvu.FilterData" localSheetId="27" hidden="1">#REF!</definedName>
    <definedName name="Z_D4D6DC3A_302F_4BF4_8221_EFB7EA05B30F_.wvu.FilterData" localSheetId="25" hidden="1">#REF!</definedName>
    <definedName name="Z_D4D6DC3A_302F_4BF4_8221_EFB7EA05B30F_.wvu.FilterData" localSheetId="7" hidden="1">#REF!</definedName>
    <definedName name="Z_D4D6DC3A_302F_4BF4_8221_EFB7EA05B30F_.wvu.FilterData" localSheetId="4" hidden="1">#REF!</definedName>
    <definedName name="Z_D4D6DC3A_302F_4BF4_8221_EFB7EA05B30F_.wvu.FilterData" localSheetId="5" hidden="1">#REF!</definedName>
    <definedName name="Z_D4D6DC3A_302F_4BF4_8221_EFB7EA05B30F_.wvu.FilterData" localSheetId="2" hidden="1">#REF!</definedName>
    <definedName name="Z_D4D6DC3A_302F_4BF4_8221_EFB7EA05B30F_.wvu.FilterData" localSheetId="3" hidden="1">#REF!</definedName>
    <definedName name="Z_D4D6DC3A_302F_4BF4_8221_EFB7EA05B30F_.wvu.FilterData" hidden="1">#REF!</definedName>
    <definedName name="Z_D4FF4BA0_F9BE_4CEE_B334_FBD19DA86BF4_.wvu.FilterData" localSheetId="21" hidden="1">#REF!</definedName>
    <definedName name="Z_D4FF4BA0_F9BE_4CEE_B334_FBD19DA86BF4_.wvu.FilterData" localSheetId="12" hidden="1">#REF!</definedName>
    <definedName name="Z_D4FF4BA0_F9BE_4CEE_B334_FBD19DA86BF4_.wvu.FilterData" localSheetId="13" hidden="1">#REF!</definedName>
    <definedName name="Z_D4FF4BA0_F9BE_4CEE_B334_FBD19DA86BF4_.wvu.FilterData" localSheetId="14" hidden="1">#REF!</definedName>
    <definedName name="Z_D4FF4BA0_F9BE_4CEE_B334_FBD19DA86BF4_.wvu.FilterData" localSheetId="16" hidden="1">#REF!</definedName>
    <definedName name="Z_D4FF4BA0_F9BE_4CEE_B334_FBD19DA86BF4_.wvu.FilterData" localSheetId="15" hidden="1">#REF!</definedName>
    <definedName name="Z_D4FF4BA0_F9BE_4CEE_B334_FBD19DA86BF4_.wvu.FilterData" localSheetId="17" hidden="1">#REF!</definedName>
    <definedName name="Z_D4FF4BA0_F9BE_4CEE_B334_FBD19DA86BF4_.wvu.FilterData" localSheetId="11" hidden="1">#REF!</definedName>
    <definedName name="Z_D4FF4BA0_F9BE_4CEE_B334_FBD19DA86BF4_.wvu.FilterData" localSheetId="10" hidden="1">#REF!</definedName>
    <definedName name="Z_D4FF4BA0_F9BE_4CEE_B334_FBD19DA86BF4_.wvu.FilterData" localSheetId="22" hidden="1">#REF!</definedName>
    <definedName name="Z_D4FF4BA0_F9BE_4CEE_B334_FBD19DA86BF4_.wvu.FilterData" localSheetId="24" hidden="1">#REF!</definedName>
    <definedName name="Z_D4FF4BA0_F9BE_4CEE_B334_FBD19DA86BF4_.wvu.FilterData" localSheetId="23" hidden="1">#REF!</definedName>
    <definedName name="Z_D4FF4BA0_F9BE_4CEE_B334_FBD19DA86BF4_.wvu.FilterData" localSheetId="20" hidden="1">#REF!</definedName>
    <definedName name="Z_D4FF4BA0_F9BE_4CEE_B334_FBD19DA86BF4_.wvu.FilterData" localSheetId="19" hidden="1">#REF!</definedName>
    <definedName name="Z_D4FF4BA0_F9BE_4CEE_B334_FBD19DA86BF4_.wvu.FilterData" localSheetId="26" hidden="1">#REF!</definedName>
    <definedName name="Z_D4FF4BA0_F9BE_4CEE_B334_FBD19DA86BF4_.wvu.FilterData" localSheetId="27" hidden="1">#REF!</definedName>
    <definedName name="Z_D4FF4BA0_F9BE_4CEE_B334_FBD19DA86BF4_.wvu.FilterData" localSheetId="25" hidden="1">#REF!</definedName>
    <definedName name="Z_D4FF4BA0_F9BE_4CEE_B334_FBD19DA86BF4_.wvu.FilterData" localSheetId="7" hidden="1">#REF!</definedName>
    <definedName name="Z_D4FF4BA0_F9BE_4CEE_B334_FBD19DA86BF4_.wvu.FilterData" localSheetId="4" hidden="1">#REF!</definedName>
    <definedName name="Z_D4FF4BA0_F9BE_4CEE_B334_FBD19DA86BF4_.wvu.FilterData" localSheetId="5" hidden="1">#REF!</definedName>
    <definedName name="Z_D4FF4BA0_F9BE_4CEE_B334_FBD19DA86BF4_.wvu.FilterData" localSheetId="2" hidden="1">#REF!</definedName>
    <definedName name="Z_D4FF4BA0_F9BE_4CEE_B334_FBD19DA86BF4_.wvu.FilterData" localSheetId="3" hidden="1">#REF!</definedName>
    <definedName name="Z_D4FF4BA0_F9BE_4CEE_B334_FBD19DA86BF4_.wvu.FilterData" hidden="1">#REF!</definedName>
    <definedName name="Z_D5810466_54E3_455B_B341_3E7B86FB72D3_.wvu.FilterData" localSheetId="21" hidden="1">#REF!</definedName>
    <definedName name="Z_D5810466_54E3_455B_B341_3E7B86FB72D3_.wvu.FilterData" localSheetId="12" hidden="1">#REF!</definedName>
    <definedName name="Z_D5810466_54E3_455B_B341_3E7B86FB72D3_.wvu.FilterData" localSheetId="13" hidden="1">#REF!</definedName>
    <definedName name="Z_D5810466_54E3_455B_B341_3E7B86FB72D3_.wvu.FilterData" localSheetId="14" hidden="1">#REF!</definedName>
    <definedName name="Z_D5810466_54E3_455B_B341_3E7B86FB72D3_.wvu.FilterData" localSheetId="16" hidden="1">#REF!</definedName>
    <definedName name="Z_D5810466_54E3_455B_B341_3E7B86FB72D3_.wvu.FilterData" localSheetId="15" hidden="1">#REF!</definedName>
    <definedName name="Z_D5810466_54E3_455B_B341_3E7B86FB72D3_.wvu.FilterData" localSheetId="17" hidden="1">#REF!</definedName>
    <definedName name="Z_D5810466_54E3_455B_B341_3E7B86FB72D3_.wvu.FilterData" localSheetId="11" hidden="1">#REF!</definedName>
    <definedName name="Z_D5810466_54E3_455B_B341_3E7B86FB72D3_.wvu.FilterData" localSheetId="10" hidden="1">#REF!</definedName>
    <definedName name="Z_D5810466_54E3_455B_B341_3E7B86FB72D3_.wvu.FilterData" localSheetId="22" hidden="1">#REF!</definedName>
    <definedName name="Z_D5810466_54E3_455B_B341_3E7B86FB72D3_.wvu.FilterData" localSheetId="24" hidden="1">#REF!</definedName>
    <definedName name="Z_D5810466_54E3_455B_B341_3E7B86FB72D3_.wvu.FilterData" localSheetId="23" hidden="1">#REF!</definedName>
    <definedName name="Z_D5810466_54E3_455B_B341_3E7B86FB72D3_.wvu.FilterData" localSheetId="20" hidden="1">#REF!</definedName>
    <definedName name="Z_D5810466_54E3_455B_B341_3E7B86FB72D3_.wvu.FilterData" localSheetId="19" hidden="1">#REF!</definedName>
    <definedName name="Z_D5810466_54E3_455B_B341_3E7B86FB72D3_.wvu.FilterData" localSheetId="26" hidden="1">#REF!</definedName>
    <definedName name="Z_D5810466_54E3_455B_B341_3E7B86FB72D3_.wvu.FilterData" localSheetId="27" hidden="1">#REF!</definedName>
    <definedName name="Z_D5810466_54E3_455B_B341_3E7B86FB72D3_.wvu.FilterData" localSheetId="25" hidden="1">#REF!</definedName>
    <definedName name="Z_D5810466_54E3_455B_B341_3E7B86FB72D3_.wvu.FilterData" localSheetId="7" hidden="1">#REF!</definedName>
    <definedName name="Z_D5810466_54E3_455B_B341_3E7B86FB72D3_.wvu.FilterData" localSheetId="4" hidden="1">#REF!</definedName>
    <definedName name="Z_D5810466_54E3_455B_B341_3E7B86FB72D3_.wvu.FilterData" localSheetId="5" hidden="1">#REF!</definedName>
    <definedName name="Z_D5810466_54E3_455B_B341_3E7B86FB72D3_.wvu.FilterData" localSheetId="2" hidden="1">#REF!</definedName>
    <definedName name="Z_D5810466_54E3_455B_B341_3E7B86FB72D3_.wvu.FilterData" localSheetId="3" hidden="1">#REF!</definedName>
    <definedName name="Z_D5810466_54E3_455B_B341_3E7B86FB72D3_.wvu.FilterData" hidden="1">#REF!</definedName>
    <definedName name="Z_D60B1DF7_D653_4F01_B5AD_6A66E578C24F_.wvu.FilterData" localSheetId="21" hidden="1">#REF!</definedName>
    <definedName name="Z_D60B1DF7_D653_4F01_B5AD_6A66E578C24F_.wvu.FilterData" localSheetId="12" hidden="1">#REF!</definedName>
    <definedName name="Z_D60B1DF7_D653_4F01_B5AD_6A66E578C24F_.wvu.FilterData" localSheetId="13" hidden="1">#REF!</definedName>
    <definedName name="Z_D60B1DF7_D653_4F01_B5AD_6A66E578C24F_.wvu.FilterData" localSheetId="14" hidden="1">#REF!</definedName>
    <definedName name="Z_D60B1DF7_D653_4F01_B5AD_6A66E578C24F_.wvu.FilterData" localSheetId="16" hidden="1">#REF!</definedName>
    <definedName name="Z_D60B1DF7_D653_4F01_B5AD_6A66E578C24F_.wvu.FilterData" localSheetId="15" hidden="1">#REF!</definedName>
    <definedName name="Z_D60B1DF7_D653_4F01_B5AD_6A66E578C24F_.wvu.FilterData" localSheetId="17" hidden="1">#REF!</definedName>
    <definedName name="Z_D60B1DF7_D653_4F01_B5AD_6A66E578C24F_.wvu.FilterData" localSheetId="11" hidden="1">#REF!</definedName>
    <definedName name="Z_D60B1DF7_D653_4F01_B5AD_6A66E578C24F_.wvu.FilterData" localSheetId="10" hidden="1">#REF!</definedName>
    <definedName name="Z_D60B1DF7_D653_4F01_B5AD_6A66E578C24F_.wvu.FilterData" localSheetId="22" hidden="1">#REF!</definedName>
    <definedName name="Z_D60B1DF7_D653_4F01_B5AD_6A66E578C24F_.wvu.FilterData" localSheetId="24" hidden="1">#REF!</definedName>
    <definedName name="Z_D60B1DF7_D653_4F01_B5AD_6A66E578C24F_.wvu.FilterData" localSheetId="23" hidden="1">#REF!</definedName>
    <definedName name="Z_D60B1DF7_D653_4F01_B5AD_6A66E578C24F_.wvu.FilterData" localSheetId="20" hidden="1">#REF!</definedName>
    <definedName name="Z_D60B1DF7_D653_4F01_B5AD_6A66E578C24F_.wvu.FilterData" localSheetId="19" hidden="1">#REF!</definedName>
    <definedName name="Z_D60B1DF7_D653_4F01_B5AD_6A66E578C24F_.wvu.FilterData" localSheetId="26" hidden="1">#REF!</definedName>
    <definedName name="Z_D60B1DF7_D653_4F01_B5AD_6A66E578C24F_.wvu.FilterData" localSheetId="27" hidden="1">#REF!</definedName>
    <definedName name="Z_D60B1DF7_D653_4F01_B5AD_6A66E578C24F_.wvu.FilterData" localSheetId="25" hidden="1">#REF!</definedName>
    <definedName name="Z_D60B1DF7_D653_4F01_B5AD_6A66E578C24F_.wvu.FilterData" localSheetId="7" hidden="1">#REF!</definedName>
    <definedName name="Z_D60B1DF7_D653_4F01_B5AD_6A66E578C24F_.wvu.FilterData" localSheetId="4" hidden="1">#REF!</definedName>
    <definedName name="Z_D60B1DF7_D653_4F01_B5AD_6A66E578C24F_.wvu.FilterData" localSheetId="5" hidden="1">#REF!</definedName>
    <definedName name="Z_D60B1DF7_D653_4F01_B5AD_6A66E578C24F_.wvu.FilterData" localSheetId="2" hidden="1">#REF!</definedName>
    <definedName name="Z_D60B1DF7_D653_4F01_B5AD_6A66E578C24F_.wvu.FilterData" localSheetId="3" hidden="1">#REF!</definedName>
    <definedName name="Z_D60B1DF7_D653_4F01_B5AD_6A66E578C24F_.wvu.FilterData" hidden="1">#REF!</definedName>
    <definedName name="Z_D684BA0E_B94B_4BF7_8F27_4E3A1924425C_.wvu.FilterData" localSheetId="21" hidden="1">#REF!</definedName>
    <definedName name="Z_D684BA0E_B94B_4BF7_8F27_4E3A1924425C_.wvu.FilterData" localSheetId="12" hidden="1">#REF!</definedName>
    <definedName name="Z_D684BA0E_B94B_4BF7_8F27_4E3A1924425C_.wvu.FilterData" localSheetId="13" hidden="1">#REF!</definedName>
    <definedName name="Z_D684BA0E_B94B_4BF7_8F27_4E3A1924425C_.wvu.FilterData" localSheetId="14" hidden="1">#REF!</definedName>
    <definedName name="Z_D684BA0E_B94B_4BF7_8F27_4E3A1924425C_.wvu.FilterData" localSheetId="16" hidden="1">#REF!</definedName>
    <definedName name="Z_D684BA0E_B94B_4BF7_8F27_4E3A1924425C_.wvu.FilterData" localSheetId="15" hidden="1">#REF!</definedName>
    <definedName name="Z_D684BA0E_B94B_4BF7_8F27_4E3A1924425C_.wvu.FilterData" localSheetId="17" hidden="1">#REF!</definedName>
    <definedName name="Z_D684BA0E_B94B_4BF7_8F27_4E3A1924425C_.wvu.FilterData" localSheetId="11" hidden="1">#REF!</definedName>
    <definedName name="Z_D684BA0E_B94B_4BF7_8F27_4E3A1924425C_.wvu.FilterData" localSheetId="10" hidden="1">#REF!</definedName>
    <definedName name="Z_D684BA0E_B94B_4BF7_8F27_4E3A1924425C_.wvu.FilterData" localSheetId="22" hidden="1">#REF!</definedName>
    <definedName name="Z_D684BA0E_B94B_4BF7_8F27_4E3A1924425C_.wvu.FilterData" localSheetId="24" hidden="1">#REF!</definedName>
    <definedName name="Z_D684BA0E_B94B_4BF7_8F27_4E3A1924425C_.wvu.FilterData" localSheetId="23" hidden="1">#REF!</definedName>
    <definedName name="Z_D684BA0E_B94B_4BF7_8F27_4E3A1924425C_.wvu.FilterData" localSheetId="20" hidden="1">#REF!</definedName>
    <definedName name="Z_D684BA0E_B94B_4BF7_8F27_4E3A1924425C_.wvu.FilterData" localSheetId="19" hidden="1">#REF!</definedName>
    <definedName name="Z_D684BA0E_B94B_4BF7_8F27_4E3A1924425C_.wvu.FilterData" localSheetId="26" hidden="1">#REF!</definedName>
    <definedName name="Z_D684BA0E_B94B_4BF7_8F27_4E3A1924425C_.wvu.FilterData" localSheetId="27" hidden="1">#REF!</definedName>
    <definedName name="Z_D684BA0E_B94B_4BF7_8F27_4E3A1924425C_.wvu.FilterData" localSheetId="25" hidden="1">#REF!</definedName>
    <definedName name="Z_D684BA0E_B94B_4BF7_8F27_4E3A1924425C_.wvu.FilterData" localSheetId="7" hidden="1">#REF!</definedName>
    <definedName name="Z_D684BA0E_B94B_4BF7_8F27_4E3A1924425C_.wvu.FilterData" localSheetId="4" hidden="1">#REF!</definedName>
    <definedName name="Z_D684BA0E_B94B_4BF7_8F27_4E3A1924425C_.wvu.FilterData" localSheetId="5" hidden="1">#REF!</definedName>
    <definedName name="Z_D684BA0E_B94B_4BF7_8F27_4E3A1924425C_.wvu.FilterData" localSheetId="2" hidden="1">#REF!</definedName>
    <definedName name="Z_D684BA0E_B94B_4BF7_8F27_4E3A1924425C_.wvu.FilterData" localSheetId="3" hidden="1">#REF!</definedName>
    <definedName name="Z_D684BA0E_B94B_4BF7_8F27_4E3A1924425C_.wvu.FilterData" hidden="1">#REF!</definedName>
    <definedName name="Z_D9443332_B48E_4E65_8F23_AC96FB75A5A9_.wvu.FilterData" localSheetId="21" hidden="1">#REF!</definedName>
    <definedName name="Z_D9443332_B48E_4E65_8F23_AC96FB75A5A9_.wvu.FilterData" localSheetId="12" hidden="1">#REF!</definedName>
    <definedName name="Z_D9443332_B48E_4E65_8F23_AC96FB75A5A9_.wvu.FilterData" localSheetId="13" hidden="1">#REF!</definedName>
    <definedName name="Z_D9443332_B48E_4E65_8F23_AC96FB75A5A9_.wvu.FilterData" localSheetId="14" hidden="1">#REF!</definedName>
    <definedName name="Z_D9443332_B48E_4E65_8F23_AC96FB75A5A9_.wvu.FilterData" localSheetId="16" hidden="1">#REF!</definedName>
    <definedName name="Z_D9443332_B48E_4E65_8F23_AC96FB75A5A9_.wvu.FilterData" localSheetId="15" hidden="1">#REF!</definedName>
    <definedName name="Z_D9443332_B48E_4E65_8F23_AC96FB75A5A9_.wvu.FilterData" localSheetId="17" hidden="1">#REF!</definedName>
    <definedName name="Z_D9443332_B48E_4E65_8F23_AC96FB75A5A9_.wvu.FilterData" localSheetId="11" hidden="1">#REF!</definedName>
    <definedName name="Z_D9443332_B48E_4E65_8F23_AC96FB75A5A9_.wvu.FilterData" localSheetId="10" hidden="1">#REF!</definedName>
    <definedName name="Z_D9443332_B48E_4E65_8F23_AC96FB75A5A9_.wvu.FilterData" localSheetId="22" hidden="1">#REF!</definedName>
    <definedName name="Z_D9443332_B48E_4E65_8F23_AC96FB75A5A9_.wvu.FilterData" localSheetId="24" hidden="1">#REF!</definedName>
    <definedName name="Z_D9443332_B48E_4E65_8F23_AC96FB75A5A9_.wvu.FilterData" localSheetId="23" hidden="1">#REF!</definedName>
    <definedName name="Z_D9443332_B48E_4E65_8F23_AC96FB75A5A9_.wvu.FilterData" localSheetId="20" hidden="1">#REF!</definedName>
    <definedName name="Z_D9443332_B48E_4E65_8F23_AC96FB75A5A9_.wvu.FilterData" localSheetId="19" hidden="1">#REF!</definedName>
    <definedName name="Z_D9443332_B48E_4E65_8F23_AC96FB75A5A9_.wvu.FilterData" localSheetId="26" hidden="1">#REF!</definedName>
    <definedName name="Z_D9443332_B48E_4E65_8F23_AC96FB75A5A9_.wvu.FilterData" localSheetId="27" hidden="1">#REF!</definedName>
    <definedName name="Z_D9443332_B48E_4E65_8F23_AC96FB75A5A9_.wvu.FilterData" localSheetId="25" hidden="1">#REF!</definedName>
    <definedName name="Z_D9443332_B48E_4E65_8F23_AC96FB75A5A9_.wvu.FilterData" localSheetId="7" hidden="1">#REF!</definedName>
    <definedName name="Z_D9443332_B48E_4E65_8F23_AC96FB75A5A9_.wvu.FilterData" localSheetId="4" hidden="1">#REF!</definedName>
    <definedName name="Z_D9443332_B48E_4E65_8F23_AC96FB75A5A9_.wvu.FilterData" localSheetId="5" hidden="1">#REF!</definedName>
    <definedName name="Z_D9443332_B48E_4E65_8F23_AC96FB75A5A9_.wvu.FilterData" localSheetId="2" hidden="1">#REF!</definedName>
    <definedName name="Z_D9443332_B48E_4E65_8F23_AC96FB75A5A9_.wvu.FilterData" localSheetId="3" hidden="1">#REF!</definedName>
    <definedName name="Z_D9443332_B48E_4E65_8F23_AC96FB75A5A9_.wvu.FilterData" hidden="1">#REF!</definedName>
    <definedName name="Z_DAA35AF8_874B_4671_A195_994D9700CFB0_.wvu.FilterData" localSheetId="21" hidden="1">#REF!</definedName>
    <definedName name="Z_DAA35AF8_874B_4671_A195_994D9700CFB0_.wvu.FilterData" localSheetId="12" hidden="1">#REF!</definedName>
    <definedName name="Z_DAA35AF8_874B_4671_A195_994D9700CFB0_.wvu.FilterData" localSheetId="13" hidden="1">#REF!</definedName>
    <definedName name="Z_DAA35AF8_874B_4671_A195_994D9700CFB0_.wvu.FilterData" localSheetId="14" hidden="1">#REF!</definedName>
    <definedName name="Z_DAA35AF8_874B_4671_A195_994D9700CFB0_.wvu.FilterData" localSheetId="16" hidden="1">#REF!</definedName>
    <definedName name="Z_DAA35AF8_874B_4671_A195_994D9700CFB0_.wvu.FilterData" localSheetId="15" hidden="1">#REF!</definedName>
    <definedName name="Z_DAA35AF8_874B_4671_A195_994D9700CFB0_.wvu.FilterData" localSheetId="17" hidden="1">#REF!</definedName>
    <definedName name="Z_DAA35AF8_874B_4671_A195_994D9700CFB0_.wvu.FilterData" localSheetId="11" hidden="1">#REF!</definedName>
    <definedName name="Z_DAA35AF8_874B_4671_A195_994D9700CFB0_.wvu.FilterData" localSheetId="10" hidden="1">#REF!</definedName>
    <definedName name="Z_DAA35AF8_874B_4671_A195_994D9700CFB0_.wvu.FilterData" localSheetId="22" hidden="1">#REF!</definedName>
    <definedName name="Z_DAA35AF8_874B_4671_A195_994D9700CFB0_.wvu.FilterData" localSheetId="24" hidden="1">#REF!</definedName>
    <definedName name="Z_DAA35AF8_874B_4671_A195_994D9700CFB0_.wvu.FilterData" localSheetId="23" hidden="1">#REF!</definedName>
    <definedName name="Z_DAA35AF8_874B_4671_A195_994D9700CFB0_.wvu.FilterData" localSheetId="20" hidden="1">#REF!</definedName>
    <definedName name="Z_DAA35AF8_874B_4671_A195_994D9700CFB0_.wvu.FilterData" localSheetId="19" hidden="1">#REF!</definedName>
    <definedName name="Z_DAA35AF8_874B_4671_A195_994D9700CFB0_.wvu.FilterData" localSheetId="26" hidden="1">#REF!</definedName>
    <definedName name="Z_DAA35AF8_874B_4671_A195_994D9700CFB0_.wvu.FilterData" localSheetId="27" hidden="1">#REF!</definedName>
    <definedName name="Z_DAA35AF8_874B_4671_A195_994D9700CFB0_.wvu.FilterData" localSheetId="25" hidden="1">#REF!</definedName>
    <definedName name="Z_DAA35AF8_874B_4671_A195_994D9700CFB0_.wvu.FilterData" localSheetId="7" hidden="1">#REF!</definedName>
    <definedName name="Z_DAA35AF8_874B_4671_A195_994D9700CFB0_.wvu.FilterData" localSheetId="4" hidden="1">#REF!</definedName>
    <definedName name="Z_DAA35AF8_874B_4671_A195_994D9700CFB0_.wvu.FilterData" localSheetId="5" hidden="1">#REF!</definedName>
    <definedName name="Z_DAA35AF8_874B_4671_A195_994D9700CFB0_.wvu.FilterData" localSheetId="2" hidden="1">#REF!</definedName>
    <definedName name="Z_DAA35AF8_874B_4671_A195_994D9700CFB0_.wvu.FilterData" localSheetId="3" hidden="1">#REF!</definedName>
    <definedName name="Z_DAA35AF8_874B_4671_A195_994D9700CFB0_.wvu.FilterData" hidden="1">#REF!</definedName>
    <definedName name="Z_DB31579F_8662_40C5_BB19_660F0F7B70E5_.wvu.FilterData" localSheetId="21" hidden="1">#REF!</definedName>
    <definedName name="Z_DB31579F_8662_40C5_BB19_660F0F7B70E5_.wvu.FilterData" localSheetId="12" hidden="1">#REF!</definedName>
    <definedName name="Z_DB31579F_8662_40C5_BB19_660F0F7B70E5_.wvu.FilterData" localSheetId="13" hidden="1">#REF!</definedName>
    <definedName name="Z_DB31579F_8662_40C5_BB19_660F0F7B70E5_.wvu.FilterData" localSheetId="14" hidden="1">#REF!</definedName>
    <definedName name="Z_DB31579F_8662_40C5_BB19_660F0F7B70E5_.wvu.FilterData" localSheetId="16" hidden="1">#REF!</definedName>
    <definedName name="Z_DB31579F_8662_40C5_BB19_660F0F7B70E5_.wvu.FilterData" localSheetId="15" hidden="1">#REF!</definedName>
    <definedName name="Z_DB31579F_8662_40C5_BB19_660F0F7B70E5_.wvu.FilterData" localSheetId="17" hidden="1">#REF!</definedName>
    <definedName name="Z_DB31579F_8662_40C5_BB19_660F0F7B70E5_.wvu.FilterData" localSheetId="11" hidden="1">#REF!</definedName>
    <definedName name="Z_DB31579F_8662_40C5_BB19_660F0F7B70E5_.wvu.FilterData" localSheetId="10" hidden="1">#REF!</definedName>
    <definedName name="Z_DB31579F_8662_40C5_BB19_660F0F7B70E5_.wvu.FilterData" localSheetId="22" hidden="1">#REF!</definedName>
    <definedName name="Z_DB31579F_8662_40C5_BB19_660F0F7B70E5_.wvu.FilterData" localSheetId="24" hidden="1">#REF!</definedName>
    <definedName name="Z_DB31579F_8662_40C5_BB19_660F0F7B70E5_.wvu.FilterData" localSheetId="23" hidden="1">#REF!</definedName>
    <definedName name="Z_DB31579F_8662_40C5_BB19_660F0F7B70E5_.wvu.FilterData" localSheetId="20" hidden="1">#REF!</definedName>
    <definedName name="Z_DB31579F_8662_40C5_BB19_660F0F7B70E5_.wvu.FilterData" localSheetId="19" hidden="1">#REF!</definedName>
    <definedName name="Z_DB31579F_8662_40C5_BB19_660F0F7B70E5_.wvu.FilterData" localSheetId="26" hidden="1">#REF!</definedName>
    <definedName name="Z_DB31579F_8662_40C5_BB19_660F0F7B70E5_.wvu.FilterData" localSheetId="27" hidden="1">#REF!</definedName>
    <definedName name="Z_DB31579F_8662_40C5_BB19_660F0F7B70E5_.wvu.FilterData" localSheetId="25" hidden="1">#REF!</definedName>
    <definedName name="Z_DB31579F_8662_40C5_BB19_660F0F7B70E5_.wvu.FilterData" localSheetId="7" hidden="1">#REF!</definedName>
    <definedName name="Z_DB31579F_8662_40C5_BB19_660F0F7B70E5_.wvu.FilterData" localSheetId="4" hidden="1">#REF!</definedName>
    <definedName name="Z_DB31579F_8662_40C5_BB19_660F0F7B70E5_.wvu.FilterData" localSheetId="5" hidden="1">#REF!</definedName>
    <definedName name="Z_DB31579F_8662_40C5_BB19_660F0F7B70E5_.wvu.FilterData" localSheetId="2" hidden="1">#REF!</definedName>
    <definedName name="Z_DB31579F_8662_40C5_BB19_660F0F7B70E5_.wvu.FilterData" localSheetId="3" hidden="1">#REF!</definedName>
    <definedName name="Z_DB31579F_8662_40C5_BB19_660F0F7B70E5_.wvu.FilterData" hidden="1">#REF!</definedName>
    <definedName name="Z_DB349C77_BBCF_4BF0_8906_770DC9CEB279_.wvu.FilterData" localSheetId="21" hidden="1">#REF!</definedName>
    <definedName name="Z_DB349C77_BBCF_4BF0_8906_770DC9CEB279_.wvu.FilterData" localSheetId="12" hidden="1">#REF!</definedName>
    <definedName name="Z_DB349C77_BBCF_4BF0_8906_770DC9CEB279_.wvu.FilterData" localSheetId="13" hidden="1">#REF!</definedName>
    <definedName name="Z_DB349C77_BBCF_4BF0_8906_770DC9CEB279_.wvu.FilterData" localSheetId="14" hidden="1">#REF!</definedName>
    <definedName name="Z_DB349C77_BBCF_4BF0_8906_770DC9CEB279_.wvu.FilterData" localSheetId="16" hidden="1">#REF!</definedName>
    <definedName name="Z_DB349C77_BBCF_4BF0_8906_770DC9CEB279_.wvu.FilterData" localSheetId="15" hidden="1">#REF!</definedName>
    <definedName name="Z_DB349C77_BBCF_4BF0_8906_770DC9CEB279_.wvu.FilterData" localSheetId="17" hidden="1">#REF!</definedName>
    <definedName name="Z_DB349C77_BBCF_4BF0_8906_770DC9CEB279_.wvu.FilterData" localSheetId="11" hidden="1">#REF!</definedName>
    <definedName name="Z_DB349C77_BBCF_4BF0_8906_770DC9CEB279_.wvu.FilterData" localSheetId="10" hidden="1">#REF!</definedName>
    <definedName name="Z_DB349C77_BBCF_4BF0_8906_770DC9CEB279_.wvu.FilterData" localSheetId="22" hidden="1">#REF!</definedName>
    <definedName name="Z_DB349C77_BBCF_4BF0_8906_770DC9CEB279_.wvu.FilterData" localSheetId="24" hidden="1">#REF!</definedName>
    <definedName name="Z_DB349C77_BBCF_4BF0_8906_770DC9CEB279_.wvu.FilterData" localSheetId="23" hidden="1">#REF!</definedName>
    <definedName name="Z_DB349C77_BBCF_4BF0_8906_770DC9CEB279_.wvu.FilterData" localSheetId="20" hidden="1">#REF!</definedName>
    <definedName name="Z_DB349C77_BBCF_4BF0_8906_770DC9CEB279_.wvu.FilterData" localSheetId="19" hidden="1">#REF!</definedName>
    <definedName name="Z_DB349C77_BBCF_4BF0_8906_770DC9CEB279_.wvu.FilterData" localSheetId="26" hidden="1">#REF!</definedName>
    <definedName name="Z_DB349C77_BBCF_4BF0_8906_770DC9CEB279_.wvu.FilterData" localSheetId="27" hidden="1">#REF!</definedName>
    <definedName name="Z_DB349C77_BBCF_4BF0_8906_770DC9CEB279_.wvu.FilterData" localSheetId="25" hidden="1">#REF!</definedName>
    <definedName name="Z_DB349C77_BBCF_4BF0_8906_770DC9CEB279_.wvu.FilterData" localSheetId="7" hidden="1">#REF!</definedName>
    <definedName name="Z_DB349C77_BBCF_4BF0_8906_770DC9CEB279_.wvu.FilterData" localSheetId="4" hidden="1">#REF!</definedName>
    <definedName name="Z_DB349C77_BBCF_4BF0_8906_770DC9CEB279_.wvu.FilterData" localSheetId="5" hidden="1">#REF!</definedName>
    <definedName name="Z_DB349C77_BBCF_4BF0_8906_770DC9CEB279_.wvu.FilterData" localSheetId="2" hidden="1">#REF!</definedName>
    <definedName name="Z_DB349C77_BBCF_4BF0_8906_770DC9CEB279_.wvu.FilterData" localSheetId="3" hidden="1">#REF!</definedName>
    <definedName name="Z_DB349C77_BBCF_4BF0_8906_770DC9CEB279_.wvu.FilterData" hidden="1">#REF!</definedName>
    <definedName name="Z_DBA9A16F_C863_43D6_BEF6_4907AD7FF11A_.wvu.FilterData" localSheetId="21" hidden="1">#REF!</definedName>
    <definedName name="Z_DBA9A16F_C863_43D6_BEF6_4907AD7FF11A_.wvu.FilterData" localSheetId="12" hidden="1">#REF!</definedName>
    <definedName name="Z_DBA9A16F_C863_43D6_BEF6_4907AD7FF11A_.wvu.FilterData" localSheetId="13" hidden="1">#REF!</definedName>
    <definedName name="Z_DBA9A16F_C863_43D6_BEF6_4907AD7FF11A_.wvu.FilterData" localSheetId="14" hidden="1">#REF!</definedName>
    <definedName name="Z_DBA9A16F_C863_43D6_BEF6_4907AD7FF11A_.wvu.FilterData" localSheetId="16" hidden="1">#REF!</definedName>
    <definedName name="Z_DBA9A16F_C863_43D6_BEF6_4907AD7FF11A_.wvu.FilterData" localSheetId="15" hidden="1">#REF!</definedName>
    <definedName name="Z_DBA9A16F_C863_43D6_BEF6_4907AD7FF11A_.wvu.FilterData" localSheetId="17" hidden="1">#REF!</definedName>
    <definedName name="Z_DBA9A16F_C863_43D6_BEF6_4907AD7FF11A_.wvu.FilterData" localSheetId="11" hidden="1">#REF!</definedName>
    <definedName name="Z_DBA9A16F_C863_43D6_BEF6_4907AD7FF11A_.wvu.FilterData" localSheetId="10" hidden="1">#REF!</definedName>
    <definedName name="Z_DBA9A16F_C863_43D6_BEF6_4907AD7FF11A_.wvu.FilterData" localSheetId="22" hidden="1">#REF!</definedName>
    <definedName name="Z_DBA9A16F_C863_43D6_BEF6_4907AD7FF11A_.wvu.FilterData" localSheetId="24" hidden="1">#REF!</definedName>
    <definedName name="Z_DBA9A16F_C863_43D6_BEF6_4907AD7FF11A_.wvu.FilterData" localSheetId="23" hidden="1">#REF!</definedName>
    <definedName name="Z_DBA9A16F_C863_43D6_BEF6_4907AD7FF11A_.wvu.FilterData" localSheetId="20" hidden="1">#REF!</definedName>
    <definedName name="Z_DBA9A16F_C863_43D6_BEF6_4907AD7FF11A_.wvu.FilterData" localSheetId="19" hidden="1">#REF!</definedName>
    <definedName name="Z_DBA9A16F_C863_43D6_BEF6_4907AD7FF11A_.wvu.FilterData" localSheetId="26" hidden="1">#REF!</definedName>
    <definedName name="Z_DBA9A16F_C863_43D6_BEF6_4907AD7FF11A_.wvu.FilterData" localSheetId="27" hidden="1">#REF!</definedName>
    <definedName name="Z_DBA9A16F_C863_43D6_BEF6_4907AD7FF11A_.wvu.FilterData" localSheetId="25" hidden="1">#REF!</definedName>
    <definedName name="Z_DBA9A16F_C863_43D6_BEF6_4907AD7FF11A_.wvu.FilterData" localSheetId="7" hidden="1">#REF!</definedName>
    <definedName name="Z_DBA9A16F_C863_43D6_BEF6_4907AD7FF11A_.wvu.FilterData" localSheetId="4" hidden="1">#REF!</definedName>
    <definedName name="Z_DBA9A16F_C863_43D6_BEF6_4907AD7FF11A_.wvu.FilterData" localSheetId="5" hidden="1">#REF!</definedName>
    <definedName name="Z_DBA9A16F_C863_43D6_BEF6_4907AD7FF11A_.wvu.FilterData" localSheetId="2" hidden="1">#REF!</definedName>
    <definedName name="Z_DBA9A16F_C863_43D6_BEF6_4907AD7FF11A_.wvu.FilterData" localSheetId="3" hidden="1">#REF!</definedName>
    <definedName name="Z_DBA9A16F_C863_43D6_BEF6_4907AD7FF11A_.wvu.FilterData" hidden="1">#REF!</definedName>
    <definedName name="Z_DC39DC03_5BF1_41DE_A26D_8DA774859990_.wvu.FilterData" localSheetId="21" hidden="1">#REF!</definedName>
    <definedName name="Z_DC39DC03_5BF1_41DE_A26D_8DA774859990_.wvu.FilterData" localSheetId="12" hidden="1">#REF!</definedName>
    <definedName name="Z_DC39DC03_5BF1_41DE_A26D_8DA774859990_.wvu.FilterData" localSheetId="13" hidden="1">#REF!</definedName>
    <definedName name="Z_DC39DC03_5BF1_41DE_A26D_8DA774859990_.wvu.FilterData" localSheetId="14" hidden="1">#REF!</definedName>
    <definedName name="Z_DC39DC03_5BF1_41DE_A26D_8DA774859990_.wvu.FilterData" localSheetId="16" hidden="1">#REF!</definedName>
    <definedName name="Z_DC39DC03_5BF1_41DE_A26D_8DA774859990_.wvu.FilterData" localSheetId="15" hidden="1">#REF!</definedName>
    <definedName name="Z_DC39DC03_5BF1_41DE_A26D_8DA774859990_.wvu.FilterData" localSheetId="17" hidden="1">#REF!</definedName>
    <definedName name="Z_DC39DC03_5BF1_41DE_A26D_8DA774859990_.wvu.FilterData" localSheetId="11" hidden="1">#REF!</definedName>
    <definedName name="Z_DC39DC03_5BF1_41DE_A26D_8DA774859990_.wvu.FilterData" localSheetId="10" hidden="1">#REF!</definedName>
    <definedName name="Z_DC39DC03_5BF1_41DE_A26D_8DA774859990_.wvu.FilterData" localSheetId="22" hidden="1">#REF!</definedName>
    <definedName name="Z_DC39DC03_5BF1_41DE_A26D_8DA774859990_.wvu.FilterData" localSheetId="24" hidden="1">#REF!</definedName>
    <definedName name="Z_DC39DC03_5BF1_41DE_A26D_8DA774859990_.wvu.FilterData" localSheetId="23" hidden="1">#REF!</definedName>
    <definedName name="Z_DC39DC03_5BF1_41DE_A26D_8DA774859990_.wvu.FilterData" localSheetId="20" hidden="1">#REF!</definedName>
    <definedName name="Z_DC39DC03_5BF1_41DE_A26D_8DA774859990_.wvu.FilterData" localSheetId="19" hidden="1">#REF!</definedName>
    <definedName name="Z_DC39DC03_5BF1_41DE_A26D_8DA774859990_.wvu.FilterData" localSheetId="26" hidden="1">#REF!</definedName>
    <definedName name="Z_DC39DC03_5BF1_41DE_A26D_8DA774859990_.wvu.FilterData" localSheetId="27" hidden="1">#REF!</definedName>
    <definedName name="Z_DC39DC03_5BF1_41DE_A26D_8DA774859990_.wvu.FilterData" localSheetId="25" hidden="1">#REF!</definedName>
    <definedName name="Z_DC39DC03_5BF1_41DE_A26D_8DA774859990_.wvu.FilterData" localSheetId="7" hidden="1">#REF!</definedName>
    <definedName name="Z_DC39DC03_5BF1_41DE_A26D_8DA774859990_.wvu.FilterData" localSheetId="4" hidden="1">#REF!</definedName>
    <definedName name="Z_DC39DC03_5BF1_41DE_A26D_8DA774859990_.wvu.FilterData" localSheetId="5" hidden="1">#REF!</definedName>
    <definedName name="Z_DC39DC03_5BF1_41DE_A26D_8DA774859990_.wvu.FilterData" localSheetId="2" hidden="1">#REF!</definedName>
    <definedName name="Z_DC39DC03_5BF1_41DE_A26D_8DA774859990_.wvu.FilterData" localSheetId="3" hidden="1">#REF!</definedName>
    <definedName name="Z_DC39DC03_5BF1_41DE_A26D_8DA774859990_.wvu.FilterData" hidden="1">#REF!</definedName>
    <definedName name="Z_DC4BE57B_E9B6_4823_AAB5_0B4AD0A1C9F8_.wvu.FilterData" localSheetId="21" hidden="1">#REF!</definedName>
    <definedName name="Z_DC4BE57B_E9B6_4823_AAB5_0B4AD0A1C9F8_.wvu.FilterData" localSheetId="12" hidden="1">#REF!</definedName>
    <definedName name="Z_DC4BE57B_E9B6_4823_AAB5_0B4AD0A1C9F8_.wvu.FilterData" localSheetId="13" hidden="1">#REF!</definedName>
    <definedName name="Z_DC4BE57B_E9B6_4823_AAB5_0B4AD0A1C9F8_.wvu.FilterData" localSheetId="14" hidden="1">#REF!</definedName>
    <definedName name="Z_DC4BE57B_E9B6_4823_AAB5_0B4AD0A1C9F8_.wvu.FilterData" localSheetId="16" hidden="1">#REF!</definedName>
    <definedName name="Z_DC4BE57B_E9B6_4823_AAB5_0B4AD0A1C9F8_.wvu.FilterData" localSheetId="15" hidden="1">#REF!</definedName>
    <definedName name="Z_DC4BE57B_E9B6_4823_AAB5_0B4AD0A1C9F8_.wvu.FilterData" localSheetId="17" hidden="1">#REF!</definedName>
    <definedName name="Z_DC4BE57B_E9B6_4823_AAB5_0B4AD0A1C9F8_.wvu.FilterData" localSheetId="11" hidden="1">#REF!</definedName>
    <definedName name="Z_DC4BE57B_E9B6_4823_AAB5_0B4AD0A1C9F8_.wvu.FilterData" localSheetId="10" hidden="1">#REF!</definedName>
    <definedName name="Z_DC4BE57B_E9B6_4823_AAB5_0B4AD0A1C9F8_.wvu.FilterData" localSheetId="22" hidden="1">#REF!</definedName>
    <definedName name="Z_DC4BE57B_E9B6_4823_AAB5_0B4AD0A1C9F8_.wvu.FilterData" localSheetId="24" hidden="1">#REF!</definedName>
    <definedName name="Z_DC4BE57B_E9B6_4823_AAB5_0B4AD0A1C9F8_.wvu.FilterData" localSheetId="23" hidden="1">#REF!</definedName>
    <definedName name="Z_DC4BE57B_E9B6_4823_AAB5_0B4AD0A1C9F8_.wvu.FilterData" localSheetId="20" hidden="1">#REF!</definedName>
    <definedName name="Z_DC4BE57B_E9B6_4823_AAB5_0B4AD0A1C9F8_.wvu.FilterData" localSheetId="19" hidden="1">#REF!</definedName>
    <definedName name="Z_DC4BE57B_E9B6_4823_AAB5_0B4AD0A1C9F8_.wvu.FilterData" localSheetId="26" hidden="1">#REF!</definedName>
    <definedName name="Z_DC4BE57B_E9B6_4823_AAB5_0B4AD0A1C9F8_.wvu.FilterData" localSheetId="27" hidden="1">#REF!</definedName>
    <definedName name="Z_DC4BE57B_E9B6_4823_AAB5_0B4AD0A1C9F8_.wvu.FilterData" localSheetId="25" hidden="1">#REF!</definedName>
    <definedName name="Z_DC4BE57B_E9B6_4823_AAB5_0B4AD0A1C9F8_.wvu.FilterData" localSheetId="7" hidden="1">#REF!</definedName>
    <definedName name="Z_DC4BE57B_E9B6_4823_AAB5_0B4AD0A1C9F8_.wvu.FilterData" localSheetId="4" hidden="1">#REF!</definedName>
    <definedName name="Z_DC4BE57B_E9B6_4823_AAB5_0B4AD0A1C9F8_.wvu.FilterData" localSheetId="5" hidden="1">#REF!</definedName>
    <definedName name="Z_DC4BE57B_E9B6_4823_AAB5_0B4AD0A1C9F8_.wvu.FilterData" localSheetId="2" hidden="1">#REF!</definedName>
    <definedName name="Z_DC4BE57B_E9B6_4823_AAB5_0B4AD0A1C9F8_.wvu.FilterData" localSheetId="3" hidden="1">#REF!</definedName>
    <definedName name="Z_DC4BE57B_E9B6_4823_AAB5_0B4AD0A1C9F8_.wvu.FilterData" hidden="1">#REF!</definedName>
    <definedName name="Z_DD40B456_B833_4D7B_A3C9_47AA2D6A0830_.wvu.FilterData" localSheetId="21" hidden="1">#REF!</definedName>
    <definedName name="Z_DD40B456_B833_4D7B_A3C9_47AA2D6A0830_.wvu.FilterData" localSheetId="12" hidden="1">#REF!</definedName>
    <definedName name="Z_DD40B456_B833_4D7B_A3C9_47AA2D6A0830_.wvu.FilterData" localSheetId="13" hidden="1">#REF!</definedName>
    <definedName name="Z_DD40B456_B833_4D7B_A3C9_47AA2D6A0830_.wvu.FilterData" localSheetId="14" hidden="1">#REF!</definedName>
    <definedName name="Z_DD40B456_B833_4D7B_A3C9_47AA2D6A0830_.wvu.FilterData" localSheetId="16" hidden="1">#REF!</definedName>
    <definedName name="Z_DD40B456_B833_4D7B_A3C9_47AA2D6A0830_.wvu.FilterData" localSheetId="15" hidden="1">#REF!</definedName>
    <definedName name="Z_DD40B456_B833_4D7B_A3C9_47AA2D6A0830_.wvu.FilterData" localSheetId="17" hidden="1">#REF!</definedName>
    <definedName name="Z_DD40B456_B833_4D7B_A3C9_47AA2D6A0830_.wvu.FilterData" localSheetId="11" hidden="1">#REF!</definedName>
    <definedName name="Z_DD40B456_B833_4D7B_A3C9_47AA2D6A0830_.wvu.FilterData" localSheetId="10" hidden="1">#REF!</definedName>
    <definedName name="Z_DD40B456_B833_4D7B_A3C9_47AA2D6A0830_.wvu.FilterData" localSheetId="22" hidden="1">#REF!</definedName>
    <definedName name="Z_DD40B456_B833_4D7B_A3C9_47AA2D6A0830_.wvu.FilterData" localSheetId="24" hidden="1">#REF!</definedName>
    <definedName name="Z_DD40B456_B833_4D7B_A3C9_47AA2D6A0830_.wvu.FilterData" localSheetId="23" hidden="1">#REF!</definedName>
    <definedName name="Z_DD40B456_B833_4D7B_A3C9_47AA2D6A0830_.wvu.FilterData" localSheetId="20" hidden="1">#REF!</definedName>
    <definedName name="Z_DD40B456_B833_4D7B_A3C9_47AA2D6A0830_.wvu.FilterData" localSheetId="19" hidden="1">#REF!</definedName>
    <definedName name="Z_DD40B456_B833_4D7B_A3C9_47AA2D6A0830_.wvu.FilterData" localSheetId="26" hidden="1">#REF!</definedName>
    <definedName name="Z_DD40B456_B833_4D7B_A3C9_47AA2D6A0830_.wvu.FilterData" localSheetId="27" hidden="1">#REF!</definedName>
    <definedName name="Z_DD40B456_B833_4D7B_A3C9_47AA2D6A0830_.wvu.FilterData" localSheetId="25" hidden="1">#REF!</definedName>
    <definedName name="Z_DD40B456_B833_4D7B_A3C9_47AA2D6A0830_.wvu.FilterData" localSheetId="7" hidden="1">#REF!</definedName>
    <definedName name="Z_DD40B456_B833_4D7B_A3C9_47AA2D6A0830_.wvu.FilterData" localSheetId="4" hidden="1">#REF!</definedName>
    <definedName name="Z_DD40B456_B833_4D7B_A3C9_47AA2D6A0830_.wvu.FilterData" localSheetId="5" hidden="1">#REF!</definedName>
    <definedName name="Z_DD40B456_B833_4D7B_A3C9_47AA2D6A0830_.wvu.FilterData" localSheetId="2" hidden="1">#REF!</definedName>
    <definedName name="Z_DD40B456_B833_4D7B_A3C9_47AA2D6A0830_.wvu.FilterData" localSheetId="3" hidden="1">#REF!</definedName>
    <definedName name="Z_DD40B456_B833_4D7B_A3C9_47AA2D6A0830_.wvu.FilterData" hidden="1">#REF!</definedName>
    <definedName name="Z_DDC9046D_2716_4CA3_9471_7091058B3C12_.wvu.FilterData" localSheetId="21" hidden="1">#REF!</definedName>
    <definedName name="Z_DDC9046D_2716_4CA3_9471_7091058B3C12_.wvu.FilterData" localSheetId="12" hidden="1">#REF!</definedName>
    <definedName name="Z_DDC9046D_2716_4CA3_9471_7091058B3C12_.wvu.FilterData" localSheetId="13" hidden="1">#REF!</definedName>
    <definedName name="Z_DDC9046D_2716_4CA3_9471_7091058B3C12_.wvu.FilterData" localSheetId="14" hidden="1">#REF!</definedName>
    <definedName name="Z_DDC9046D_2716_4CA3_9471_7091058B3C12_.wvu.FilterData" localSheetId="16" hidden="1">#REF!</definedName>
    <definedName name="Z_DDC9046D_2716_4CA3_9471_7091058B3C12_.wvu.FilterData" localSheetId="15" hidden="1">#REF!</definedName>
    <definedName name="Z_DDC9046D_2716_4CA3_9471_7091058B3C12_.wvu.FilterData" localSheetId="17" hidden="1">#REF!</definedName>
    <definedName name="Z_DDC9046D_2716_4CA3_9471_7091058B3C12_.wvu.FilterData" localSheetId="11" hidden="1">#REF!</definedName>
    <definedName name="Z_DDC9046D_2716_4CA3_9471_7091058B3C12_.wvu.FilterData" localSheetId="10" hidden="1">#REF!</definedName>
    <definedName name="Z_DDC9046D_2716_4CA3_9471_7091058B3C12_.wvu.FilterData" localSheetId="22" hidden="1">#REF!</definedName>
    <definedName name="Z_DDC9046D_2716_4CA3_9471_7091058B3C12_.wvu.FilterData" localSheetId="24" hidden="1">#REF!</definedName>
    <definedName name="Z_DDC9046D_2716_4CA3_9471_7091058B3C12_.wvu.FilterData" localSheetId="23" hidden="1">#REF!</definedName>
    <definedName name="Z_DDC9046D_2716_4CA3_9471_7091058B3C12_.wvu.FilterData" localSheetId="20" hidden="1">#REF!</definedName>
    <definedName name="Z_DDC9046D_2716_4CA3_9471_7091058B3C12_.wvu.FilterData" localSheetId="19" hidden="1">#REF!</definedName>
    <definedName name="Z_DDC9046D_2716_4CA3_9471_7091058B3C12_.wvu.FilterData" localSheetId="26" hidden="1">#REF!</definedName>
    <definedName name="Z_DDC9046D_2716_4CA3_9471_7091058B3C12_.wvu.FilterData" localSheetId="27" hidden="1">#REF!</definedName>
    <definedName name="Z_DDC9046D_2716_4CA3_9471_7091058B3C12_.wvu.FilterData" localSheetId="25" hidden="1">#REF!</definedName>
    <definedName name="Z_DDC9046D_2716_4CA3_9471_7091058B3C12_.wvu.FilterData" localSheetId="7" hidden="1">#REF!</definedName>
    <definedName name="Z_DDC9046D_2716_4CA3_9471_7091058B3C12_.wvu.FilterData" localSheetId="4" hidden="1">#REF!</definedName>
    <definedName name="Z_DDC9046D_2716_4CA3_9471_7091058B3C12_.wvu.FilterData" localSheetId="5" hidden="1">#REF!</definedName>
    <definedName name="Z_DDC9046D_2716_4CA3_9471_7091058B3C12_.wvu.FilterData" localSheetId="2" hidden="1">#REF!</definedName>
    <definedName name="Z_DDC9046D_2716_4CA3_9471_7091058B3C12_.wvu.FilterData" localSheetId="3" hidden="1">#REF!</definedName>
    <definedName name="Z_DDC9046D_2716_4CA3_9471_7091058B3C12_.wvu.FilterData" hidden="1">#REF!</definedName>
    <definedName name="Z_DF3B204A_F509_4DA0_BCB7_F89536B5FEBF_.wvu.FilterData" localSheetId="21" hidden="1">#REF!</definedName>
    <definedName name="Z_DF3B204A_F509_4DA0_BCB7_F89536B5FEBF_.wvu.FilterData" localSheetId="12" hidden="1">#REF!</definedName>
    <definedName name="Z_DF3B204A_F509_4DA0_BCB7_F89536B5FEBF_.wvu.FilterData" localSheetId="13" hidden="1">#REF!</definedName>
    <definedName name="Z_DF3B204A_F509_4DA0_BCB7_F89536B5FEBF_.wvu.FilterData" localSheetId="14" hidden="1">#REF!</definedName>
    <definedName name="Z_DF3B204A_F509_4DA0_BCB7_F89536B5FEBF_.wvu.FilterData" localSheetId="16" hidden="1">#REF!</definedName>
    <definedName name="Z_DF3B204A_F509_4DA0_BCB7_F89536B5FEBF_.wvu.FilterData" localSheetId="15" hidden="1">#REF!</definedName>
    <definedName name="Z_DF3B204A_F509_4DA0_BCB7_F89536B5FEBF_.wvu.FilterData" localSheetId="17" hidden="1">#REF!</definedName>
    <definedName name="Z_DF3B204A_F509_4DA0_BCB7_F89536B5FEBF_.wvu.FilterData" localSheetId="11" hidden="1">#REF!</definedName>
    <definedName name="Z_DF3B204A_F509_4DA0_BCB7_F89536B5FEBF_.wvu.FilterData" localSheetId="10" hidden="1">#REF!</definedName>
    <definedName name="Z_DF3B204A_F509_4DA0_BCB7_F89536B5FEBF_.wvu.FilterData" localSheetId="22" hidden="1">#REF!</definedName>
    <definedName name="Z_DF3B204A_F509_4DA0_BCB7_F89536B5FEBF_.wvu.FilterData" localSheetId="24" hidden="1">#REF!</definedName>
    <definedName name="Z_DF3B204A_F509_4DA0_BCB7_F89536B5FEBF_.wvu.FilterData" localSheetId="23" hidden="1">#REF!</definedName>
    <definedName name="Z_DF3B204A_F509_4DA0_BCB7_F89536B5FEBF_.wvu.FilterData" localSheetId="20" hidden="1">#REF!</definedName>
    <definedName name="Z_DF3B204A_F509_4DA0_BCB7_F89536B5FEBF_.wvu.FilterData" localSheetId="19" hidden="1">#REF!</definedName>
    <definedName name="Z_DF3B204A_F509_4DA0_BCB7_F89536B5FEBF_.wvu.FilterData" localSheetId="26" hidden="1">#REF!</definedName>
    <definedName name="Z_DF3B204A_F509_4DA0_BCB7_F89536B5FEBF_.wvu.FilterData" localSheetId="27" hidden="1">#REF!</definedName>
    <definedName name="Z_DF3B204A_F509_4DA0_BCB7_F89536B5FEBF_.wvu.FilterData" localSheetId="25" hidden="1">#REF!</definedName>
    <definedName name="Z_DF3B204A_F509_4DA0_BCB7_F89536B5FEBF_.wvu.FilterData" localSheetId="7" hidden="1">#REF!</definedName>
    <definedName name="Z_DF3B204A_F509_4DA0_BCB7_F89536B5FEBF_.wvu.FilterData" localSheetId="4" hidden="1">#REF!</definedName>
    <definedName name="Z_DF3B204A_F509_4DA0_BCB7_F89536B5FEBF_.wvu.FilterData" localSheetId="5" hidden="1">#REF!</definedName>
    <definedName name="Z_DF3B204A_F509_4DA0_BCB7_F89536B5FEBF_.wvu.FilterData" localSheetId="2" hidden="1">#REF!</definedName>
    <definedName name="Z_DF3B204A_F509_4DA0_BCB7_F89536B5FEBF_.wvu.FilterData" localSheetId="3" hidden="1">#REF!</definedName>
    <definedName name="Z_DF3B204A_F509_4DA0_BCB7_F89536B5FEBF_.wvu.FilterData" hidden="1">#REF!</definedName>
    <definedName name="Z_E3FFE9E0_6C4F_4FB4_A56E_FBE96871B5C8_.wvu.Cols" hidden="1">[9]Jurídico!$D$1:$D$65536,[9]Jurídico!$F$1:$K$65536</definedName>
    <definedName name="Z_E491B72F_902A_11D7_9C1E_0004231B06E7_.wvu.FilterData" localSheetId="21" hidden="1">#REF!</definedName>
    <definedName name="Z_E491B72F_902A_11D7_9C1E_0004231B06E7_.wvu.FilterData" localSheetId="12" hidden="1">#REF!</definedName>
    <definedName name="Z_E491B72F_902A_11D7_9C1E_0004231B06E7_.wvu.FilterData" localSheetId="13" hidden="1">#REF!</definedName>
    <definedName name="Z_E491B72F_902A_11D7_9C1E_0004231B06E7_.wvu.FilterData" localSheetId="14" hidden="1">#REF!</definedName>
    <definedName name="Z_E491B72F_902A_11D7_9C1E_0004231B06E7_.wvu.FilterData" localSheetId="16" hidden="1">#REF!</definedName>
    <definedName name="Z_E491B72F_902A_11D7_9C1E_0004231B06E7_.wvu.FilterData" localSheetId="15" hidden="1">#REF!</definedName>
    <definedName name="Z_E491B72F_902A_11D7_9C1E_0004231B06E7_.wvu.FilterData" localSheetId="17" hidden="1">#REF!</definedName>
    <definedName name="Z_E491B72F_902A_11D7_9C1E_0004231B06E7_.wvu.FilterData" localSheetId="11" hidden="1">#REF!</definedName>
    <definedName name="Z_E491B72F_902A_11D7_9C1E_0004231B06E7_.wvu.FilterData" localSheetId="10" hidden="1">#REF!</definedName>
    <definedName name="Z_E491B72F_902A_11D7_9C1E_0004231B06E7_.wvu.FilterData" localSheetId="22" hidden="1">#REF!</definedName>
    <definedName name="Z_E491B72F_902A_11D7_9C1E_0004231B06E7_.wvu.FilterData" localSheetId="24" hidden="1">#REF!</definedName>
    <definedName name="Z_E491B72F_902A_11D7_9C1E_0004231B06E7_.wvu.FilterData" localSheetId="23" hidden="1">#REF!</definedName>
    <definedName name="Z_E491B72F_902A_11D7_9C1E_0004231B06E7_.wvu.FilterData" localSheetId="20" hidden="1">#REF!</definedName>
    <definedName name="Z_E491B72F_902A_11D7_9C1E_0004231B06E7_.wvu.FilterData" localSheetId="19" hidden="1">#REF!</definedName>
    <definedName name="Z_E491B72F_902A_11D7_9C1E_0004231B06E7_.wvu.FilterData" localSheetId="26" hidden="1">#REF!</definedName>
    <definedName name="Z_E491B72F_902A_11D7_9C1E_0004231B06E7_.wvu.FilterData" localSheetId="27" hidden="1">#REF!</definedName>
    <definedName name="Z_E491B72F_902A_11D7_9C1E_0004231B06E7_.wvu.FilterData" localSheetId="25" hidden="1">#REF!</definedName>
    <definedName name="Z_E491B72F_902A_11D7_9C1E_0004231B06E7_.wvu.FilterData" localSheetId="7" hidden="1">#REF!</definedName>
    <definedName name="Z_E491B72F_902A_11D7_9C1E_0004231B06E7_.wvu.FilterData" localSheetId="4" hidden="1">#REF!</definedName>
    <definedName name="Z_E491B72F_902A_11D7_9C1E_0004231B06E7_.wvu.FilterData" localSheetId="5" hidden="1">#REF!</definedName>
    <definedName name="Z_E491B72F_902A_11D7_9C1E_0004231B06E7_.wvu.FilterData" localSheetId="2" hidden="1">#REF!</definedName>
    <definedName name="Z_E491B72F_902A_11D7_9C1E_0004231B06E7_.wvu.FilterData" localSheetId="3" hidden="1">#REF!</definedName>
    <definedName name="Z_E491B72F_902A_11D7_9C1E_0004231B06E7_.wvu.FilterData" hidden="1">#REF!</definedName>
    <definedName name="Z_E491B77E_902A_11D7_9C1E_0004231B06E7_.wvu.FilterData" localSheetId="21" hidden="1">#REF!</definedName>
    <definedName name="Z_E491B77E_902A_11D7_9C1E_0004231B06E7_.wvu.FilterData" localSheetId="12" hidden="1">#REF!</definedName>
    <definedName name="Z_E491B77E_902A_11D7_9C1E_0004231B06E7_.wvu.FilterData" localSheetId="13" hidden="1">#REF!</definedName>
    <definedName name="Z_E491B77E_902A_11D7_9C1E_0004231B06E7_.wvu.FilterData" localSheetId="14" hidden="1">#REF!</definedName>
    <definedName name="Z_E491B77E_902A_11D7_9C1E_0004231B06E7_.wvu.FilterData" localSheetId="16" hidden="1">#REF!</definedName>
    <definedName name="Z_E491B77E_902A_11D7_9C1E_0004231B06E7_.wvu.FilterData" localSheetId="15" hidden="1">#REF!</definedName>
    <definedName name="Z_E491B77E_902A_11D7_9C1E_0004231B06E7_.wvu.FilterData" localSheetId="17" hidden="1">#REF!</definedName>
    <definedName name="Z_E491B77E_902A_11D7_9C1E_0004231B06E7_.wvu.FilterData" localSheetId="11" hidden="1">#REF!</definedName>
    <definedName name="Z_E491B77E_902A_11D7_9C1E_0004231B06E7_.wvu.FilterData" localSheetId="10" hidden="1">#REF!</definedName>
    <definedName name="Z_E491B77E_902A_11D7_9C1E_0004231B06E7_.wvu.FilterData" localSheetId="22" hidden="1">#REF!</definedName>
    <definedName name="Z_E491B77E_902A_11D7_9C1E_0004231B06E7_.wvu.FilterData" localSheetId="24" hidden="1">#REF!</definedName>
    <definedName name="Z_E491B77E_902A_11D7_9C1E_0004231B06E7_.wvu.FilterData" localSheetId="23" hidden="1">#REF!</definedName>
    <definedName name="Z_E491B77E_902A_11D7_9C1E_0004231B06E7_.wvu.FilterData" localSheetId="20" hidden="1">#REF!</definedName>
    <definedName name="Z_E491B77E_902A_11D7_9C1E_0004231B06E7_.wvu.FilterData" localSheetId="19" hidden="1">#REF!</definedName>
    <definedName name="Z_E491B77E_902A_11D7_9C1E_0004231B06E7_.wvu.FilterData" localSheetId="26" hidden="1">#REF!</definedName>
    <definedName name="Z_E491B77E_902A_11D7_9C1E_0004231B06E7_.wvu.FilterData" localSheetId="27" hidden="1">#REF!</definedName>
    <definedName name="Z_E491B77E_902A_11D7_9C1E_0004231B06E7_.wvu.FilterData" localSheetId="25" hidden="1">#REF!</definedName>
    <definedName name="Z_E491B77E_902A_11D7_9C1E_0004231B06E7_.wvu.FilterData" localSheetId="7" hidden="1">#REF!</definedName>
    <definedName name="Z_E491B77E_902A_11D7_9C1E_0004231B06E7_.wvu.FilterData" localSheetId="4" hidden="1">#REF!</definedName>
    <definedName name="Z_E491B77E_902A_11D7_9C1E_0004231B06E7_.wvu.FilterData" localSheetId="5" hidden="1">#REF!</definedName>
    <definedName name="Z_E491B77E_902A_11D7_9C1E_0004231B06E7_.wvu.FilterData" localSheetId="2" hidden="1">#REF!</definedName>
    <definedName name="Z_E491B77E_902A_11D7_9C1E_0004231B06E7_.wvu.FilterData" localSheetId="3" hidden="1">#REF!</definedName>
    <definedName name="Z_E491B77E_902A_11D7_9C1E_0004231B06E7_.wvu.FilterData" hidden="1">#REF!</definedName>
    <definedName name="Z_E4A534A8_CD89_4423_9F3F_8134353F3CAC_.wvu.FilterData" localSheetId="21" hidden="1">#REF!</definedName>
    <definedName name="Z_E4A534A8_CD89_4423_9F3F_8134353F3CAC_.wvu.FilterData" localSheetId="12" hidden="1">#REF!</definedName>
    <definedName name="Z_E4A534A8_CD89_4423_9F3F_8134353F3CAC_.wvu.FilterData" localSheetId="13" hidden="1">#REF!</definedName>
    <definedName name="Z_E4A534A8_CD89_4423_9F3F_8134353F3CAC_.wvu.FilterData" localSheetId="14" hidden="1">#REF!</definedName>
    <definedName name="Z_E4A534A8_CD89_4423_9F3F_8134353F3CAC_.wvu.FilterData" localSheetId="16" hidden="1">#REF!</definedName>
    <definedName name="Z_E4A534A8_CD89_4423_9F3F_8134353F3CAC_.wvu.FilterData" localSheetId="15" hidden="1">#REF!</definedName>
    <definedName name="Z_E4A534A8_CD89_4423_9F3F_8134353F3CAC_.wvu.FilterData" localSheetId="17" hidden="1">#REF!</definedName>
    <definedName name="Z_E4A534A8_CD89_4423_9F3F_8134353F3CAC_.wvu.FilterData" localSheetId="11" hidden="1">#REF!</definedName>
    <definedName name="Z_E4A534A8_CD89_4423_9F3F_8134353F3CAC_.wvu.FilterData" localSheetId="10" hidden="1">#REF!</definedName>
    <definedName name="Z_E4A534A8_CD89_4423_9F3F_8134353F3CAC_.wvu.FilterData" localSheetId="22" hidden="1">#REF!</definedName>
    <definedName name="Z_E4A534A8_CD89_4423_9F3F_8134353F3CAC_.wvu.FilterData" localSheetId="24" hidden="1">#REF!</definedName>
    <definedName name="Z_E4A534A8_CD89_4423_9F3F_8134353F3CAC_.wvu.FilterData" localSheetId="23" hidden="1">#REF!</definedName>
    <definedName name="Z_E4A534A8_CD89_4423_9F3F_8134353F3CAC_.wvu.FilterData" localSheetId="20" hidden="1">#REF!</definedName>
    <definedName name="Z_E4A534A8_CD89_4423_9F3F_8134353F3CAC_.wvu.FilterData" localSheetId="19" hidden="1">#REF!</definedName>
    <definedName name="Z_E4A534A8_CD89_4423_9F3F_8134353F3CAC_.wvu.FilterData" localSheetId="26" hidden="1">#REF!</definedName>
    <definedName name="Z_E4A534A8_CD89_4423_9F3F_8134353F3CAC_.wvu.FilterData" localSheetId="27" hidden="1">#REF!</definedName>
    <definedName name="Z_E4A534A8_CD89_4423_9F3F_8134353F3CAC_.wvu.FilterData" localSheetId="25" hidden="1">#REF!</definedName>
    <definedName name="Z_E4A534A8_CD89_4423_9F3F_8134353F3CAC_.wvu.FilterData" localSheetId="7" hidden="1">#REF!</definedName>
    <definedName name="Z_E4A534A8_CD89_4423_9F3F_8134353F3CAC_.wvu.FilterData" localSheetId="4" hidden="1">#REF!</definedName>
    <definedName name="Z_E4A534A8_CD89_4423_9F3F_8134353F3CAC_.wvu.FilterData" localSheetId="5" hidden="1">#REF!</definedName>
    <definedName name="Z_E4A534A8_CD89_4423_9F3F_8134353F3CAC_.wvu.FilterData" localSheetId="2" hidden="1">#REF!</definedName>
    <definedName name="Z_E4A534A8_CD89_4423_9F3F_8134353F3CAC_.wvu.FilterData" localSheetId="3" hidden="1">#REF!</definedName>
    <definedName name="Z_E4A534A8_CD89_4423_9F3F_8134353F3CAC_.wvu.FilterData" hidden="1">#REF!</definedName>
    <definedName name="Z_E4E1532E_DC25_47E7_8CAC_8E70342889F1_.wvu.FilterData" localSheetId="21" hidden="1">#REF!</definedName>
    <definedName name="Z_E4E1532E_DC25_47E7_8CAC_8E70342889F1_.wvu.FilterData" localSheetId="12" hidden="1">#REF!</definedName>
    <definedName name="Z_E4E1532E_DC25_47E7_8CAC_8E70342889F1_.wvu.FilterData" localSheetId="13" hidden="1">#REF!</definedName>
    <definedName name="Z_E4E1532E_DC25_47E7_8CAC_8E70342889F1_.wvu.FilterData" localSheetId="14" hidden="1">#REF!</definedName>
    <definedName name="Z_E4E1532E_DC25_47E7_8CAC_8E70342889F1_.wvu.FilterData" localSheetId="16" hidden="1">#REF!</definedName>
    <definedName name="Z_E4E1532E_DC25_47E7_8CAC_8E70342889F1_.wvu.FilterData" localSheetId="15" hidden="1">#REF!</definedName>
    <definedName name="Z_E4E1532E_DC25_47E7_8CAC_8E70342889F1_.wvu.FilterData" localSheetId="17" hidden="1">#REF!</definedName>
    <definedName name="Z_E4E1532E_DC25_47E7_8CAC_8E70342889F1_.wvu.FilterData" localSheetId="11" hidden="1">#REF!</definedName>
    <definedName name="Z_E4E1532E_DC25_47E7_8CAC_8E70342889F1_.wvu.FilterData" localSheetId="10" hidden="1">#REF!</definedName>
    <definedName name="Z_E4E1532E_DC25_47E7_8CAC_8E70342889F1_.wvu.FilterData" localSheetId="22" hidden="1">#REF!</definedName>
    <definedName name="Z_E4E1532E_DC25_47E7_8CAC_8E70342889F1_.wvu.FilterData" localSheetId="24" hidden="1">#REF!</definedName>
    <definedName name="Z_E4E1532E_DC25_47E7_8CAC_8E70342889F1_.wvu.FilterData" localSheetId="23" hidden="1">#REF!</definedName>
    <definedName name="Z_E4E1532E_DC25_47E7_8CAC_8E70342889F1_.wvu.FilterData" localSheetId="20" hidden="1">#REF!</definedName>
    <definedName name="Z_E4E1532E_DC25_47E7_8CAC_8E70342889F1_.wvu.FilterData" localSheetId="19" hidden="1">#REF!</definedName>
    <definedName name="Z_E4E1532E_DC25_47E7_8CAC_8E70342889F1_.wvu.FilterData" localSheetId="26" hidden="1">#REF!</definedName>
    <definedName name="Z_E4E1532E_DC25_47E7_8CAC_8E70342889F1_.wvu.FilterData" localSheetId="27" hidden="1">#REF!</definedName>
    <definedName name="Z_E4E1532E_DC25_47E7_8CAC_8E70342889F1_.wvu.FilterData" localSheetId="25" hidden="1">#REF!</definedName>
    <definedName name="Z_E4E1532E_DC25_47E7_8CAC_8E70342889F1_.wvu.FilterData" localSheetId="7" hidden="1">#REF!</definedName>
    <definedName name="Z_E4E1532E_DC25_47E7_8CAC_8E70342889F1_.wvu.FilterData" localSheetId="4" hidden="1">#REF!</definedName>
    <definedName name="Z_E4E1532E_DC25_47E7_8CAC_8E70342889F1_.wvu.FilterData" localSheetId="5" hidden="1">#REF!</definedName>
    <definedName name="Z_E4E1532E_DC25_47E7_8CAC_8E70342889F1_.wvu.FilterData" localSheetId="2" hidden="1">#REF!</definedName>
    <definedName name="Z_E4E1532E_DC25_47E7_8CAC_8E70342889F1_.wvu.FilterData" localSheetId="3" hidden="1">#REF!</definedName>
    <definedName name="Z_E4E1532E_DC25_47E7_8CAC_8E70342889F1_.wvu.FilterData" hidden="1">#REF!</definedName>
    <definedName name="Z_E74731A0_5CEF_4B97_AFDD_B1DCA3953478_.wvu.FilterData" localSheetId="21" hidden="1">#REF!</definedName>
    <definedName name="Z_E74731A0_5CEF_4B97_AFDD_B1DCA3953478_.wvu.FilterData" localSheetId="12" hidden="1">#REF!</definedName>
    <definedName name="Z_E74731A0_5CEF_4B97_AFDD_B1DCA3953478_.wvu.FilterData" localSheetId="13" hidden="1">#REF!</definedName>
    <definedName name="Z_E74731A0_5CEF_4B97_AFDD_B1DCA3953478_.wvu.FilterData" localSheetId="14" hidden="1">#REF!</definedName>
    <definedName name="Z_E74731A0_5CEF_4B97_AFDD_B1DCA3953478_.wvu.FilterData" localSheetId="16" hidden="1">#REF!</definedName>
    <definedName name="Z_E74731A0_5CEF_4B97_AFDD_B1DCA3953478_.wvu.FilterData" localSheetId="15" hidden="1">#REF!</definedName>
    <definedName name="Z_E74731A0_5CEF_4B97_AFDD_B1DCA3953478_.wvu.FilterData" localSheetId="17" hidden="1">#REF!</definedName>
    <definedName name="Z_E74731A0_5CEF_4B97_AFDD_B1DCA3953478_.wvu.FilterData" localSheetId="11" hidden="1">#REF!</definedName>
    <definedName name="Z_E74731A0_5CEF_4B97_AFDD_B1DCA3953478_.wvu.FilterData" localSheetId="10" hidden="1">#REF!</definedName>
    <definedName name="Z_E74731A0_5CEF_4B97_AFDD_B1DCA3953478_.wvu.FilterData" localSheetId="22" hidden="1">#REF!</definedName>
    <definedName name="Z_E74731A0_5CEF_4B97_AFDD_B1DCA3953478_.wvu.FilterData" localSheetId="24" hidden="1">#REF!</definedName>
    <definedName name="Z_E74731A0_5CEF_4B97_AFDD_B1DCA3953478_.wvu.FilterData" localSheetId="23" hidden="1">#REF!</definedName>
    <definedName name="Z_E74731A0_5CEF_4B97_AFDD_B1DCA3953478_.wvu.FilterData" localSheetId="20" hidden="1">#REF!</definedName>
    <definedName name="Z_E74731A0_5CEF_4B97_AFDD_B1DCA3953478_.wvu.FilterData" localSheetId="19" hidden="1">#REF!</definedName>
    <definedName name="Z_E74731A0_5CEF_4B97_AFDD_B1DCA3953478_.wvu.FilterData" localSheetId="26" hidden="1">#REF!</definedName>
    <definedName name="Z_E74731A0_5CEF_4B97_AFDD_B1DCA3953478_.wvu.FilterData" localSheetId="27" hidden="1">#REF!</definedName>
    <definedName name="Z_E74731A0_5CEF_4B97_AFDD_B1DCA3953478_.wvu.FilterData" localSheetId="25" hidden="1">#REF!</definedName>
    <definedName name="Z_E74731A0_5CEF_4B97_AFDD_B1DCA3953478_.wvu.FilterData" localSheetId="7" hidden="1">#REF!</definedName>
    <definedName name="Z_E74731A0_5CEF_4B97_AFDD_B1DCA3953478_.wvu.FilterData" localSheetId="4" hidden="1">#REF!</definedName>
    <definedName name="Z_E74731A0_5CEF_4B97_AFDD_B1DCA3953478_.wvu.FilterData" localSheetId="5" hidden="1">#REF!</definedName>
    <definedName name="Z_E74731A0_5CEF_4B97_AFDD_B1DCA3953478_.wvu.FilterData" localSheetId="2" hidden="1">#REF!</definedName>
    <definedName name="Z_E74731A0_5CEF_4B97_AFDD_B1DCA3953478_.wvu.FilterData" localSheetId="3" hidden="1">#REF!</definedName>
    <definedName name="Z_E74731A0_5CEF_4B97_AFDD_B1DCA3953478_.wvu.FilterData" hidden="1">#REF!</definedName>
    <definedName name="Z_E7582842_0D7F_4174_A223_2AB1DD8C9047_.wvu.FilterData" localSheetId="21" hidden="1">#REF!</definedName>
    <definedName name="Z_E7582842_0D7F_4174_A223_2AB1DD8C9047_.wvu.FilterData" localSheetId="12" hidden="1">#REF!</definedName>
    <definedName name="Z_E7582842_0D7F_4174_A223_2AB1DD8C9047_.wvu.FilterData" localSheetId="13" hidden="1">#REF!</definedName>
    <definedName name="Z_E7582842_0D7F_4174_A223_2AB1DD8C9047_.wvu.FilterData" localSheetId="14" hidden="1">#REF!</definedName>
    <definedName name="Z_E7582842_0D7F_4174_A223_2AB1DD8C9047_.wvu.FilterData" localSheetId="16" hidden="1">#REF!</definedName>
    <definedName name="Z_E7582842_0D7F_4174_A223_2AB1DD8C9047_.wvu.FilterData" localSheetId="15" hidden="1">#REF!</definedName>
    <definedName name="Z_E7582842_0D7F_4174_A223_2AB1DD8C9047_.wvu.FilterData" localSheetId="17" hidden="1">#REF!</definedName>
    <definedName name="Z_E7582842_0D7F_4174_A223_2AB1DD8C9047_.wvu.FilterData" localSheetId="11" hidden="1">#REF!</definedName>
    <definedName name="Z_E7582842_0D7F_4174_A223_2AB1DD8C9047_.wvu.FilterData" localSheetId="10" hidden="1">#REF!</definedName>
    <definedName name="Z_E7582842_0D7F_4174_A223_2AB1DD8C9047_.wvu.FilterData" localSheetId="22" hidden="1">#REF!</definedName>
    <definedName name="Z_E7582842_0D7F_4174_A223_2AB1DD8C9047_.wvu.FilterData" localSheetId="24" hidden="1">#REF!</definedName>
    <definedName name="Z_E7582842_0D7F_4174_A223_2AB1DD8C9047_.wvu.FilterData" localSheetId="23" hidden="1">#REF!</definedName>
    <definedName name="Z_E7582842_0D7F_4174_A223_2AB1DD8C9047_.wvu.FilterData" localSheetId="20" hidden="1">#REF!</definedName>
    <definedName name="Z_E7582842_0D7F_4174_A223_2AB1DD8C9047_.wvu.FilterData" localSheetId="19" hidden="1">#REF!</definedName>
    <definedName name="Z_E7582842_0D7F_4174_A223_2AB1DD8C9047_.wvu.FilterData" localSheetId="26" hidden="1">#REF!</definedName>
    <definedName name="Z_E7582842_0D7F_4174_A223_2AB1DD8C9047_.wvu.FilterData" localSheetId="27" hidden="1">#REF!</definedName>
    <definedName name="Z_E7582842_0D7F_4174_A223_2AB1DD8C9047_.wvu.FilterData" localSheetId="25" hidden="1">#REF!</definedName>
    <definedName name="Z_E7582842_0D7F_4174_A223_2AB1DD8C9047_.wvu.FilterData" localSheetId="7" hidden="1">#REF!</definedName>
    <definedName name="Z_E7582842_0D7F_4174_A223_2AB1DD8C9047_.wvu.FilterData" localSheetId="4" hidden="1">#REF!</definedName>
    <definedName name="Z_E7582842_0D7F_4174_A223_2AB1DD8C9047_.wvu.FilterData" localSheetId="5" hidden="1">#REF!</definedName>
    <definedName name="Z_E7582842_0D7F_4174_A223_2AB1DD8C9047_.wvu.FilterData" localSheetId="2" hidden="1">#REF!</definedName>
    <definedName name="Z_E7582842_0D7F_4174_A223_2AB1DD8C9047_.wvu.FilterData" localSheetId="3" hidden="1">#REF!</definedName>
    <definedName name="Z_E7582842_0D7F_4174_A223_2AB1DD8C9047_.wvu.FilterData" hidden="1">#REF!</definedName>
    <definedName name="Z_E7E3B215_0D2B_424B_B9A9_091ABF42A9B2_.wvu.FilterData" localSheetId="21" hidden="1">#REF!</definedName>
    <definedName name="Z_E7E3B215_0D2B_424B_B9A9_091ABF42A9B2_.wvu.FilterData" localSheetId="12" hidden="1">#REF!</definedName>
    <definedName name="Z_E7E3B215_0D2B_424B_B9A9_091ABF42A9B2_.wvu.FilterData" localSheetId="13" hidden="1">#REF!</definedName>
    <definedName name="Z_E7E3B215_0D2B_424B_B9A9_091ABF42A9B2_.wvu.FilterData" localSheetId="14" hidden="1">#REF!</definedName>
    <definedName name="Z_E7E3B215_0D2B_424B_B9A9_091ABF42A9B2_.wvu.FilterData" localSheetId="16" hidden="1">#REF!</definedName>
    <definedName name="Z_E7E3B215_0D2B_424B_B9A9_091ABF42A9B2_.wvu.FilterData" localSheetId="15" hidden="1">#REF!</definedName>
    <definedName name="Z_E7E3B215_0D2B_424B_B9A9_091ABF42A9B2_.wvu.FilterData" localSheetId="17" hidden="1">#REF!</definedName>
    <definedName name="Z_E7E3B215_0D2B_424B_B9A9_091ABF42A9B2_.wvu.FilterData" localSheetId="11" hidden="1">#REF!</definedName>
    <definedName name="Z_E7E3B215_0D2B_424B_B9A9_091ABF42A9B2_.wvu.FilterData" localSheetId="10" hidden="1">#REF!</definedName>
    <definedName name="Z_E7E3B215_0D2B_424B_B9A9_091ABF42A9B2_.wvu.FilterData" localSheetId="22" hidden="1">#REF!</definedName>
    <definedName name="Z_E7E3B215_0D2B_424B_B9A9_091ABF42A9B2_.wvu.FilterData" localSheetId="24" hidden="1">#REF!</definedName>
    <definedName name="Z_E7E3B215_0D2B_424B_B9A9_091ABF42A9B2_.wvu.FilterData" localSheetId="23" hidden="1">#REF!</definedName>
    <definedName name="Z_E7E3B215_0D2B_424B_B9A9_091ABF42A9B2_.wvu.FilterData" localSheetId="20" hidden="1">#REF!</definedName>
    <definedName name="Z_E7E3B215_0D2B_424B_B9A9_091ABF42A9B2_.wvu.FilterData" localSheetId="19" hidden="1">#REF!</definedName>
    <definedName name="Z_E7E3B215_0D2B_424B_B9A9_091ABF42A9B2_.wvu.FilterData" localSheetId="26" hidden="1">#REF!</definedName>
    <definedName name="Z_E7E3B215_0D2B_424B_B9A9_091ABF42A9B2_.wvu.FilterData" localSheetId="27" hidden="1">#REF!</definedName>
    <definedName name="Z_E7E3B215_0D2B_424B_B9A9_091ABF42A9B2_.wvu.FilterData" localSheetId="25" hidden="1">#REF!</definedName>
    <definedName name="Z_E7E3B215_0D2B_424B_B9A9_091ABF42A9B2_.wvu.FilterData" localSheetId="7" hidden="1">#REF!</definedName>
    <definedName name="Z_E7E3B215_0D2B_424B_B9A9_091ABF42A9B2_.wvu.FilterData" localSheetId="4" hidden="1">#REF!</definedName>
    <definedName name="Z_E7E3B215_0D2B_424B_B9A9_091ABF42A9B2_.wvu.FilterData" localSheetId="5" hidden="1">#REF!</definedName>
    <definedName name="Z_E7E3B215_0D2B_424B_B9A9_091ABF42A9B2_.wvu.FilterData" localSheetId="2" hidden="1">#REF!</definedName>
    <definedName name="Z_E7E3B215_0D2B_424B_B9A9_091ABF42A9B2_.wvu.FilterData" localSheetId="3" hidden="1">#REF!</definedName>
    <definedName name="Z_E7E3B215_0D2B_424B_B9A9_091ABF42A9B2_.wvu.FilterData" hidden="1">#REF!</definedName>
    <definedName name="Z_E833D806_B408_4951_8EA0_84873DD98CC6_.wvu.FilterData" localSheetId="21" hidden="1">#REF!</definedName>
    <definedName name="Z_E833D806_B408_4951_8EA0_84873DD98CC6_.wvu.FilterData" localSheetId="12" hidden="1">#REF!</definedName>
    <definedName name="Z_E833D806_B408_4951_8EA0_84873DD98CC6_.wvu.FilterData" localSheetId="13" hidden="1">#REF!</definedName>
    <definedName name="Z_E833D806_B408_4951_8EA0_84873DD98CC6_.wvu.FilterData" localSheetId="14" hidden="1">#REF!</definedName>
    <definedName name="Z_E833D806_B408_4951_8EA0_84873DD98CC6_.wvu.FilterData" localSheetId="16" hidden="1">#REF!</definedName>
    <definedName name="Z_E833D806_B408_4951_8EA0_84873DD98CC6_.wvu.FilterData" localSheetId="15" hidden="1">#REF!</definedName>
    <definedName name="Z_E833D806_B408_4951_8EA0_84873DD98CC6_.wvu.FilterData" localSheetId="17" hidden="1">#REF!</definedName>
    <definedName name="Z_E833D806_B408_4951_8EA0_84873DD98CC6_.wvu.FilterData" localSheetId="11" hidden="1">#REF!</definedName>
    <definedName name="Z_E833D806_B408_4951_8EA0_84873DD98CC6_.wvu.FilterData" localSheetId="10" hidden="1">#REF!</definedName>
    <definedName name="Z_E833D806_B408_4951_8EA0_84873DD98CC6_.wvu.FilterData" localSheetId="22" hidden="1">#REF!</definedName>
    <definedName name="Z_E833D806_B408_4951_8EA0_84873DD98CC6_.wvu.FilterData" localSheetId="24" hidden="1">#REF!</definedName>
    <definedName name="Z_E833D806_B408_4951_8EA0_84873DD98CC6_.wvu.FilterData" localSheetId="23" hidden="1">#REF!</definedName>
    <definedName name="Z_E833D806_B408_4951_8EA0_84873DD98CC6_.wvu.FilterData" localSheetId="20" hidden="1">#REF!</definedName>
    <definedName name="Z_E833D806_B408_4951_8EA0_84873DD98CC6_.wvu.FilterData" localSheetId="19" hidden="1">#REF!</definedName>
    <definedName name="Z_E833D806_B408_4951_8EA0_84873DD98CC6_.wvu.FilterData" localSheetId="26" hidden="1">#REF!</definedName>
    <definedName name="Z_E833D806_B408_4951_8EA0_84873DD98CC6_.wvu.FilterData" localSheetId="27" hidden="1">#REF!</definedName>
    <definedName name="Z_E833D806_B408_4951_8EA0_84873DD98CC6_.wvu.FilterData" localSheetId="25" hidden="1">#REF!</definedName>
    <definedName name="Z_E833D806_B408_4951_8EA0_84873DD98CC6_.wvu.FilterData" localSheetId="7" hidden="1">#REF!</definedName>
    <definedName name="Z_E833D806_B408_4951_8EA0_84873DD98CC6_.wvu.FilterData" localSheetId="4" hidden="1">#REF!</definedName>
    <definedName name="Z_E833D806_B408_4951_8EA0_84873DD98CC6_.wvu.FilterData" localSheetId="5" hidden="1">#REF!</definedName>
    <definedName name="Z_E833D806_B408_4951_8EA0_84873DD98CC6_.wvu.FilterData" localSheetId="2" hidden="1">#REF!</definedName>
    <definedName name="Z_E833D806_B408_4951_8EA0_84873DD98CC6_.wvu.FilterData" localSheetId="3" hidden="1">#REF!</definedName>
    <definedName name="Z_E833D806_B408_4951_8EA0_84873DD98CC6_.wvu.FilterData" hidden="1">#REF!</definedName>
    <definedName name="Z_E84FA520_D8B7_472A_9913_1B62E15D532D_.wvu.FilterData" localSheetId="21" hidden="1">#REF!</definedName>
    <definedName name="Z_E84FA520_D8B7_472A_9913_1B62E15D532D_.wvu.FilterData" localSheetId="12" hidden="1">#REF!</definedName>
    <definedName name="Z_E84FA520_D8B7_472A_9913_1B62E15D532D_.wvu.FilterData" localSheetId="13" hidden="1">#REF!</definedName>
    <definedName name="Z_E84FA520_D8B7_472A_9913_1B62E15D532D_.wvu.FilterData" localSheetId="14" hidden="1">#REF!</definedName>
    <definedName name="Z_E84FA520_D8B7_472A_9913_1B62E15D532D_.wvu.FilterData" localSheetId="16" hidden="1">#REF!</definedName>
    <definedName name="Z_E84FA520_D8B7_472A_9913_1B62E15D532D_.wvu.FilterData" localSheetId="15" hidden="1">#REF!</definedName>
    <definedName name="Z_E84FA520_D8B7_472A_9913_1B62E15D532D_.wvu.FilterData" localSheetId="17" hidden="1">#REF!</definedName>
    <definedName name="Z_E84FA520_D8B7_472A_9913_1B62E15D532D_.wvu.FilterData" localSheetId="11" hidden="1">#REF!</definedName>
    <definedName name="Z_E84FA520_D8B7_472A_9913_1B62E15D532D_.wvu.FilterData" localSheetId="10" hidden="1">#REF!</definedName>
    <definedName name="Z_E84FA520_D8B7_472A_9913_1B62E15D532D_.wvu.FilterData" localSheetId="22" hidden="1">#REF!</definedName>
    <definedName name="Z_E84FA520_D8B7_472A_9913_1B62E15D532D_.wvu.FilterData" localSheetId="24" hidden="1">#REF!</definedName>
    <definedName name="Z_E84FA520_D8B7_472A_9913_1B62E15D532D_.wvu.FilterData" localSheetId="23" hidden="1">#REF!</definedName>
    <definedName name="Z_E84FA520_D8B7_472A_9913_1B62E15D532D_.wvu.FilterData" localSheetId="20" hidden="1">#REF!</definedName>
    <definedName name="Z_E84FA520_D8B7_472A_9913_1B62E15D532D_.wvu.FilterData" localSheetId="19" hidden="1">#REF!</definedName>
    <definedName name="Z_E84FA520_D8B7_472A_9913_1B62E15D532D_.wvu.FilterData" localSheetId="26" hidden="1">#REF!</definedName>
    <definedName name="Z_E84FA520_D8B7_472A_9913_1B62E15D532D_.wvu.FilterData" localSheetId="27" hidden="1">#REF!</definedName>
    <definedName name="Z_E84FA520_D8B7_472A_9913_1B62E15D532D_.wvu.FilterData" localSheetId="25" hidden="1">#REF!</definedName>
    <definedName name="Z_E84FA520_D8B7_472A_9913_1B62E15D532D_.wvu.FilterData" localSheetId="7" hidden="1">#REF!</definedName>
    <definedName name="Z_E84FA520_D8B7_472A_9913_1B62E15D532D_.wvu.FilterData" localSheetId="4" hidden="1">#REF!</definedName>
    <definedName name="Z_E84FA520_D8B7_472A_9913_1B62E15D532D_.wvu.FilterData" localSheetId="5" hidden="1">#REF!</definedName>
    <definedName name="Z_E84FA520_D8B7_472A_9913_1B62E15D532D_.wvu.FilterData" localSheetId="2" hidden="1">#REF!</definedName>
    <definedName name="Z_E84FA520_D8B7_472A_9913_1B62E15D532D_.wvu.FilterData" localSheetId="3" hidden="1">#REF!</definedName>
    <definedName name="Z_E84FA520_D8B7_472A_9913_1B62E15D532D_.wvu.FilterData" hidden="1">#REF!</definedName>
    <definedName name="Z_E856A7FB_F0DE_4CE8_85BE_FBD78193AF0B_.wvu.FilterData" localSheetId="21" hidden="1">#REF!</definedName>
    <definedName name="Z_E856A7FB_F0DE_4CE8_85BE_FBD78193AF0B_.wvu.FilterData" localSheetId="12" hidden="1">#REF!</definedName>
    <definedName name="Z_E856A7FB_F0DE_4CE8_85BE_FBD78193AF0B_.wvu.FilterData" localSheetId="13" hidden="1">#REF!</definedName>
    <definedName name="Z_E856A7FB_F0DE_4CE8_85BE_FBD78193AF0B_.wvu.FilterData" localSheetId="14" hidden="1">#REF!</definedName>
    <definedName name="Z_E856A7FB_F0DE_4CE8_85BE_FBD78193AF0B_.wvu.FilterData" localSheetId="16" hidden="1">#REF!</definedName>
    <definedName name="Z_E856A7FB_F0DE_4CE8_85BE_FBD78193AF0B_.wvu.FilterData" localSheetId="15" hidden="1">#REF!</definedName>
    <definedName name="Z_E856A7FB_F0DE_4CE8_85BE_FBD78193AF0B_.wvu.FilterData" localSheetId="17" hidden="1">#REF!</definedName>
    <definedName name="Z_E856A7FB_F0DE_4CE8_85BE_FBD78193AF0B_.wvu.FilterData" localSheetId="11" hidden="1">#REF!</definedName>
    <definedName name="Z_E856A7FB_F0DE_4CE8_85BE_FBD78193AF0B_.wvu.FilterData" localSheetId="10" hidden="1">#REF!</definedName>
    <definedName name="Z_E856A7FB_F0DE_4CE8_85BE_FBD78193AF0B_.wvu.FilterData" localSheetId="22" hidden="1">#REF!</definedName>
    <definedName name="Z_E856A7FB_F0DE_4CE8_85BE_FBD78193AF0B_.wvu.FilterData" localSheetId="24" hidden="1">#REF!</definedName>
    <definedName name="Z_E856A7FB_F0DE_4CE8_85BE_FBD78193AF0B_.wvu.FilterData" localSheetId="23" hidden="1">#REF!</definedName>
    <definedName name="Z_E856A7FB_F0DE_4CE8_85BE_FBD78193AF0B_.wvu.FilterData" localSheetId="20" hidden="1">#REF!</definedName>
    <definedName name="Z_E856A7FB_F0DE_4CE8_85BE_FBD78193AF0B_.wvu.FilterData" localSheetId="19" hidden="1">#REF!</definedName>
    <definedName name="Z_E856A7FB_F0DE_4CE8_85BE_FBD78193AF0B_.wvu.FilterData" localSheetId="26" hidden="1">#REF!</definedName>
    <definedName name="Z_E856A7FB_F0DE_4CE8_85BE_FBD78193AF0B_.wvu.FilterData" localSheetId="27" hidden="1">#REF!</definedName>
    <definedName name="Z_E856A7FB_F0DE_4CE8_85BE_FBD78193AF0B_.wvu.FilterData" localSheetId="25" hidden="1">#REF!</definedName>
    <definedName name="Z_E856A7FB_F0DE_4CE8_85BE_FBD78193AF0B_.wvu.FilterData" localSheetId="7" hidden="1">#REF!</definedName>
    <definedName name="Z_E856A7FB_F0DE_4CE8_85BE_FBD78193AF0B_.wvu.FilterData" localSheetId="4" hidden="1">#REF!</definedName>
    <definedName name="Z_E856A7FB_F0DE_4CE8_85BE_FBD78193AF0B_.wvu.FilterData" localSheetId="5" hidden="1">#REF!</definedName>
    <definedName name="Z_E856A7FB_F0DE_4CE8_85BE_FBD78193AF0B_.wvu.FilterData" localSheetId="2" hidden="1">#REF!</definedName>
    <definedName name="Z_E856A7FB_F0DE_4CE8_85BE_FBD78193AF0B_.wvu.FilterData" localSheetId="3" hidden="1">#REF!</definedName>
    <definedName name="Z_E856A7FB_F0DE_4CE8_85BE_FBD78193AF0B_.wvu.FilterData" hidden="1">#REF!</definedName>
    <definedName name="Z_E8B81FC8_C17A_451A_B505_641DE5886245_.wvu.FilterData" localSheetId="21" hidden="1">#REF!</definedName>
    <definedName name="Z_E8B81FC8_C17A_451A_B505_641DE5886245_.wvu.FilterData" localSheetId="12" hidden="1">#REF!</definedName>
    <definedName name="Z_E8B81FC8_C17A_451A_B505_641DE5886245_.wvu.FilterData" localSheetId="13" hidden="1">#REF!</definedName>
    <definedName name="Z_E8B81FC8_C17A_451A_B505_641DE5886245_.wvu.FilterData" localSheetId="14" hidden="1">#REF!</definedName>
    <definedName name="Z_E8B81FC8_C17A_451A_B505_641DE5886245_.wvu.FilterData" localSheetId="16" hidden="1">#REF!</definedName>
    <definedName name="Z_E8B81FC8_C17A_451A_B505_641DE5886245_.wvu.FilterData" localSheetId="15" hidden="1">#REF!</definedName>
    <definedName name="Z_E8B81FC8_C17A_451A_B505_641DE5886245_.wvu.FilterData" localSheetId="17" hidden="1">#REF!</definedName>
    <definedName name="Z_E8B81FC8_C17A_451A_B505_641DE5886245_.wvu.FilterData" localSheetId="11" hidden="1">#REF!</definedName>
    <definedName name="Z_E8B81FC8_C17A_451A_B505_641DE5886245_.wvu.FilterData" localSheetId="10" hidden="1">#REF!</definedName>
    <definedName name="Z_E8B81FC8_C17A_451A_B505_641DE5886245_.wvu.FilterData" localSheetId="22" hidden="1">#REF!</definedName>
    <definedName name="Z_E8B81FC8_C17A_451A_B505_641DE5886245_.wvu.FilterData" localSheetId="24" hidden="1">#REF!</definedName>
    <definedName name="Z_E8B81FC8_C17A_451A_B505_641DE5886245_.wvu.FilterData" localSheetId="23" hidden="1">#REF!</definedName>
    <definedName name="Z_E8B81FC8_C17A_451A_B505_641DE5886245_.wvu.FilterData" localSheetId="20" hidden="1">#REF!</definedName>
    <definedName name="Z_E8B81FC8_C17A_451A_B505_641DE5886245_.wvu.FilterData" localSheetId="19" hidden="1">#REF!</definedName>
    <definedName name="Z_E8B81FC8_C17A_451A_B505_641DE5886245_.wvu.FilterData" localSheetId="26" hidden="1">#REF!</definedName>
    <definedName name="Z_E8B81FC8_C17A_451A_B505_641DE5886245_.wvu.FilterData" localSheetId="27" hidden="1">#REF!</definedName>
    <definedName name="Z_E8B81FC8_C17A_451A_B505_641DE5886245_.wvu.FilterData" localSheetId="25" hidden="1">#REF!</definedName>
    <definedName name="Z_E8B81FC8_C17A_451A_B505_641DE5886245_.wvu.FilterData" localSheetId="7" hidden="1">#REF!</definedName>
    <definedName name="Z_E8B81FC8_C17A_451A_B505_641DE5886245_.wvu.FilterData" localSheetId="4" hidden="1">#REF!</definedName>
    <definedName name="Z_E8B81FC8_C17A_451A_B505_641DE5886245_.wvu.FilterData" localSheetId="5" hidden="1">#REF!</definedName>
    <definedName name="Z_E8B81FC8_C17A_451A_B505_641DE5886245_.wvu.FilterData" localSheetId="2" hidden="1">#REF!</definedName>
    <definedName name="Z_E8B81FC8_C17A_451A_B505_641DE5886245_.wvu.FilterData" localSheetId="3" hidden="1">#REF!</definedName>
    <definedName name="Z_E8B81FC8_C17A_451A_B505_641DE5886245_.wvu.FilterData" hidden="1">#REF!</definedName>
    <definedName name="Z_EA900FC6_5EC3_4E18_9ED9_37FAC8862A4C_.wvu.FilterData" localSheetId="21" hidden="1">#REF!</definedName>
    <definedName name="Z_EA900FC6_5EC3_4E18_9ED9_37FAC8862A4C_.wvu.FilterData" localSheetId="12" hidden="1">#REF!</definedName>
    <definedName name="Z_EA900FC6_5EC3_4E18_9ED9_37FAC8862A4C_.wvu.FilterData" localSheetId="13" hidden="1">#REF!</definedName>
    <definedName name="Z_EA900FC6_5EC3_4E18_9ED9_37FAC8862A4C_.wvu.FilterData" localSheetId="14" hidden="1">#REF!</definedName>
    <definedName name="Z_EA900FC6_5EC3_4E18_9ED9_37FAC8862A4C_.wvu.FilterData" localSheetId="16" hidden="1">#REF!</definedName>
    <definedName name="Z_EA900FC6_5EC3_4E18_9ED9_37FAC8862A4C_.wvu.FilterData" localSheetId="15" hidden="1">#REF!</definedName>
    <definedName name="Z_EA900FC6_5EC3_4E18_9ED9_37FAC8862A4C_.wvu.FilterData" localSheetId="17" hidden="1">#REF!</definedName>
    <definedName name="Z_EA900FC6_5EC3_4E18_9ED9_37FAC8862A4C_.wvu.FilterData" localSheetId="11" hidden="1">#REF!</definedName>
    <definedName name="Z_EA900FC6_5EC3_4E18_9ED9_37FAC8862A4C_.wvu.FilterData" localSheetId="10" hidden="1">#REF!</definedName>
    <definedName name="Z_EA900FC6_5EC3_4E18_9ED9_37FAC8862A4C_.wvu.FilterData" localSheetId="22" hidden="1">#REF!</definedName>
    <definedName name="Z_EA900FC6_5EC3_4E18_9ED9_37FAC8862A4C_.wvu.FilterData" localSheetId="24" hidden="1">#REF!</definedName>
    <definedName name="Z_EA900FC6_5EC3_4E18_9ED9_37FAC8862A4C_.wvu.FilterData" localSheetId="23" hidden="1">#REF!</definedName>
    <definedName name="Z_EA900FC6_5EC3_4E18_9ED9_37FAC8862A4C_.wvu.FilterData" localSheetId="20" hidden="1">#REF!</definedName>
    <definedName name="Z_EA900FC6_5EC3_4E18_9ED9_37FAC8862A4C_.wvu.FilterData" localSheetId="19" hidden="1">#REF!</definedName>
    <definedName name="Z_EA900FC6_5EC3_4E18_9ED9_37FAC8862A4C_.wvu.FilterData" localSheetId="26" hidden="1">#REF!</definedName>
    <definedName name="Z_EA900FC6_5EC3_4E18_9ED9_37FAC8862A4C_.wvu.FilterData" localSheetId="27" hidden="1">#REF!</definedName>
    <definedName name="Z_EA900FC6_5EC3_4E18_9ED9_37FAC8862A4C_.wvu.FilterData" localSheetId="25" hidden="1">#REF!</definedName>
    <definedName name="Z_EA900FC6_5EC3_4E18_9ED9_37FAC8862A4C_.wvu.FilterData" localSheetId="7" hidden="1">#REF!</definedName>
    <definedName name="Z_EA900FC6_5EC3_4E18_9ED9_37FAC8862A4C_.wvu.FilterData" localSheetId="4" hidden="1">#REF!</definedName>
    <definedName name="Z_EA900FC6_5EC3_4E18_9ED9_37FAC8862A4C_.wvu.FilterData" localSheetId="5" hidden="1">#REF!</definedName>
    <definedName name="Z_EA900FC6_5EC3_4E18_9ED9_37FAC8862A4C_.wvu.FilterData" localSheetId="2" hidden="1">#REF!</definedName>
    <definedName name="Z_EA900FC6_5EC3_4E18_9ED9_37FAC8862A4C_.wvu.FilterData" localSheetId="3" hidden="1">#REF!</definedName>
    <definedName name="Z_EA900FC6_5EC3_4E18_9ED9_37FAC8862A4C_.wvu.FilterData" hidden="1">#REF!</definedName>
    <definedName name="Z_EC12F0CE_807C_4CF2_B52D_1E5945238C05_.wvu.FilterData" localSheetId="21" hidden="1">#REF!</definedName>
    <definedName name="Z_EC12F0CE_807C_4CF2_B52D_1E5945238C05_.wvu.FilterData" localSheetId="12" hidden="1">#REF!</definedName>
    <definedName name="Z_EC12F0CE_807C_4CF2_B52D_1E5945238C05_.wvu.FilterData" localSheetId="13" hidden="1">#REF!</definedName>
    <definedName name="Z_EC12F0CE_807C_4CF2_B52D_1E5945238C05_.wvu.FilterData" localSheetId="14" hidden="1">#REF!</definedName>
    <definedName name="Z_EC12F0CE_807C_4CF2_B52D_1E5945238C05_.wvu.FilterData" localSheetId="16" hidden="1">#REF!</definedName>
    <definedName name="Z_EC12F0CE_807C_4CF2_B52D_1E5945238C05_.wvu.FilterData" localSheetId="15" hidden="1">#REF!</definedName>
    <definedName name="Z_EC12F0CE_807C_4CF2_B52D_1E5945238C05_.wvu.FilterData" localSheetId="17" hidden="1">#REF!</definedName>
    <definedName name="Z_EC12F0CE_807C_4CF2_B52D_1E5945238C05_.wvu.FilterData" localSheetId="11" hidden="1">#REF!</definedName>
    <definedName name="Z_EC12F0CE_807C_4CF2_B52D_1E5945238C05_.wvu.FilterData" localSheetId="10" hidden="1">#REF!</definedName>
    <definedName name="Z_EC12F0CE_807C_4CF2_B52D_1E5945238C05_.wvu.FilterData" localSheetId="22" hidden="1">#REF!</definedName>
    <definedName name="Z_EC12F0CE_807C_4CF2_B52D_1E5945238C05_.wvu.FilterData" localSheetId="24" hidden="1">#REF!</definedName>
    <definedName name="Z_EC12F0CE_807C_4CF2_B52D_1E5945238C05_.wvu.FilterData" localSheetId="23" hidden="1">#REF!</definedName>
    <definedName name="Z_EC12F0CE_807C_4CF2_B52D_1E5945238C05_.wvu.FilterData" localSheetId="20" hidden="1">#REF!</definedName>
    <definedName name="Z_EC12F0CE_807C_4CF2_B52D_1E5945238C05_.wvu.FilterData" localSheetId="19" hidden="1">#REF!</definedName>
    <definedName name="Z_EC12F0CE_807C_4CF2_B52D_1E5945238C05_.wvu.FilterData" localSheetId="26" hidden="1">#REF!</definedName>
    <definedName name="Z_EC12F0CE_807C_4CF2_B52D_1E5945238C05_.wvu.FilterData" localSheetId="27" hidden="1">#REF!</definedName>
    <definedName name="Z_EC12F0CE_807C_4CF2_B52D_1E5945238C05_.wvu.FilterData" localSheetId="25" hidden="1">#REF!</definedName>
    <definedName name="Z_EC12F0CE_807C_4CF2_B52D_1E5945238C05_.wvu.FilterData" localSheetId="7" hidden="1">#REF!</definedName>
    <definedName name="Z_EC12F0CE_807C_4CF2_B52D_1E5945238C05_.wvu.FilterData" localSheetId="4" hidden="1">#REF!</definedName>
    <definedName name="Z_EC12F0CE_807C_4CF2_B52D_1E5945238C05_.wvu.FilterData" localSheetId="5" hidden="1">#REF!</definedName>
    <definedName name="Z_EC12F0CE_807C_4CF2_B52D_1E5945238C05_.wvu.FilterData" localSheetId="2" hidden="1">#REF!</definedName>
    <definedName name="Z_EC12F0CE_807C_4CF2_B52D_1E5945238C05_.wvu.FilterData" localSheetId="3" hidden="1">#REF!</definedName>
    <definedName name="Z_EC12F0CE_807C_4CF2_B52D_1E5945238C05_.wvu.FilterData" hidden="1">#REF!</definedName>
    <definedName name="Z_EC74CDC8_4C91_4C55_BE9F_24DF0A9793FF_.wvu.FilterData" localSheetId="21" hidden="1">#REF!</definedName>
    <definedName name="Z_EC74CDC8_4C91_4C55_BE9F_24DF0A9793FF_.wvu.FilterData" localSheetId="12" hidden="1">#REF!</definedName>
    <definedName name="Z_EC74CDC8_4C91_4C55_BE9F_24DF0A9793FF_.wvu.FilterData" localSheetId="13" hidden="1">#REF!</definedName>
    <definedName name="Z_EC74CDC8_4C91_4C55_BE9F_24DF0A9793FF_.wvu.FilterData" localSheetId="14" hidden="1">#REF!</definedName>
    <definedName name="Z_EC74CDC8_4C91_4C55_BE9F_24DF0A9793FF_.wvu.FilterData" localSheetId="16" hidden="1">#REF!</definedName>
    <definedName name="Z_EC74CDC8_4C91_4C55_BE9F_24DF0A9793FF_.wvu.FilterData" localSheetId="15" hidden="1">#REF!</definedName>
    <definedName name="Z_EC74CDC8_4C91_4C55_BE9F_24DF0A9793FF_.wvu.FilterData" localSheetId="17" hidden="1">#REF!</definedName>
    <definedName name="Z_EC74CDC8_4C91_4C55_BE9F_24DF0A9793FF_.wvu.FilterData" localSheetId="11" hidden="1">#REF!</definedName>
    <definedName name="Z_EC74CDC8_4C91_4C55_BE9F_24DF0A9793FF_.wvu.FilterData" localSheetId="10" hidden="1">#REF!</definedName>
    <definedName name="Z_EC74CDC8_4C91_4C55_BE9F_24DF0A9793FF_.wvu.FilterData" localSheetId="22" hidden="1">#REF!</definedName>
    <definedName name="Z_EC74CDC8_4C91_4C55_BE9F_24DF0A9793FF_.wvu.FilterData" localSheetId="24" hidden="1">#REF!</definedName>
    <definedName name="Z_EC74CDC8_4C91_4C55_BE9F_24DF0A9793FF_.wvu.FilterData" localSheetId="23" hidden="1">#REF!</definedName>
    <definedName name="Z_EC74CDC8_4C91_4C55_BE9F_24DF0A9793FF_.wvu.FilterData" localSheetId="20" hidden="1">#REF!</definedName>
    <definedName name="Z_EC74CDC8_4C91_4C55_BE9F_24DF0A9793FF_.wvu.FilterData" localSheetId="19" hidden="1">#REF!</definedName>
    <definedName name="Z_EC74CDC8_4C91_4C55_BE9F_24DF0A9793FF_.wvu.FilterData" localSheetId="26" hidden="1">#REF!</definedName>
    <definedName name="Z_EC74CDC8_4C91_4C55_BE9F_24DF0A9793FF_.wvu.FilterData" localSheetId="27" hidden="1">#REF!</definedName>
    <definedName name="Z_EC74CDC8_4C91_4C55_BE9F_24DF0A9793FF_.wvu.FilterData" localSheetId="25" hidden="1">#REF!</definedName>
    <definedName name="Z_EC74CDC8_4C91_4C55_BE9F_24DF0A9793FF_.wvu.FilterData" localSheetId="7" hidden="1">#REF!</definedName>
    <definedName name="Z_EC74CDC8_4C91_4C55_BE9F_24DF0A9793FF_.wvu.FilterData" localSheetId="4" hidden="1">#REF!</definedName>
    <definedName name="Z_EC74CDC8_4C91_4C55_BE9F_24DF0A9793FF_.wvu.FilterData" localSheetId="5" hidden="1">#REF!</definedName>
    <definedName name="Z_EC74CDC8_4C91_4C55_BE9F_24DF0A9793FF_.wvu.FilterData" localSheetId="2" hidden="1">#REF!</definedName>
    <definedName name="Z_EC74CDC8_4C91_4C55_BE9F_24DF0A9793FF_.wvu.FilterData" localSheetId="3" hidden="1">#REF!</definedName>
    <definedName name="Z_EC74CDC8_4C91_4C55_BE9F_24DF0A9793FF_.wvu.FilterData" hidden="1">#REF!</definedName>
    <definedName name="Z_ED3E33DB_FBFA_4FDE_929F_AD12074101A3_.wvu.FilterData" localSheetId="21" hidden="1">#REF!</definedName>
    <definedName name="Z_ED3E33DB_FBFA_4FDE_929F_AD12074101A3_.wvu.FilterData" localSheetId="12" hidden="1">#REF!</definedName>
    <definedName name="Z_ED3E33DB_FBFA_4FDE_929F_AD12074101A3_.wvu.FilterData" localSheetId="13" hidden="1">#REF!</definedName>
    <definedName name="Z_ED3E33DB_FBFA_4FDE_929F_AD12074101A3_.wvu.FilterData" localSheetId="14" hidden="1">#REF!</definedName>
    <definedName name="Z_ED3E33DB_FBFA_4FDE_929F_AD12074101A3_.wvu.FilterData" localSheetId="16" hidden="1">#REF!</definedName>
    <definedName name="Z_ED3E33DB_FBFA_4FDE_929F_AD12074101A3_.wvu.FilterData" localSheetId="15" hidden="1">#REF!</definedName>
    <definedName name="Z_ED3E33DB_FBFA_4FDE_929F_AD12074101A3_.wvu.FilterData" localSheetId="17" hidden="1">#REF!</definedName>
    <definedName name="Z_ED3E33DB_FBFA_4FDE_929F_AD12074101A3_.wvu.FilterData" localSheetId="11" hidden="1">#REF!</definedName>
    <definedName name="Z_ED3E33DB_FBFA_4FDE_929F_AD12074101A3_.wvu.FilterData" localSheetId="10" hidden="1">#REF!</definedName>
    <definedName name="Z_ED3E33DB_FBFA_4FDE_929F_AD12074101A3_.wvu.FilterData" localSheetId="22" hidden="1">#REF!</definedName>
    <definedName name="Z_ED3E33DB_FBFA_4FDE_929F_AD12074101A3_.wvu.FilterData" localSheetId="24" hidden="1">#REF!</definedName>
    <definedName name="Z_ED3E33DB_FBFA_4FDE_929F_AD12074101A3_.wvu.FilterData" localSheetId="23" hidden="1">#REF!</definedName>
    <definedName name="Z_ED3E33DB_FBFA_4FDE_929F_AD12074101A3_.wvu.FilterData" localSheetId="20" hidden="1">#REF!</definedName>
    <definedName name="Z_ED3E33DB_FBFA_4FDE_929F_AD12074101A3_.wvu.FilterData" localSheetId="19" hidden="1">#REF!</definedName>
    <definedName name="Z_ED3E33DB_FBFA_4FDE_929F_AD12074101A3_.wvu.FilterData" localSheetId="26" hidden="1">#REF!</definedName>
    <definedName name="Z_ED3E33DB_FBFA_4FDE_929F_AD12074101A3_.wvu.FilterData" localSheetId="27" hidden="1">#REF!</definedName>
    <definedName name="Z_ED3E33DB_FBFA_4FDE_929F_AD12074101A3_.wvu.FilterData" localSheetId="25" hidden="1">#REF!</definedName>
    <definedName name="Z_ED3E33DB_FBFA_4FDE_929F_AD12074101A3_.wvu.FilterData" localSheetId="7" hidden="1">#REF!</definedName>
    <definedName name="Z_ED3E33DB_FBFA_4FDE_929F_AD12074101A3_.wvu.FilterData" localSheetId="4" hidden="1">#REF!</definedName>
    <definedName name="Z_ED3E33DB_FBFA_4FDE_929F_AD12074101A3_.wvu.FilterData" localSheetId="5" hidden="1">#REF!</definedName>
    <definedName name="Z_ED3E33DB_FBFA_4FDE_929F_AD12074101A3_.wvu.FilterData" localSheetId="2" hidden="1">#REF!</definedName>
    <definedName name="Z_ED3E33DB_FBFA_4FDE_929F_AD12074101A3_.wvu.FilterData" localSheetId="3" hidden="1">#REF!</definedName>
    <definedName name="Z_ED3E33DB_FBFA_4FDE_929F_AD12074101A3_.wvu.FilterData" hidden="1">#REF!</definedName>
    <definedName name="Z_EE21DFC7_81AA_40DA_B313_9BC83DA41DD6_.wvu.FilterData" localSheetId="21" hidden="1">#REF!</definedName>
    <definedName name="Z_EE21DFC7_81AA_40DA_B313_9BC83DA41DD6_.wvu.FilterData" localSheetId="12" hidden="1">#REF!</definedName>
    <definedName name="Z_EE21DFC7_81AA_40DA_B313_9BC83DA41DD6_.wvu.FilterData" localSheetId="13" hidden="1">#REF!</definedName>
    <definedName name="Z_EE21DFC7_81AA_40DA_B313_9BC83DA41DD6_.wvu.FilterData" localSheetId="14" hidden="1">#REF!</definedName>
    <definedName name="Z_EE21DFC7_81AA_40DA_B313_9BC83DA41DD6_.wvu.FilterData" localSheetId="16" hidden="1">#REF!</definedName>
    <definedName name="Z_EE21DFC7_81AA_40DA_B313_9BC83DA41DD6_.wvu.FilterData" localSheetId="15" hidden="1">#REF!</definedName>
    <definedName name="Z_EE21DFC7_81AA_40DA_B313_9BC83DA41DD6_.wvu.FilterData" localSheetId="17" hidden="1">#REF!</definedName>
    <definedName name="Z_EE21DFC7_81AA_40DA_B313_9BC83DA41DD6_.wvu.FilterData" localSheetId="11" hidden="1">#REF!</definedName>
    <definedName name="Z_EE21DFC7_81AA_40DA_B313_9BC83DA41DD6_.wvu.FilterData" localSheetId="10" hidden="1">#REF!</definedName>
    <definedName name="Z_EE21DFC7_81AA_40DA_B313_9BC83DA41DD6_.wvu.FilterData" localSheetId="22" hidden="1">#REF!</definedName>
    <definedName name="Z_EE21DFC7_81AA_40DA_B313_9BC83DA41DD6_.wvu.FilterData" localSheetId="24" hidden="1">#REF!</definedName>
    <definedName name="Z_EE21DFC7_81AA_40DA_B313_9BC83DA41DD6_.wvu.FilterData" localSheetId="23" hidden="1">#REF!</definedName>
    <definedName name="Z_EE21DFC7_81AA_40DA_B313_9BC83DA41DD6_.wvu.FilterData" localSheetId="20" hidden="1">#REF!</definedName>
    <definedName name="Z_EE21DFC7_81AA_40DA_B313_9BC83DA41DD6_.wvu.FilterData" localSheetId="19" hidden="1">#REF!</definedName>
    <definedName name="Z_EE21DFC7_81AA_40DA_B313_9BC83DA41DD6_.wvu.FilterData" localSheetId="26" hidden="1">#REF!</definedName>
    <definedName name="Z_EE21DFC7_81AA_40DA_B313_9BC83DA41DD6_.wvu.FilterData" localSheetId="27" hidden="1">#REF!</definedName>
    <definedName name="Z_EE21DFC7_81AA_40DA_B313_9BC83DA41DD6_.wvu.FilterData" localSheetId="25" hidden="1">#REF!</definedName>
    <definedName name="Z_EE21DFC7_81AA_40DA_B313_9BC83DA41DD6_.wvu.FilterData" localSheetId="7" hidden="1">#REF!</definedName>
    <definedName name="Z_EE21DFC7_81AA_40DA_B313_9BC83DA41DD6_.wvu.FilterData" localSheetId="4" hidden="1">#REF!</definedName>
    <definedName name="Z_EE21DFC7_81AA_40DA_B313_9BC83DA41DD6_.wvu.FilterData" localSheetId="5" hidden="1">#REF!</definedName>
    <definedName name="Z_EE21DFC7_81AA_40DA_B313_9BC83DA41DD6_.wvu.FilterData" localSheetId="2" hidden="1">#REF!</definedName>
    <definedName name="Z_EE21DFC7_81AA_40DA_B313_9BC83DA41DD6_.wvu.FilterData" localSheetId="3" hidden="1">#REF!</definedName>
    <definedName name="Z_EE21DFC7_81AA_40DA_B313_9BC83DA41DD6_.wvu.FilterData" hidden="1">#REF!</definedName>
    <definedName name="Z_EE5311D7_3149_40F1_82F5_7EEC6ACB6C85_.wvu.FilterData" localSheetId="21" hidden="1">#REF!</definedName>
    <definedName name="Z_EE5311D7_3149_40F1_82F5_7EEC6ACB6C85_.wvu.FilterData" localSheetId="12" hidden="1">#REF!</definedName>
    <definedName name="Z_EE5311D7_3149_40F1_82F5_7EEC6ACB6C85_.wvu.FilterData" localSheetId="13" hidden="1">#REF!</definedName>
    <definedName name="Z_EE5311D7_3149_40F1_82F5_7EEC6ACB6C85_.wvu.FilterData" localSheetId="14" hidden="1">#REF!</definedName>
    <definedName name="Z_EE5311D7_3149_40F1_82F5_7EEC6ACB6C85_.wvu.FilterData" localSheetId="16" hidden="1">#REF!</definedName>
    <definedName name="Z_EE5311D7_3149_40F1_82F5_7EEC6ACB6C85_.wvu.FilterData" localSheetId="15" hidden="1">#REF!</definedName>
    <definedName name="Z_EE5311D7_3149_40F1_82F5_7EEC6ACB6C85_.wvu.FilterData" localSheetId="17" hidden="1">#REF!</definedName>
    <definedName name="Z_EE5311D7_3149_40F1_82F5_7EEC6ACB6C85_.wvu.FilterData" localSheetId="11" hidden="1">#REF!</definedName>
    <definedName name="Z_EE5311D7_3149_40F1_82F5_7EEC6ACB6C85_.wvu.FilterData" localSheetId="10" hidden="1">#REF!</definedName>
    <definedName name="Z_EE5311D7_3149_40F1_82F5_7EEC6ACB6C85_.wvu.FilterData" localSheetId="22" hidden="1">#REF!</definedName>
    <definedName name="Z_EE5311D7_3149_40F1_82F5_7EEC6ACB6C85_.wvu.FilterData" localSheetId="24" hidden="1">#REF!</definedName>
    <definedName name="Z_EE5311D7_3149_40F1_82F5_7EEC6ACB6C85_.wvu.FilterData" localSheetId="23" hidden="1">#REF!</definedName>
    <definedName name="Z_EE5311D7_3149_40F1_82F5_7EEC6ACB6C85_.wvu.FilterData" localSheetId="20" hidden="1">#REF!</definedName>
    <definedName name="Z_EE5311D7_3149_40F1_82F5_7EEC6ACB6C85_.wvu.FilterData" localSheetId="19" hidden="1">#REF!</definedName>
    <definedName name="Z_EE5311D7_3149_40F1_82F5_7EEC6ACB6C85_.wvu.FilterData" localSheetId="26" hidden="1">#REF!</definedName>
    <definedName name="Z_EE5311D7_3149_40F1_82F5_7EEC6ACB6C85_.wvu.FilterData" localSheetId="27" hidden="1">#REF!</definedName>
    <definedName name="Z_EE5311D7_3149_40F1_82F5_7EEC6ACB6C85_.wvu.FilterData" localSheetId="25" hidden="1">#REF!</definedName>
    <definedName name="Z_EE5311D7_3149_40F1_82F5_7EEC6ACB6C85_.wvu.FilterData" localSheetId="7" hidden="1">#REF!</definedName>
    <definedName name="Z_EE5311D7_3149_40F1_82F5_7EEC6ACB6C85_.wvu.FilterData" localSheetId="4" hidden="1">#REF!</definedName>
    <definedName name="Z_EE5311D7_3149_40F1_82F5_7EEC6ACB6C85_.wvu.FilterData" localSheetId="5" hidden="1">#REF!</definedName>
    <definedName name="Z_EE5311D7_3149_40F1_82F5_7EEC6ACB6C85_.wvu.FilterData" localSheetId="2" hidden="1">#REF!</definedName>
    <definedName name="Z_EE5311D7_3149_40F1_82F5_7EEC6ACB6C85_.wvu.FilterData" localSheetId="3" hidden="1">#REF!</definedName>
    <definedName name="Z_EE5311D7_3149_40F1_82F5_7EEC6ACB6C85_.wvu.FilterData" hidden="1">#REF!</definedName>
    <definedName name="Z_EEE8CD21_C3A5_4786_B8BE_B9E68F0A5347_.wvu.FilterData" localSheetId="21" hidden="1">#REF!</definedName>
    <definedName name="Z_EEE8CD21_C3A5_4786_B8BE_B9E68F0A5347_.wvu.FilterData" localSheetId="12" hidden="1">#REF!</definedName>
    <definedName name="Z_EEE8CD21_C3A5_4786_B8BE_B9E68F0A5347_.wvu.FilterData" localSheetId="13" hidden="1">#REF!</definedName>
    <definedName name="Z_EEE8CD21_C3A5_4786_B8BE_B9E68F0A5347_.wvu.FilterData" localSheetId="14" hidden="1">#REF!</definedName>
    <definedName name="Z_EEE8CD21_C3A5_4786_B8BE_B9E68F0A5347_.wvu.FilterData" localSheetId="16" hidden="1">#REF!</definedName>
    <definedName name="Z_EEE8CD21_C3A5_4786_B8BE_B9E68F0A5347_.wvu.FilterData" localSheetId="15" hidden="1">#REF!</definedName>
    <definedName name="Z_EEE8CD21_C3A5_4786_B8BE_B9E68F0A5347_.wvu.FilterData" localSheetId="17" hidden="1">#REF!</definedName>
    <definedName name="Z_EEE8CD21_C3A5_4786_B8BE_B9E68F0A5347_.wvu.FilterData" localSheetId="11" hidden="1">#REF!</definedName>
    <definedName name="Z_EEE8CD21_C3A5_4786_B8BE_B9E68F0A5347_.wvu.FilterData" localSheetId="10" hidden="1">#REF!</definedName>
    <definedName name="Z_EEE8CD21_C3A5_4786_B8BE_B9E68F0A5347_.wvu.FilterData" localSheetId="22" hidden="1">#REF!</definedName>
    <definedName name="Z_EEE8CD21_C3A5_4786_B8BE_B9E68F0A5347_.wvu.FilterData" localSheetId="24" hidden="1">#REF!</definedName>
    <definedName name="Z_EEE8CD21_C3A5_4786_B8BE_B9E68F0A5347_.wvu.FilterData" localSheetId="23" hidden="1">#REF!</definedName>
    <definedName name="Z_EEE8CD21_C3A5_4786_B8BE_B9E68F0A5347_.wvu.FilterData" localSheetId="20" hidden="1">#REF!</definedName>
    <definedName name="Z_EEE8CD21_C3A5_4786_B8BE_B9E68F0A5347_.wvu.FilterData" localSheetId="19" hidden="1">#REF!</definedName>
    <definedName name="Z_EEE8CD21_C3A5_4786_B8BE_B9E68F0A5347_.wvu.FilterData" localSheetId="26" hidden="1">#REF!</definedName>
    <definedName name="Z_EEE8CD21_C3A5_4786_B8BE_B9E68F0A5347_.wvu.FilterData" localSheetId="27" hidden="1">#REF!</definedName>
    <definedName name="Z_EEE8CD21_C3A5_4786_B8BE_B9E68F0A5347_.wvu.FilterData" localSheetId="25" hidden="1">#REF!</definedName>
    <definedName name="Z_EEE8CD21_C3A5_4786_B8BE_B9E68F0A5347_.wvu.FilterData" localSheetId="7" hidden="1">#REF!</definedName>
    <definedName name="Z_EEE8CD21_C3A5_4786_B8BE_B9E68F0A5347_.wvu.FilterData" localSheetId="4" hidden="1">#REF!</definedName>
    <definedName name="Z_EEE8CD21_C3A5_4786_B8BE_B9E68F0A5347_.wvu.FilterData" localSheetId="5" hidden="1">#REF!</definedName>
    <definedName name="Z_EEE8CD21_C3A5_4786_B8BE_B9E68F0A5347_.wvu.FilterData" localSheetId="2" hidden="1">#REF!</definedName>
    <definedName name="Z_EEE8CD21_C3A5_4786_B8BE_B9E68F0A5347_.wvu.FilterData" localSheetId="3" hidden="1">#REF!</definedName>
    <definedName name="Z_EEE8CD21_C3A5_4786_B8BE_B9E68F0A5347_.wvu.FilterData" hidden="1">#REF!</definedName>
    <definedName name="Z_F0522591_4E2E_4AD6_B99B_B69551272A68_.wvu.FilterData" localSheetId="21" hidden="1">#REF!</definedName>
    <definedName name="Z_F0522591_4E2E_4AD6_B99B_B69551272A68_.wvu.FilterData" localSheetId="12" hidden="1">#REF!</definedName>
    <definedName name="Z_F0522591_4E2E_4AD6_B99B_B69551272A68_.wvu.FilterData" localSheetId="13" hidden="1">#REF!</definedName>
    <definedName name="Z_F0522591_4E2E_4AD6_B99B_B69551272A68_.wvu.FilterData" localSheetId="14" hidden="1">#REF!</definedName>
    <definedName name="Z_F0522591_4E2E_4AD6_B99B_B69551272A68_.wvu.FilterData" localSheetId="16" hidden="1">#REF!</definedName>
    <definedName name="Z_F0522591_4E2E_4AD6_B99B_B69551272A68_.wvu.FilterData" localSheetId="15" hidden="1">#REF!</definedName>
    <definedName name="Z_F0522591_4E2E_4AD6_B99B_B69551272A68_.wvu.FilterData" localSheetId="17" hidden="1">#REF!</definedName>
    <definedName name="Z_F0522591_4E2E_4AD6_B99B_B69551272A68_.wvu.FilterData" localSheetId="11" hidden="1">#REF!</definedName>
    <definedName name="Z_F0522591_4E2E_4AD6_B99B_B69551272A68_.wvu.FilterData" localSheetId="10" hidden="1">#REF!</definedName>
    <definedName name="Z_F0522591_4E2E_4AD6_B99B_B69551272A68_.wvu.FilterData" localSheetId="22" hidden="1">#REF!</definedName>
    <definedName name="Z_F0522591_4E2E_4AD6_B99B_B69551272A68_.wvu.FilterData" localSheetId="24" hidden="1">#REF!</definedName>
    <definedName name="Z_F0522591_4E2E_4AD6_B99B_B69551272A68_.wvu.FilterData" localSheetId="23" hidden="1">#REF!</definedName>
    <definedName name="Z_F0522591_4E2E_4AD6_B99B_B69551272A68_.wvu.FilterData" localSheetId="20" hidden="1">#REF!</definedName>
    <definedName name="Z_F0522591_4E2E_4AD6_B99B_B69551272A68_.wvu.FilterData" localSheetId="19" hidden="1">#REF!</definedName>
    <definedName name="Z_F0522591_4E2E_4AD6_B99B_B69551272A68_.wvu.FilterData" localSheetId="26" hidden="1">#REF!</definedName>
    <definedName name="Z_F0522591_4E2E_4AD6_B99B_B69551272A68_.wvu.FilterData" localSheetId="27" hidden="1">#REF!</definedName>
    <definedName name="Z_F0522591_4E2E_4AD6_B99B_B69551272A68_.wvu.FilterData" localSheetId="25" hidden="1">#REF!</definedName>
    <definedName name="Z_F0522591_4E2E_4AD6_B99B_B69551272A68_.wvu.FilterData" localSheetId="7" hidden="1">#REF!</definedName>
    <definedName name="Z_F0522591_4E2E_4AD6_B99B_B69551272A68_.wvu.FilterData" localSheetId="4" hidden="1">#REF!</definedName>
    <definedName name="Z_F0522591_4E2E_4AD6_B99B_B69551272A68_.wvu.FilterData" localSheetId="5" hidden="1">#REF!</definedName>
    <definedName name="Z_F0522591_4E2E_4AD6_B99B_B69551272A68_.wvu.FilterData" localSheetId="2" hidden="1">#REF!</definedName>
    <definedName name="Z_F0522591_4E2E_4AD6_B99B_B69551272A68_.wvu.FilterData" localSheetId="3" hidden="1">#REF!</definedName>
    <definedName name="Z_F0522591_4E2E_4AD6_B99B_B69551272A68_.wvu.FilterData" hidden="1">#REF!</definedName>
    <definedName name="Z_F1326E0B_5376_4D6E_9BC8_214AA525DE83_.wvu.FilterData" localSheetId="21" hidden="1">#REF!</definedName>
    <definedName name="Z_F1326E0B_5376_4D6E_9BC8_214AA525DE83_.wvu.FilterData" localSheetId="12" hidden="1">#REF!</definedName>
    <definedName name="Z_F1326E0B_5376_4D6E_9BC8_214AA525DE83_.wvu.FilterData" localSheetId="13" hidden="1">#REF!</definedName>
    <definedName name="Z_F1326E0B_5376_4D6E_9BC8_214AA525DE83_.wvu.FilterData" localSheetId="14" hidden="1">#REF!</definedName>
    <definedName name="Z_F1326E0B_5376_4D6E_9BC8_214AA525DE83_.wvu.FilterData" localSheetId="16" hidden="1">#REF!</definedName>
    <definedName name="Z_F1326E0B_5376_4D6E_9BC8_214AA525DE83_.wvu.FilterData" localSheetId="15" hidden="1">#REF!</definedName>
    <definedName name="Z_F1326E0B_5376_4D6E_9BC8_214AA525DE83_.wvu.FilterData" localSheetId="17" hidden="1">#REF!</definedName>
    <definedName name="Z_F1326E0B_5376_4D6E_9BC8_214AA525DE83_.wvu.FilterData" localSheetId="11" hidden="1">#REF!</definedName>
    <definedName name="Z_F1326E0B_5376_4D6E_9BC8_214AA525DE83_.wvu.FilterData" localSheetId="10" hidden="1">#REF!</definedName>
    <definedName name="Z_F1326E0B_5376_4D6E_9BC8_214AA525DE83_.wvu.FilterData" localSheetId="22" hidden="1">#REF!</definedName>
    <definedName name="Z_F1326E0B_5376_4D6E_9BC8_214AA525DE83_.wvu.FilterData" localSheetId="24" hidden="1">#REF!</definedName>
    <definedName name="Z_F1326E0B_5376_4D6E_9BC8_214AA525DE83_.wvu.FilterData" localSheetId="23" hidden="1">#REF!</definedName>
    <definedName name="Z_F1326E0B_5376_4D6E_9BC8_214AA525DE83_.wvu.FilterData" localSheetId="20" hidden="1">#REF!</definedName>
    <definedName name="Z_F1326E0B_5376_4D6E_9BC8_214AA525DE83_.wvu.FilterData" localSheetId="19" hidden="1">#REF!</definedName>
    <definedName name="Z_F1326E0B_5376_4D6E_9BC8_214AA525DE83_.wvu.FilterData" localSheetId="26" hidden="1">#REF!</definedName>
    <definedName name="Z_F1326E0B_5376_4D6E_9BC8_214AA525DE83_.wvu.FilterData" localSheetId="27" hidden="1">#REF!</definedName>
    <definedName name="Z_F1326E0B_5376_4D6E_9BC8_214AA525DE83_.wvu.FilterData" localSheetId="25" hidden="1">#REF!</definedName>
    <definedName name="Z_F1326E0B_5376_4D6E_9BC8_214AA525DE83_.wvu.FilterData" localSheetId="7" hidden="1">#REF!</definedName>
    <definedName name="Z_F1326E0B_5376_4D6E_9BC8_214AA525DE83_.wvu.FilterData" localSheetId="4" hidden="1">#REF!</definedName>
    <definedName name="Z_F1326E0B_5376_4D6E_9BC8_214AA525DE83_.wvu.FilterData" localSheetId="5" hidden="1">#REF!</definedName>
    <definedName name="Z_F1326E0B_5376_4D6E_9BC8_214AA525DE83_.wvu.FilterData" localSheetId="2" hidden="1">#REF!</definedName>
    <definedName name="Z_F1326E0B_5376_4D6E_9BC8_214AA525DE83_.wvu.FilterData" localSheetId="3" hidden="1">#REF!</definedName>
    <definedName name="Z_F1326E0B_5376_4D6E_9BC8_214AA525DE83_.wvu.FilterData" hidden="1">#REF!</definedName>
    <definedName name="Z_F300E2D5_C458_4E4B_AB71_FF06367EF684_.wvu.FilterData" localSheetId="21" hidden="1">#REF!</definedName>
    <definedName name="Z_F300E2D5_C458_4E4B_AB71_FF06367EF684_.wvu.FilterData" localSheetId="12" hidden="1">#REF!</definedName>
    <definedName name="Z_F300E2D5_C458_4E4B_AB71_FF06367EF684_.wvu.FilterData" localSheetId="13" hidden="1">#REF!</definedName>
    <definedName name="Z_F300E2D5_C458_4E4B_AB71_FF06367EF684_.wvu.FilterData" localSheetId="14" hidden="1">#REF!</definedName>
    <definedName name="Z_F300E2D5_C458_4E4B_AB71_FF06367EF684_.wvu.FilterData" localSheetId="16" hidden="1">#REF!</definedName>
    <definedName name="Z_F300E2D5_C458_4E4B_AB71_FF06367EF684_.wvu.FilterData" localSheetId="15" hidden="1">#REF!</definedName>
    <definedName name="Z_F300E2D5_C458_4E4B_AB71_FF06367EF684_.wvu.FilterData" localSheetId="17" hidden="1">#REF!</definedName>
    <definedName name="Z_F300E2D5_C458_4E4B_AB71_FF06367EF684_.wvu.FilterData" localSheetId="11" hidden="1">#REF!</definedName>
    <definedName name="Z_F300E2D5_C458_4E4B_AB71_FF06367EF684_.wvu.FilterData" localSheetId="10" hidden="1">#REF!</definedName>
    <definedName name="Z_F300E2D5_C458_4E4B_AB71_FF06367EF684_.wvu.FilterData" localSheetId="22" hidden="1">#REF!</definedName>
    <definedName name="Z_F300E2D5_C458_4E4B_AB71_FF06367EF684_.wvu.FilterData" localSheetId="24" hidden="1">#REF!</definedName>
    <definedName name="Z_F300E2D5_C458_4E4B_AB71_FF06367EF684_.wvu.FilterData" localSheetId="23" hidden="1">#REF!</definedName>
    <definedName name="Z_F300E2D5_C458_4E4B_AB71_FF06367EF684_.wvu.FilterData" localSheetId="20" hidden="1">#REF!</definedName>
    <definedName name="Z_F300E2D5_C458_4E4B_AB71_FF06367EF684_.wvu.FilterData" localSheetId="19" hidden="1">#REF!</definedName>
    <definedName name="Z_F300E2D5_C458_4E4B_AB71_FF06367EF684_.wvu.FilterData" localSheetId="26" hidden="1">#REF!</definedName>
    <definedName name="Z_F300E2D5_C458_4E4B_AB71_FF06367EF684_.wvu.FilterData" localSheetId="27" hidden="1">#REF!</definedName>
    <definedName name="Z_F300E2D5_C458_4E4B_AB71_FF06367EF684_.wvu.FilterData" localSheetId="25" hidden="1">#REF!</definedName>
    <definedName name="Z_F300E2D5_C458_4E4B_AB71_FF06367EF684_.wvu.FilterData" localSheetId="7" hidden="1">#REF!</definedName>
    <definedName name="Z_F300E2D5_C458_4E4B_AB71_FF06367EF684_.wvu.FilterData" localSheetId="4" hidden="1">#REF!</definedName>
    <definedName name="Z_F300E2D5_C458_4E4B_AB71_FF06367EF684_.wvu.FilterData" localSheetId="5" hidden="1">#REF!</definedName>
    <definedName name="Z_F300E2D5_C458_4E4B_AB71_FF06367EF684_.wvu.FilterData" localSheetId="2" hidden="1">#REF!</definedName>
    <definedName name="Z_F300E2D5_C458_4E4B_AB71_FF06367EF684_.wvu.FilterData" localSheetId="3" hidden="1">#REF!</definedName>
    <definedName name="Z_F300E2D5_C458_4E4B_AB71_FF06367EF684_.wvu.FilterData" hidden="1">#REF!</definedName>
    <definedName name="Z_F3F443DB_8EE1_48F9_9BF4_EAF21EDD719F_.wvu.FilterData" localSheetId="21" hidden="1">#REF!</definedName>
    <definedName name="Z_F3F443DB_8EE1_48F9_9BF4_EAF21EDD719F_.wvu.FilterData" localSheetId="12" hidden="1">#REF!</definedName>
    <definedName name="Z_F3F443DB_8EE1_48F9_9BF4_EAF21EDD719F_.wvu.FilterData" localSheetId="13" hidden="1">#REF!</definedName>
    <definedName name="Z_F3F443DB_8EE1_48F9_9BF4_EAF21EDD719F_.wvu.FilterData" localSheetId="14" hidden="1">#REF!</definedName>
    <definedName name="Z_F3F443DB_8EE1_48F9_9BF4_EAF21EDD719F_.wvu.FilterData" localSheetId="16" hidden="1">#REF!</definedName>
    <definedName name="Z_F3F443DB_8EE1_48F9_9BF4_EAF21EDD719F_.wvu.FilterData" localSheetId="15" hidden="1">#REF!</definedName>
    <definedName name="Z_F3F443DB_8EE1_48F9_9BF4_EAF21EDD719F_.wvu.FilterData" localSheetId="17" hidden="1">#REF!</definedName>
    <definedName name="Z_F3F443DB_8EE1_48F9_9BF4_EAF21EDD719F_.wvu.FilterData" localSheetId="11" hidden="1">#REF!</definedName>
    <definedName name="Z_F3F443DB_8EE1_48F9_9BF4_EAF21EDD719F_.wvu.FilterData" localSheetId="10" hidden="1">#REF!</definedName>
    <definedName name="Z_F3F443DB_8EE1_48F9_9BF4_EAF21EDD719F_.wvu.FilterData" localSheetId="22" hidden="1">#REF!</definedName>
    <definedName name="Z_F3F443DB_8EE1_48F9_9BF4_EAF21EDD719F_.wvu.FilterData" localSheetId="24" hidden="1">#REF!</definedName>
    <definedName name="Z_F3F443DB_8EE1_48F9_9BF4_EAF21EDD719F_.wvu.FilterData" localSheetId="23" hidden="1">#REF!</definedName>
    <definedName name="Z_F3F443DB_8EE1_48F9_9BF4_EAF21EDD719F_.wvu.FilterData" localSheetId="20" hidden="1">#REF!</definedName>
    <definedName name="Z_F3F443DB_8EE1_48F9_9BF4_EAF21EDD719F_.wvu.FilterData" localSheetId="19" hidden="1">#REF!</definedName>
    <definedName name="Z_F3F443DB_8EE1_48F9_9BF4_EAF21EDD719F_.wvu.FilterData" localSheetId="26" hidden="1">#REF!</definedName>
    <definedName name="Z_F3F443DB_8EE1_48F9_9BF4_EAF21EDD719F_.wvu.FilterData" localSheetId="27" hidden="1">#REF!</definedName>
    <definedName name="Z_F3F443DB_8EE1_48F9_9BF4_EAF21EDD719F_.wvu.FilterData" localSheetId="25" hidden="1">#REF!</definedName>
    <definedName name="Z_F3F443DB_8EE1_48F9_9BF4_EAF21EDD719F_.wvu.FilterData" localSheetId="7" hidden="1">#REF!</definedName>
    <definedName name="Z_F3F443DB_8EE1_48F9_9BF4_EAF21EDD719F_.wvu.FilterData" localSheetId="4" hidden="1">#REF!</definedName>
    <definedName name="Z_F3F443DB_8EE1_48F9_9BF4_EAF21EDD719F_.wvu.FilterData" localSheetId="5" hidden="1">#REF!</definedName>
    <definedName name="Z_F3F443DB_8EE1_48F9_9BF4_EAF21EDD719F_.wvu.FilterData" localSheetId="2" hidden="1">#REF!</definedName>
    <definedName name="Z_F3F443DB_8EE1_48F9_9BF4_EAF21EDD719F_.wvu.FilterData" localSheetId="3" hidden="1">#REF!</definedName>
    <definedName name="Z_F3F443DB_8EE1_48F9_9BF4_EAF21EDD719F_.wvu.FilterData" hidden="1">#REF!</definedName>
    <definedName name="Z_F6923408_DB58_4A59_8717_D0133A922204_.wvu.FilterData" localSheetId="21" hidden="1">#REF!</definedName>
    <definedName name="Z_F6923408_DB58_4A59_8717_D0133A922204_.wvu.FilterData" localSheetId="12" hidden="1">#REF!</definedName>
    <definedName name="Z_F6923408_DB58_4A59_8717_D0133A922204_.wvu.FilterData" localSheetId="13" hidden="1">#REF!</definedName>
    <definedName name="Z_F6923408_DB58_4A59_8717_D0133A922204_.wvu.FilterData" localSheetId="14" hidden="1">#REF!</definedName>
    <definedName name="Z_F6923408_DB58_4A59_8717_D0133A922204_.wvu.FilterData" localSheetId="16" hidden="1">#REF!</definedName>
    <definedName name="Z_F6923408_DB58_4A59_8717_D0133A922204_.wvu.FilterData" localSheetId="15" hidden="1">#REF!</definedName>
    <definedName name="Z_F6923408_DB58_4A59_8717_D0133A922204_.wvu.FilterData" localSheetId="17" hidden="1">#REF!</definedName>
    <definedName name="Z_F6923408_DB58_4A59_8717_D0133A922204_.wvu.FilterData" localSheetId="11" hidden="1">#REF!</definedName>
    <definedName name="Z_F6923408_DB58_4A59_8717_D0133A922204_.wvu.FilterData" localSheetId="10" hidden="1">#REF!</definedName>
    <definedName name="Z_F6923408_DB58_4A59_8717_D0133A922204_.wvu.FilterData" localSheetId="22" hidden="1">#REF!</definedName>
    <definedName name="Z_F6923408_DB58_4A59_8717_D0133A922204_.wvu.FilterData" localSheetId="24" hidden="1">#REF!</definedName>
    <definedName name="Z_F6923408_DB58_4A59_8717_D0133A922204_.wvu.FilterData" localSheetId="23" hidden="1">#REF!</definedName>
    <definedName name="Z_F6923408_DB58_4A59_8717_D0133A922204_.wvu.FilterData" localSheetId="20" hidden="1">#REF!</definedName>
    <definedName name="Z_F6923408_DB58_4A59_8717_D0133A922204_.wvu.FilterData" localSheetId="19" hidden="1">#REF!</definedName>
    <definedName name="Z_F6923408_DB58_4A59_8717_D0133A922204_.wvu.FilterData" localSheetId="26" hidden="1">#REF!</definedName>
    <definedName name="Z_F6923408_DB58_4A59_8717_D0133A922204_.wvu.FilterData" localSheetId="27" hidden="1">#REF!</definedName>
    <definedName name="Z_F6923408_DB58_4A59_8717_D0133A922204_.wvu.FilterData" localSheetId="25" hidden="1">#REF!</definedName>
    <definedName name="Z_F6923408_DB58_4A59_8717_D0133A922204_.wvu.FilterData" localSheetId="7" hidden="1">#REF!</definedName>
    <definedName name="Z_F6923408_DB58_4A59_8717_D0133A922204_.wvu.FilterData" localSheetId="4" hidden="1">#REF!</definedName>
    <definedName name="Z_F6923408_DB58_4A59_8717_D0133A922204_.wvu.FilterData" localSheetId="5" hidden="1">#REF!</definedName>
    <definedName name="Z_F6923408_DB58_4A59_8717_D0133A922204_.wvu.FilterData" localSheetId="2" hidden="1">#REF!</definedName>
    <definedName name="Z_F6923408_DB58_4A59_8717_D0133A922204_.wvu.FilterData" localSheetId="3" hidden="1">#REF!</definedName>
    <definedName name="Z_F6923408_DB58_4A59_8717_D0133A922204_.wvu.FilterData" hidden="1">#REF!</definedName>
    <definedName name="Z_F9CB3A99_6D24_412C_93C4_575819594890_.wvu.FilterData" localSheetId="21" hidden="1">#REF!</definedName>
    <definedName name="Z_F9CB3A99_6D24_412C_93C4_575819594890_.wvu.FilterData" localSheetId="12" hidden="1">#REF!</definedName>
    <definedName name="Z_F9CB3A99_6D24_412C_93C4_575819594890_.wvu.FilterData" localSheetId="13" hidden="1">#REF!</definedName>
    <definedName name="Z_F9CB3A99_6D24_412C_93C4_575819594890_.wvu.FilterData" localSheetId="14" hidden="1">#REF!</definedName>
    <definedName name="Z_F9CB3A99_6D24_412C_93C4_575819594890_.wvu.FilterData" localSheetId="16" hidden="1">#REF!</definedName>
    <definedName name="Z_F9CB3A99_6D24_412C_93C4_575819594890_.wvu.FilterData" localSheetId="15" hidden="1">#REF!</definedName>
    <definedName name="Z_F9CB3A99_6D24_412C_93C4_575819594890_.wvu.FilterData" localSheetId="17" hidden="1">#REF!</definedName>
    <definedName name="Z_F9CB3A99_6D24_412C_93C4_575819594890_.wvu.FilterData" localSheetId="11" hidden="1">#REF!</definedName>
    <definedName name="Z_F9CB3A99_6D24_412C_93C4_575819594890_.wvu.FilterData" localSheetId="10" hidden="1">#REF!</definedName>
    <definedName name="Z_F9CB3A99_6D24_412C_93C4_575819594890_.wvu.FilterData" localSheetId="22" hidden="1">#REF!</definedName>
    <definedName name="Z_F9CB3A99_6D24_412C_93C4_575819594890_.wvu.FilterData" localSheetId="24" hidden="1">#REF!</definedName>
    <definedName name="Z_F9CB3A99_6D24_412C_93C4_575819594890_.wvu.FilterData" localSheetId="23" hidden="1">#REF!</definedName>
    <definedName name="Z_F9CB3A99_6D24_412C_93C4_575819594890_.wvu.FilterData" localSheetId="20" hidden="1">#REF!</definedName>
    <definedName name="Z_F9CB3A99_6D24_412C_93C4_575819594890_.wvu.FilterData" localSheetId="19" hidden="1">#REF!</definedName>
    <definedName name="Z_F9CB3A99_6D24_412C_93C4_575819594890_.wvu.FilterData" localSheetId="26" hidden="1">#REF!</definedName>
    <definedName name="Z_F9CB3A99_6D24_412C_93C4_575819594890_.wvu.FilterData" localSheetId="27" hidden="1">#REF!</definedName>
    <definedName name="Z_F9CB3A99_6D24_412C_93C4_575819594890_.wvu.FilterData" localSheetId="25" hidden="1">#REF!</definedName>
    <definedName name="Z_F9CB3A99_6D24_412C_93C4_575819594890_.wvu.FilterData" localSheetId="7" hidden="1">#REF!</definedName>
    <definedName name="Z_F9CB3A99_6D24_412C_93C4_575819594890_.wvu.FilterData" localSheetId="4" hidden="1">#REF!</definedName>
    <definedName name="Z_F9CB3A99_6D24_412C_93C4_575819594890_.wvu.FilterData" localSheetId="5" hidden="1">#REF!</definedName>
    <definedName name="Z_F9CB3A99_6D24_412C_93C4_575819594890_.wvu.FilterData" localSheetId="2" hidden="1">#REF!</definedName>
    <definedName name="Z_F9CB3A99_6D24_412C_93C4_575819594890_.wvu.FilterData" localSheetId="3" hidden="1">#REF!</definedName>
    <definedName name="Z_F9CB3A99_6D24_412C_93C4_575819594890_.wvu.FilterData" hidden="1">#REF!</definedName>
    <definedName name="Z_FA40CB26_17FE_4901_96A4_2176E8FA5EEE_.wvu.FilterData" localSheetId="21" hidden="1">#REF!</definedName>
    <definedName name="Z_FA40CB26_17FE_4901_96A4_2176E8FA5EEE_.wvu.FilterData" localSheetId="12" hidden="1">#REF!</definedName>
    <definedName name="Z_FA40CB26_17FE_4901_96A4_2176E8FA5EEE_.wvu.FilterData" localSheetId="13" hidden="1">#REF!</definedName>
    <definedName name="Z_FA40CB26_17FE_4901_96A4_2176E8FA5EEE_.wvu.FilterData" localSheetId="14" hidden="1">#REF!</definedName>
    <definedName name="Z_FA40CB26_17FE_4901_96A4_2176E8FA5EEE_.wvu.FilterData" localSheetId="16" hidden="1">#REF!</definedName>
    <definedName name="Z_FA40CB26_17FE_4901_96A4_2176E8FA5EEE_.wvu.FilterData" localSheetId="15" hidden="1">#REF!</definedName>
    <definedName name="Z_FA40CB26_17FE_4901_96A4_2176E8FA5EEE_.wvu.FilterData" localSheetId="17" hidden="1">#REF!</definedName>
    <definedName name="Z_FA40CB26_17FE_4901_96A4_2176E8FA5EEE_.wvu.FilterData" localSheetId="11" hidden="1">#REF!</definedName>
    <definedName name="Z_FA40CB26_17FE_4901_96A4_2176E8FA5EEE_.wvu.FilterData" localSheetId="10" hidden="1">#REF!</definedName>
    <definedName name="Z_FA40CB26_17FE_4901_96A4_2176E8FA5EEE_.wvu.FilterData" localSheetId="22" hidden="1">#REF!</definedName>
    <definedName name="Z_FA40CB26_17FE_4901_96A4_2176E8FA5EEE_.wvu.FilterData" localSheetId="24" hidden="1">#REF!</definedName>
    <definedName name="Z_FA40CB26_17FE_4901_96A4_2176E8FA5EEE_.wvu.FilterData" localSheetId="23" hidden="1">#REF!</definedName>
    <definedName name="Z_FA40CB26_17FE_4901_96A4_2176E8FA5EEE_.wvu.FilterData" localSheetId="20" hidden="1">#REF!</definedName>
    <definedName name="Z_FA40CB26_17FE_4901_96A4_2176E8FA5EEE_.wvu.FilterData" localSheetId="19" hidden="1">#REF!</definedName>
    <definedName name="Z_FA40CB26_17FE_4901_96A4_2176E8FA5EEE_.wvu.FilterData" localSheetId="26" hidden="1">#REF!</definedName>
    <definedName name="Z_FA40CB26_17FE_4901_96A4_2176E8FA5EEE_.wvu.FilterData" localSheetId="27" hidden="1">#REF!</definedName>
    <definedName name="Z_FA40CB26_17FE_4901_96A4_2176E8FA5EEE_.wvu.FilterData" localSheetId="25" hidden="1">#REF!</definedName>
    <definedName name="Z_FA40CB26_17FE_4901_96A4_2176E8FA5EEE_.wvu.FilterData" localSheetId="7" hidden="1">#REF!</definedName>
    <definedName name="Z_FA40CB26_17FE_4901_96A4_2176E8FA5EEE_.wvu.FilterData" localSheetId="4" hidden="1">#REF!</definedName>
    <definedName name="Z_FA40CB26_17FE_4901_96A4_2176E8FA5EEE_.wvu.FilterData" localSheetId="5" hidden="1">#REF!</definedName>
    <definedName name="Z_FA40CB26_17FE_4901_96A4_2176E8FA5EEE_.wvu.FilterData" localSheetId="2" hidden="1">#REF!</definedName>
    <definedName name="Z_FA40CB26_17FE_4901_96A4_2176E8FA5EEE_.wvu.FilterData" localSheetId="3" hidden="1">#REF!</definedName>
    <definedName name="Z_FA40CB26_17FE_4901_96A4_2176E8FA5EEE_.wvu.FilterData" hidden="1">#REF!</definedName>
    <definedName name="Z_FC4D1412_4B52_4393_A184_1BAD70B9C231_.wvu.FilterData" localSheetId="21" hidden="1">#REF!</definedName>
    <definedName name="Z_FC4D1412_4B52_4393_A184_1BAD70B9C231_.wvu.FilterData" localSheetId="12" hidden="1">#REF!</definedName>
    <definedName name="Z_FC4D1412_4B52_4393_A184_1BAD70B9C231_.wvu.FilterData" localSheetId="13" hidden="1">#REF!</definedName>
    <definedName name="Z_FC4D1412_4B52_4393_A184_1BAD70B9C231_.wvu.FilterData" localSheetId="14" hidden="1">#REF!</definedName>
    <definedName name="Z_FC4D1412_4B52_4393_A184_1BAD70B9C231_.wvu.FilterData" localSheetId="16" hidden="1">#REF!</definedName>
    <definedName name="Z_FC4D1412_4B52_4393_A184_1BAD70B9C231_.wvu.FilterData" localSheetId="15" hidden="1">#REF!</definedName>
    <definedName name="Z_FC4D1412_4B52_4393_A184_1BAD70B9C231_.wvu.FilterData" localSheetId="17" hidden="1">#REF!</definedName>
    <definedName name="Z_FC4D1412_4B52_4393_A184_1BAD70B9C231_.wvu.FilterData" localSheetId="11" hidden="1">#REF!</definedName>
    <definedName name="Z_FC4D1412_4B52_4393_A184_1BAD70B9C231_.wvu.FilterData" localSheetId="10" hidden="1">#REF!</definedName>
    <definedName name="Z_FC4D1412_4B52_4393_A184_1BAD70B9C231_.wvu.FilterData" localSheetId="22" hidden="1">#REF!</definedName>
    <definedName name="Z_FC4D1412_4B52_4393_A184_1BAD70B9C231_.wvu.FilterData" localSheetId="24" hidden="1">#REF!</definedName>
    <definedName name="Z_FC4D1412_4B52_4393_A184_1BAD70B9C231_.wvu.FilterData" localSheetId="23" hidden="1">#REF!</definedName>
    <definedName name="Z_FC4D1412_4B52_4393_A184_1BAD70B9C231_.wvu.FilterData" localSheetId="20" hidden="1">#REF!</definedName>
    <definedName name="Z_FC4D1412_4B52_4393_A184_1BAD70B9C231_.wvu.FilterData" localSheetId="19" hidden="1">#REF!</definedName>
    <definedName name="Z_FC4D1412_4B52_4393_A184_1BAD70B9C231_.wvu.FilterData" localSheetId="26" hidden="1">#REF!</definedName>
    <definedName name="Z_FC4D1412_4B52_4393_A184_1BAD70B9C231_.wvu.FilterData" localSheetId="27" hidden="1">#REF!</definedName>
    <definedName name="Z_FC4D1412_4B52_4393_A184_1BAD70B9C231_.wvu.FilterData" localSheetId="25" hidden="1">#REF!</definedName>
    <definedName name="Z_FC4D1412_4B52_4393_A184_1BAD70B9C231_.wvu.FilterData" localSheetId="7" hidden="1">#REF!</definedName>
    <definedName name="Z_FC4D1412_4B52_4393_A184_1BAD70B9C231_.wvu.FilterData" localSheetId="4" hidden="1">#REF!</definedName>
    <definedName name="Z_FC4D1412_4B52_4393_A184_1BAD70B9C231_.wvu.FilterData" localSheetId="5" hidden="1">#REF!</definedName>
    <definedName name="Z_FC4D1412_4B52_4393_A184_1BAD70B9C231_.wvu.FilterData" localSheetId="2" hidden="1">#REF!</definedName>
    <definedName name="Z_FC4D1412_4B52_4393_A184_1BAD70B9C231_.wvu.FilterData" localSheetId="3" hidden="1">#REF!</definedName>
    <definedName name="Z_FC4D1412_4B52_4393_A184_1BAD70B9C231_.wvu.FilterData" hidden="1">#REF!</definedName>
    <definedName name="Z_FD259A29_AD61_4284_9BC7_5C3B20DD002B_.wvu.FilterData" localSheetId="21" hidden="1">#REF!</definedName>
    <definedName name="Z_FD259A29_AD61_4284_9BC7_5C3B20DD002B_.wvu.FilterData" localSheetId="12" hidden="1">#REF!</definedName>
    <definedName name="Z_FD259A29_AD61_4284_9BC7_5C3B20DD002B_.wvu.FilterData" localSheetId="13" hidden="1">#REF!</definedName>
    <definedName name="Z_FD259A29_AD61_4284_9BC7_5C3B20DD002B_.wvu.FilterData" localSheetId="14" hidden="1">#REF!</definedName>
    <definedName name="Z_FD259A29_AD61_4284_9BC7_5C3B20DD002B_.wvu.FilterData" localSheetId="16" hidden="1">#REF!</definedName>
    <definedName name="Z_FD259A29_AD61_4284_9BC7_5C3B20DD002B_.wvu.FilterData" localSheetId="15" hidden="1">#REF!</definedName>
    <definedName name="Z_FD259A29_AD61_4284_9BC7_5C3B20DD002B_.wvu.FilterData" localSheetId="17" hidden="1">#REF!</definedName>
    <definedName name="Z_FD259A29_AD61_4284_9BC7_5C3B20DD002B_.wvu.FilterData" localSheetId="11" hidden="1">#REF!</definedName>
    <definedName name="Z_FD259A29_AD61_4284_9BC7_5C3B20DD002B_.wvu.FilterData" localSheetId="10" hidden="1">#REF!</definedName>
    <definedName name="Z_FD259A29_AD61_4284_9BC7_5C3B20DD002B_.wvu.FilterData" localSheetId="22" hidden="1">#REF!</definedName>
    <definedName name="Z_FD259A29_AD61_4284_9BC7_5C3B20DD002B_.wvu.FilterData" localSheetId="24" hidden="1">#REF!</definedName>
    <definedName name="Z_FD259A29_AD61_4284_9BC7_5C3B20DD002B_.wvu.FilterData" localSheetId="23" hidden="1">#REF!</definedName>
    <definedName name="Z_FD259A29_AD61_4284_9BC7_5C3B20DD002B_.wvu.FilterData" localSheetId="20" hidden="1">#REF!</definedName>
    <definedName name="Z_FD259A29_AD61_4284_9BC7_5C3B20DD002B_.wvu.FilterData" localSheetId="19" hidden="1">#REF!</definedName>
    <definedName name="Z_FD259A29_AD61_4284_9BC7_5C3B20DD002B_.wvu.FilterData" localSheetId="26" hidden="1">#REF!</definedName>
    <definedName name="Z_FD259A29_AD61_4284_9BC7_5C3B20DD002B_.wvu.FilterData" localSheetId="27" hidden="1">#REF!</definedName>
    <definedName name="Z_FD259A29_AD61_4284_9BC7_5C3B20DD002B_.wvu.FilterData" localSheetId="25" hidden="1">#REF!</definedName>
    <definedName name="Z_FD259A29_AD61_4284_9BC7_5C3B20DD002B_.wvu.FilterData" localSheetId="7" hidden="1">#REF!</definedName>
    <definedName name="Z_FD259A29_AD61_4284_9BC7_5C3B20DD002B_.wvu.FilterData" localSheetId="4" hidden="1">#REF!</definedName>
    <definedName name="Z_FD259A29_AD61_4284_9BC7_5C3B20DD002B_.wvu.FilterData" localSheetId="5" hidden="1">#REF!</definedName>
    <definedName name="Z_FD259A29_AD61_4284_9BC7_5C3B20DD002B_.wvu.FilterData" localSheetId="2" hidden="1">#REF!</definedName>
    <definedName name="Z_FD259A29_AD61_4284_9BC7_5C3B20DD002B_.wvu.FilterData" localSheetId="3" hidden="1">#REF!</definedName>
    <definedName name="Z_FD259A29_AD61_4284_9BC7_5C3B20DD002B_.wvu.FilterData" hidden="1">#REF!</definedName>
    <definedName name="Z_FDFF93A6_D487_497C_8FA1_B8636451E74C_.wvu.FilterData" localSheetId="21" hidden="1">#REF!</definedName>
    <definedName name="Z_FDFF93A6_D487_497C_8FA1_B8636451E74C_.wvu.FilterData" localSheetId="12" hidden="1">#REF!</definedName>
    <definedName name="Z_FDFF93A6_D487_497C_8FA1_B8636451E74C_.wvu.FilterData" localSheetId="13" hidden="1">#REF!</definedName>
    <definedName name="Z_FDFF93A6_D487_497C_8FA1_B8636451E74C_.wvu.FilterData" localSheetId="14" hidden="1">#REF!</definedName>
    <definedName name="Z_FDFF93A6_D487_497C_8FA1_B8636451E74C_.wvu.FilterData" localSheetId="16" hidden="1">#REF!</definedName>
    <definedName name="Z_FDFF93A6_D487_497C_8FA1_B8636451E74C_.wvu.FilterData" localSheetId="15" hidden="1">#REF!</definedName>
    <definedName name="Z_FDFF93A6_D487_497C_8FA1_B8636451E74C_.wvu.FilterData" localSheetId="17" hidden="1">#REF!</definedName>
    <definedName name="Z_FDFF93A6_D487_497C_8FA1_B8636451E74C_.wvu.FilterData" localSheetId="11" hidden="1">#REF!</definedName>
    <definedName name="Z_FDFF93A6_D487_497C_8FA1_B8636451E74C_.wvu.FilterData" localSheetId="10" hidden="1">#REF!</definedName>
    <definedName name="Z_FDFF93A6_D487_497C_8FA1_B8636451E74C_.wvu.FilterData" localSheetId="22" hidden="1">#REF!</definedName>
    <definedName name="Z_FDFF93A6_D487_497C_8FA1_B8636451E74C_.wvu.FilterData" localSheetId="24" hidden="1">#REF!</definedName>
    <definedName name="Z_FDFF93A6_D487_497C_8FA1_B8636451E74C_.wvu.FilterData" localSheetId="23" hidden="1">#REF!</definedName>
    <definedName name="Z_FDFF93A6_D487_497C_8FA1_B8636451E74C_.wvu.FilterData" localSheetId="20" hidden="1">#REF!</definedName>
    <definedName name="Z_FDFF93A6_D487_497C_8FA1_B8636451E74C_.wvu.FilterData" localSheetId="19" hidden="1">#REF!</definedName>
    <definedName name="Z_FDFF93A6_D487_497C_8FA1_B8636451E74C_.wvu.FilterData" localSheetId="26" hidden="1">#REF!</definedName>
    <definedName name="Z_FDFF93A6_D487_497C_8FA1_B8636451E74C_.wvu.FilterData" localSheetId="27" hidden="1">#REF!</definedName>
    <definedName name="Z_FDFF93A6_D487_497C_8FA1_B8636451E74C_.wvu.FilterData" localSheetId="25" hidden="1">#REF!</definedName>
    <definedName name="Z_FDFF93A6_D487_497C_8FA1_B8636451E74C_.wvu.FilterData" localSheetId="7" hidden="1">#REF!</definedName>
    <definedName name="Z_FDFF93A6_D487_497C_8FA1_B8636451E74C_.wvu.FilterData" localSheetId="4" hidden="1">#REF!</definedName>
    <definedName name="Z_FDFF93A6_D487_497C_8FA1_B8636451E74C_.wvu.FilterData" localSheetId="5" hidden="1">#REF!</definedName>
    <definedName name="Z_FDFF93A6_D487_497C_8FA1_B8636451E74C_.wvu.FilterData" localSheetId="2" hidden="1">#REF!</definedName>
    <definedName name="Z_FDFF93A6_D487_497C_8FA1_B8636451E74C_.wvu.FilterData" localSheetId="3" hidden="1">#REF!</definedName>
    <definedName name="Z_FDFF93A6_D487_497C_8FA1_B8636451E74C_.wvu.FilterData" hidden="1">#REF!</definedName>
    <definedName name="Z_FE37516D_56E4_424C_8DE6_6B2719F76EF4_.wvu.FilterData" localSheetId="21" hidden="1">#REF!</definedName>
    <definedName name="Z_FE37516D_56E4_424C_8DE6_6B2719F76EF4_.wvu.FilterData" localSheetId="12" hidden="1">#REF!</definedName>
    <definedName name="Z_FE37516D_56E4_424C_8DE6_6B2719F76EF4_.wvu.FilterData" localSheetId="13" hidden="1">#REF!</definedName>
    <definedName name="Z_FE37516D_56E4_424C_8DE6_6B2719F76EF4_.wvu.FilterData" localSheetId="14" hidden="1">#REF!</definedName>
    <definedName name="Z_FE37516D_56E4_424C_8DE6_6B2719F76EF4_.wvu.FilterData" localSheetId="16" hidden="1">#REF!</definedName>
    <definedName name="Z_FE37516D_56E4_424C_8DE6_6B2719F76EF4_.wvu.FilterData" localSheetId="15" hidden="1">#REF!</definedName>
    <definedName name="Z_FE37516D_56E4_424C_8DE6_6B2719F76EF4_.wvu.FilterData" localSheetId="17" hidden="1">#REF!</definedName>
    <definedName name="Z_FE37516D_56E4_424C_8DE6_6B2719F76EF4_.wvu.FilterData" localSheetId="11" hidden="1">#REF!</definedName>
    <definedName name="Z_FE37516D_56E4_424C_8DE6_6B2719F76EF4_.wvu.FilterData" localSheetId="10" hidden="1">#REF!</definedName>
    <definedName name="Z_FE37516D_56E4_424C_8DE6_6B2719F76EF4_.wvu.FilterData" localSheetId="22" hidden="1">#REF!</definedName>
    <definedName name="Z_FE37516D_56E4_424C_8DE6_6B2719F76EF4_.wvu.FilterData" localSheetId="24" hidden="1">#REF!</definedName>
    <definedName name="Z_FE37516D_56E4_424C_8DE6_6B2719F76EF4_.wvu.FilterData" localSheetId="23" hidden="1">#REF!</definedName>
    <definedName name="Z_FE37516D_56E4_424C_8DE6_6B2719F76EF4_.wvu.FilterData" localSheetId="20" hidden="1">#REF!</definedName>
    <definedName name="Z_FE37516D_56E4_424C_8DE6_6B2719F76EF4_.wvu.FilterData" localSheetId="19" hidden="1">#REF!</definedName>
    <definedName name="Z_FE37516D_56E4_424C_8DE6_6B2719F76EF4_.wvu.FilterData" localSheetId="26" hidden="1">#REF!</definedName>
    <definedName name="Z_FE37516D_56E4_424C_8DE6_6B2719F76EF4_.wvu.FilterData" localSheetId="27" hidden="1">#REF!</definedName>
    <definedName name="Z_FE37516D_56E4_424C_8DE6_6B2719F76EF4_.wvu.FilterData" localSheetId="25" hidden="1">#REF!</definedName>
    <definedName name="Z_FE37516D_56E4_424C_8DE6_6B2719F76EF4_.wvu.FilterData" localSheetId="7" hidden="1">#REF!</definedName>
    <definedName name="Z_FE37516D_56E4_424C_8DE6_6B2719F76EF4_.wvu.FilterData" localSheetId="4" hidden="1">#REF!</definedName>
    <definedName name="Z_FE37516D_56E4_424C_8DE6_6B2719F76EF4_.wvu.FilterData" localSheetId="5" hidden="1">#REF!</definedName>
    <definedName name="Z_FE37516D_56E4_424C_8DE6_6B2719F76EF4_.wvu.FilterData" localSheetId="2" hidden="1">#REF!</definedName>
    <definedName name="Z_FE37516D_56E4_424C_8DE6_6B2719F76EF4_.wvu.FilterData" localSheetId="3" hidden="1">#REF!</definedName>
    <definedName name="Z_FE37516D_56E4_424C_8DE6_6B2719F76EF4_.wvu.FilterData" hidden="1">#REF!</definedName>
    <definedName name="Z_FEBB3479_FB57_4CDC_BCCD_5D8B83257FC7_.wvu.FilterData" localSheetId="21" hidden="1">#REF!</definedName>
    <definedName name="Z_FEBB3479_FB57_4CDC_BCCD_5D8B83257FC7_.wvu.FilterData" localSheetId="12" hidden="1">#REF!</definedName>
    <definedName name="Z_FEBB3479_FB57_4CDC_BCCD_5D8B83257FC7_.wvu.FilterData" localSheetId="13" hidden="1">#REF!</definedName>
    <definedName name="Z_FEBB3479_FB57_4CDC_BCCD_5D8B83257FC7_.wvu.FilterData" localSheetId="14" hidden="1">#REF!</definedName>
    <definedName name="Z_FEBB3479_FB57_4CDC_BCCD_5D8B83257FC7_.wvu.FilterData" localSheetId="16" hidden="1">#REF!</definedName>
    <definedName name="Z_FEBB3479_FB57_4CDC_BCCD_5D8B83257FC7_.wvu.FilterData" localSheetId="15" hidden="1">#REF!</definedName>
    <definedName name="Z_FEBB3479_FB57_4CDC_BCCD_5D8B83257FC7_.wvu.FilterData" localSheetId="17" hidden="1">#REF!</definedName>
    <definedName name="Z_FEBB3479_FB57_4CDC_BCCD_5D8B83257FC7_.wvu.FilterData" localSheetId="11" hidden="1">#REF!</definedName>
    <definedName name="Z_FEBB3479_FB57_4CDC_BCCD_5D8B83257FC7_.wvu.FilterData" localSheetId="10" hidden="1">#REF!</definedName>
    <definedName name="Z_FEBB3479_FB57_4CDC_BCCD_5D8B83257FC7_.wvu.FilterData" localSheetId="22" hidden="1">#REF!</definedName>
    <definedName name="Z_FEBB3479_FB57_4CDC_BCCD_5D8B83257FC7_.wvu.FilterData" localSheetId="24" hidden="1">#REF!</definedName>
    <definedName name="Z_FEBB3479_FB57_4CDC_BCCD_5D8B83257FC7_.wvu.FilterData" localSheetId="23" hidden="1">#REF!</definedName>
    <definedName name="Z_FEBB3479_FB57_4CDC_BCCD_5D8B83257FC7_.wvu.FilterData" localSheetId="20" hidden="1">#REF!</definedName>
    <definedName name="Z_FEBB3479_FB57_4CDC_BCCD_5D8B83257FC7_.wvu.FilterData" localSheetId="19" hidden="1">#REF!</definedName>
    <definedName name="Z_FEBB3479_FB57_4CDC_BCCD_5D8B83257FC7_.wvu.FilterData" localSheetId="26" hidden="1">#REF!</definedName>
    <definedName name="Z_FEBB3479_FB57_4CDC_BCCD_5D8B83257FC7_.wvu.FilterData" localSheetId="27" hidden="1">#REF!</definedName>
    <definedName name="Z_FEBB3479_FB57_4CDC_BCCD_5D8B83257FC7_.wvu.FilterData" localSheetId="25" hidden="1">#REF!</definedName>
    <definedName name="Z_FEBB3479_FB57_4CDC_BCCD_5D8B83257FC7_.wvu.FilterData" localSheetId="7" hidden="1">#REF!</definedName>
    <definedName name="Z_FEBB3479_FB57_4CDC_BCCD_5D8B83257FC7_.wvu.FilterData" localSheetId="4" hidden="1">#REF!</definedName>
    <definedName name="Z_FEBB3479_FB57_4CDC_BCCD_5D8B83257FC7_.wvu.FilterData" localSheetId="5" hidden="1">#REF!</definedName>
    <definedName name="Z_FEBB3479_FB57_4CDC_BCCD_5D8B83257FC7_.wvu.FilterData" localSheetId="2" hidden="1">#REF!</definedName>
    <definedName name="Z_FEBB3479_FB57_4CDC_BCCD_5D8B83257FC7_.wvu.FilterData" localSheetId="3" hidden="1">#REF!</definedName>
    <definedName name="Z_FEBB3479_FB57_4CDC_BCCD_5D8B83257FC7_.wvu.FilterData" hidden="1">#REF!</definedName>
    <definedName name="z_value" localSheetId="21">'20-10_ET_PTSF'!$M$4:$AU$37</definedName>
    <definedName name="z_value" localSheetId="17">'20-18_ETC_ATS'!$M$4:$AU$37</definedName>
    <definedName name="z_value" localSheetId="22">'20-7_FG_ATS'!$M$4:$AU$37</definedName>
    <definedName name="z_value" localSheetId="24">'20-7_FG_ATS_2D'!$M$4:$AU$37</definedName>
    <definedName name="z_value" localSheetId="23">'20-8_FG_PTSF'!$M$4:$AU$37</definedName>
    <definedName name="z_value" localSheetId="20">'20-9_ER_ATS'!$M$4:$AU$37</definedName>
    <definedName name="z_value" localSheetId="19">'20-9_ET_ATS'!$M$4:$AU$37</definedName>
    <definedName name="z_value">FNP!$M$4:$AU$37</definedName>
    <definedName name="ZZ" localSheetId="12">'20-13_fg_ATS'!$C$5</definedName>
    <definedName name="ZZ" localSheetId="13">'20-14_fg_PTSF'!$C$5</definedName>
    <definedName name="ZZ" localSheetId="14">'20-15_Et_ATS'!$C$5</definedName>
    <definedName name="ZZ" localSheetId="16">'20-16_ET&amp;RV_PTSF'!$C$5</definedName>
    <definedName name="ZZ" localSheetId="15">'20-17_ER_ATS'!$C$5</definedName>
    <definedName name="ZZ" localSheetId="11">'20-19_fnp_ATS'!$C$5</definedName>
    <definedName name="ZZ" localSheetId="10">'20-20_fnp_PTSF'!$C$5</definedName>
    <definedName name="ZZ" localSheetId="26">'21-10_ER_Up'!$C$5</definedName>
    <definedName name="ZZ" localSheetId="27">'21-11_ET_Down'!$C$5</definedName>
    <definedName name="ZZ" localSheetId="25">'21-9_ET_UP'!$C$5</definedName>
    <definedName name="ZZ">FDNP!$C$5</definedName>
    <definedName name="zz_1" localSheetId="12">'20-13_fg_ATS'!$C$15</definedName>
    <definedName name="zz_1" localSheetId="13">'20-14_fg_PTSF'!$C$15</definedName>
    <definedName name="zz_1" localSheetId="14">'20-15_Et_ATS'!$C$15</definedName>
    <definedName name="zz_1" localSheetId="16">'20-16_ET&amp;RV_PTSF'!$C$15</definedName>
    <definedName name="zz_1" localSheetId="15">'20-17_ER_ATS'!$C$15</definedName>
    <definedName name="zz_1" localSheetId="11">'20-19_fnp_ATS'!$C$15</definedName>
    <definedName name="zz_1" localSheetId="10">'20-20_fnp_PTSF'!$C$15</definedName>
    <definedName name="zz_1" localSheetId="26">'21-10_ER_Up'!$C$15</definedName>
    <definedName name="zz_1" localSheetId="27">'21-11_ET_Down'!$C$15</definedName>
    <definedName name="zz_1" localSheetId="25">'21-9_ET_UP'!$C$15</definedName>
    <definedName name="zz_1">FDNP!$C$15</definedName>
    <definedName name="zz_2" localSheetId="12">'20-13_fg_ATS'!$C$16</definedName>
    <definedName name="zz_2" localSheetId="13">'20-14_fg_PTSF'!$C$16</definedName>
    <definedName name="zz_2" localSheetId="14">'20-15_Et_ATS'!$C$16</definedName>
    <definedName name="zz_2" localSheetId="16">'20-16_ET&amp;RV_PTSF'!$C$16</definedName>
    <definedName name="zz_2" localSheetId="15">'20-17_ER_ATS'!$C$16</definedName>
    <definedName name="zz_2" localSheetId="11">'20-19_fnp_ATS'!$C$16</definedName>
    <definedName name="zz_2" localSheetId="10">'20-20_fnp_PTSF'!$C$16</definedName>
    <definedName name="zz_2" localSheetId="26">'21-10_ER_Up'!$C$16</definedName>
    <definedName name="zz_2" localSheetId="27">'21-11_ET_Down'!$C$16</definedName>
    <definedName name="zz_2" localSheetId="25">'21-9_ET_UP'!$C$16</definedName>
    <definedName name="zz_2">FDNP!$C$16</definedName>
    <definedName name="ZZ_value" localSheetId="12">'20-13_fg_ATS'!$S:$S</definedName>
    <definedName name="ZZ_value" localSheetId="13">'20-14_fg_PTSF'!$S:$S</definedName>
    <definedName name="ZZ_value" localSheetId="14">'20-15_Et_ATS'!$S:$S</definedName>
    <definedName name="ZZ_value" localSheetId="16">'20-16_ET&amp;RV_PTSF'!$S:$S</definedName>
    <definedName name="ZZ_value" localSheetId="15">'20-17_ER_ATS'!$S:$S</definedName>
    <definedName name="ZZ_value" localSheetId="11">'20-19_fnp_ATS'!$S:$S</definedName>
    <definedName name="ZZ_value" localSheetId="10">'20-20_fnp_PTSF'!$S:$S</definedName>
    <definedName name="ZZ_value" localSheetId="26">'21-10_ER_Up'!$S:$S</definedName>
    <definedName name="ZZ_value" localSheetId="27">'21-11_ET_Down'!$S:$S</definedName>
    <definedName name="ZZ_value" localSheetId="25">'21-9_ET_UP'!$S:$S</definedName>
    <definedName name="ZZ_value">FDNP!$S:$S</definedName>
  </definedNames>
  <calcPr calcId="144525"/>
</workbook>
</file>

<file path=xl/calcChain.xml><?xml version="1.0" encoding="utf-8"?>
<calcChain xmlns="http://schemas.openxmlformats.org/spreadsheetml/2006/main">
  <c r="D42" i="114" l="1"/>
  <c r="N42" i="114"/>
  <c r="AD42" i="114" s="1"/>
  <c r="O42" i="114"/>
  <c r="R42" i="114"/>
  <c r="S42" i="114" s="1"/>
  <c r="U42" i="114"/>
  <c r="Z42" i="114"/>
  <c r="AE42" i="114"/>
  <c r="AG42" i="114" s="1"/>
  <c r="AF42" i="114"/>
  <c r="AH42" i="114"/>
  <c r="AI42" i="114"/>
  <c r="AK42" i="114"/>
  <c r="AL42" i="114"/>
  <c r="AN42" i="114"/>
  <c r="AZ42" i="114"/>
  <c r="BB42" i="114" s="1"/>
  <c r="BA42" i="114"/>
  <c r="D41" i="114"/>
  <c r="N41" i="114"/>
  <c r="AD41" i="114" s="1"/>
  <c r="O41" i="114"/>
  <c r="R41" i="114"/>
  <c r="S41" i="114" s="1"/>
  <c r="U41" i="114"/>
  <c r="Z41" i="114"/>
  <c r="AE41" i="114"/>
  <c r="AG41" i="114" s="1"/>
  <c r="AF41" i="114"/>
  <c r="AH41" i="114"/>
  <c r="AI41" i="114"/>
  <c r="AK41" i="114"/>
  <c r="AL41" i="114"/>
  <c r="AN41" i="114"/>
  <c r="AZ41" i="114"/>
  <c r="BB41" i="114" s="1"/>
  <c r="BA41" i="114"/>
  <c r="D40" i="114"/>
  <c r="N40" i="114"/>
  <c r="AD40" i="114" s="1"/>
  <c r="O40" i="114"/>
  <c r="R40" i="114"/>
  <c r="S40" i="114" s="1"/>
  <c r="U40" i="114"/>
  <c r="Z40" i="114"/>
  <c r="AE40" i="114"/>
  <c r="AG40" i="114" s="1"/>
  <c r="AF40" i="114"/>
  <c r="AH40" i="114"/>
  <c r="AI40" i="114"/>
  <c r="AK40" i="114"/>
  <c r="AL40" i="114"/>
  <c r="AN40" i="114"/>
  <c r="AZ40" i="114"/>
  <c r="BB40" i="114" s="1"/>
  <c r="BA40" i="114"/>
  <c r="D39" i="114"/>
  <c r="N39" i="114"/>
  <c r="AD39" i="114" s="1"/>
  <c r="O39" i="114"/>
  <c r="AE39" i="114" s="1"/>
  <c r="R39" i="114"/>
  <c r="S39" i="114" s="1"/>
  <c r="U39" i="114"/>
  <c r="Z39" i="114"/>
  <c r="AF39" i="114"/>
  <c r="AH39" i="114"/>
  <c r="AI39" i="114"/>
  <c r="AK39" i="114"/>
  <c r="AL39" i="114"/>
  <c r="AN39" i="114"/>
  <c r="AZ39" i="114"/>
  <c r="BB39" i="114" s="1"/>
  <c r="BA39" i="114"/>
  <c r="D38" i="114"/>
  <c r="N38" i="114"/>
  <c r="AD38" i="114" s="1"/>
  <c r="O38" i="114"/>
  <c r="AE38" i="114" s="1"/>
  <c r="R38" i="114"/>
  <c r="S38" i="114" s="1"/>
  <c r="U38" i="114"/>
  <c r="Z38" i="114"/>
  <c r="AF38" i="114"/>
  <c r="AH38" i="114"/>
  <c r="AI38" i="114"/>
  <c r="AK38" i="114"/>
  <c r="AL38" i="114"/>
  <c r="AN38" i="114"/>
  <c r="AZ38" i="114"/>
  <c r="BB38" i="114" s="1"/>
  <c r="BA38" i="114"/>
  <c r="D37" i="114"/>
  <c r="N37" i="114"/>
  <c r="O37" i="114"/>
  <c r="AE37" i="114" s="1"/>
  <c r="R37" i="114"/>
  <c r="S37" i="114" s="1"/>
  <c r="U37" i="114"/>
  <c r="Z37" i="114"/>
  <c r="AD37" i="114"/>
  <c r="AF37" i="114"/>
  <c r="AH37" i="114"/>
  <c r="AI37" i="114"/>
  <c r="AK37" i="114"/>
  <c r="AL37" i="114"/>
  <c r="AN37" i="114"/>
  <c r="AZ37" i="114"/>
  <c r="BB37" i="114" s="1"/>
  <c r="BA37" i="114"/>
  <c r="D36" i="114"/>
  <c r="N36" i="114"/>
  <c r="AD36" i="114" s="1"/>
  <c r="O36" i="114"/>
  <c r="R36" i="114"/>
  <c r="S36" i="114" s="1"/>
  <c r="U36" i="114"/>
  <c r="Z36" i="114"/>
  <c r="AE36" i="114"/>
  <c r="AF36" i="114"/>
  <c r="AH36" i="114"/>
  <c r="AI36" i="114"/>
  <c r="AK36" i="114"/>
  <c r="AL36" i="114"/>
  <c r="AN36" i="114"/>
  <c r="AZ36" i="114"/>
  <c r="BB36" i="114" s="1"/>
  <c r="BA36" i="114"/>
  <c r="D35" i="114"/>
  <c r="N35" i="114"/>
  <c r="AD35" i="114" s="1"/>
  <c r="O35" i="114"/>
  <c r="AE35" i="114" s="1"/>
  <c r="R35" i="114"/>
  <c r="S35" i="114" s="1"/>
  <c r="U35" i="114"/>
  <c r="Z35" i="114"/>
  <c r="AF35" i="114"/>
  <c r="AH35" i="114"/>
  <c r="AI35" i="114"/>
  <c r="AK35" i="114"/>
  <c r="AL35" i="114"/>
  <c r="AN35" i="114"/>
  <c r="AZ35" i="114"/>
  <c r="BB35" i="114" s="1"/>
  <c r="BA35" i="114"/>
  <c r="D34" i="114"/>
  <c r="N34" i="114"/>
  <c r="AD34" i="114" s="1"/>
  <c r="O34" i="114"/>
  <c r="AE34" i="114" s="1"/>
  <c r="R34" i="114"/>
  <c r="S34" i="114" s="1"/>
  <c r="U34" i="114"/>
  <c r="Z34" i="114"/>
  <c r="AF34" i="114"/>
  <c r="AH34" i="114"/>
  <c r="AI34" i="114"/>
  <c r="AK34" i="114"/>
  <c r="AL34" i="114"/>
  <c r="AN34" i="114"/>
  <c r="AZ34" i="114"/>
  <c r="BB34" i="114" s="1"/>
  <c r="BA34" i="114"/>
  <c r="D33" i="114"/>
  <c r="N33" i="114"/>
  <c r="AD33" i="114" s="1"/>
  <c r="O33" i="114"/>
  <c r="R33" i="114"/>
  <c r="S33" i="114" s="1"/>
  <c r="U33" i="114"/>
  <c r="Z33" i="114"/>
  <c r="AE33" i="114"/>
  <c r="AF33" i="114"/>
  <c r="AH33" i="114"/>
  <c r="AI33" i="114"/>
  <c r="AK33" i="114"/>
  <c r="AL33" i="114"/>
  <c r="AN33" i="114"/>
  <c r="AZ33" i="114"/>
  <c r="BB33" i="114" s="1"/>
  <c r="BA33" i="114"/>
  <c r="D32" i="114"/>
  <c r="N32" i="114"/>
  <c r="AD32" i="114" s="1"/>
  <c r="O32" i="114"/>
  <c r="R32" i="114"/>
  <c r="S32" i="114" s="1"/>
  <c r="U32" i="114"/>
  <c r="Z32" i="114"/>
  <c r="AE32" i="114"/>
  <c r="AF32" i="114"/>
  <c r="AH32" i="114"/>
  <c r="AI32" i="114"/>
  <c r="AK32" i="114"/>
  <c r="AL32" i="114"/>
  <c r="AN32" i="114"/>
  <c r="AZ32" i="114"/>
  <c r="BB32" i="114" s="1"/>
  <c r="BA32" i="114"/>
  <c r="D31" i="114"/>
  <c r="N31" i="114"/>
  <c r="AD31" i="114" s="1"/>
  <c r="O31" i="114"/>
  <c r="R31" i="114"/>
  <c r="S31" i="114" s="1"/>
  <c r="U31" i="114"/>
  <c r="Z31" i="114"/>
  <c r="AE31" i="114"/>
  <c r="AF31" i="114"/>
  <c r="AH31" i="114"/>
  <c r="AI31" i="114"/>
  <c r="AK31" i="114"/>
  <c r="AL31" i="114"/>
  <c r="AN31" i="114"/>
  <c r="AZ31" i="114"/>
  <c r="BB31" i="114" s="1"/>
  <c r="BA31" i="114"/>
  <c r="D30" i="114"/>
  <c r="N30" i="114"/>
  <c r="AD30" i="114" s="1"/>
  <c r="O30" i="114"/>
  <c r="R30" i="114"/>
  <c r="S30" i="114" s="1"/>
  <c r="U30" i="114"/>
  <c r="Z30" i="114"/>
  <c r="AE30" i="114"/>
  <c r="AF30" i="114"/>
  <c r="AH30" i="114"/>
  <c r="AI30" i="114"/>
  <c r="AK30" i="114"/>
  <c r="AL30" i="114"/>
  <c r="AN30" i="114"/>
  <c r="AZ30" i="114"/>
  <c r="BB30" i="114" s="1"/>
  <c r="BA30" i="114"/>
  <c r="D29" i="114"/>
  <c r="N29" i="114"/>
  <c r="AD29" i="114" s="1"/>
  <c r="O29" i="114"/>
  <c r="AE29" i="114" s="1"/>
  <c r="R29" i="114"/>
  <c r="S29" i="114" s="1"/>
  <c r="U29" i="114"/>
  <c r="Z29" i="114"/>
  <c r="AF29" i="114"/>
  <c r="AH29" i="114"/>
  <c r="AI29" i="114"/>
  <c r="AK29" i="114"/>
  <c r="AL29" i="114"/>
  <c r="AN29" i="114"/>
  <c r="AZ29" i="114"/>
  <c r="BB29" i="114" s="1"/>
  <c r="BA29" i="114"/>
  <c r="D28" i="114"/>
  <c r="N28" i="114"/>
  <c r="AD28" i="114" s="1"/>
  <c r="O28" i="114"/>
  <c r="R28" i="114"/>
  <c r="S28" i="114" s="1"/>
  <c r="U28" i="114"/>
  <c r="Z28" i="114"/>
  <c r="AE28" i="114"/>
  <c r="AF28" i="114"/>
  <c r="AH28" i="114"/>
  <c r="AI28" i="114"/>
  <c r="AK28" i="114"/>
  <c r="AL28" i="114"/>
  <c r="AN28" i="114"/>
  <c r="AZ28" i="114"/>
  <c r="BB28" i="114" s="1"/>
  <c r="BA28" i="114"/>
  <c r="D27" i="114"/>
  <c r="N27" i="114"/>
  <c r="AD27" i="114" s="1"/>
  <c r="O27" i="114"/>
  <c r="AE27" i="114" s="1"/>
  <c r="R27" i="114"/>
  <c r="S27" i="114" s="1"/>
  <c r="U27" i="114"/>
  <c r="Z27" i="114"/>
  <c r="AF27" i="114"/>
  <c r="AH27" i="114"/>
  <c r="AI27" i="114"/>
  <c r="AK27" i="114"/>
  <c r="AL27" i="114"/>
  <c r="AN27" i="114"/>
  <c r="AZ27" i="114"/>
  <c r="BB27" i="114" s="1"/>
  <c r="BA27" i="114"/>
  <c r="D26" i="114"/>
  <c r="N26" i="114"/>
  <c r="AD26" i="114" s="1"/>
  <c r="O26" i="114"/>
  <c r="R26" i="114"/>
  <c r="S26" i="114" s="1"/>
  <c r="U26" i="114"/>
  <c r="Z26" i="114"/>
  <c r="AE26" i="114"/>
  <c r="AF26" i="114"/>
  <c r="AH26" i="114"/>
  <c r="AI26" i="114"/>
  <c r="AK26" i="114"/>
  <c r="AL26" i="114"/>
  <c r="AN26" i="114"/>
  <c r="AZ26" i="114"/>
  <c r="BB26" i="114" s="1"/>
  <c r="BA26" i="114"/>
  <c r="D25" i="114"/>
  <c r="N25" i="114"/>
  <c r="AD25" i="114" s="1"/>
  <c r="O25" i="114"/>
  <c r="R25" i="114"/>
  <c r="S25" i="114" s="1"/>
  <c r="U25" i="114"/>
  <c r="Z25" i="114"/>
  <c r="AE25" i="114"/>
  <c r="AF25" i="114"/>
  <c r="AH25" i="114"/>
  <c r="AI25" i="114"/>
  <c r="AK25" i="114"/>
  <c r="AL25" i="114"/>
  <c r="AN25" i="114"/>
  <c r="AZ25" i="114"/>
  <c r="BB25" i="114" s="1"/>
  <c r="BA25" i="114"/>
  <c r="D24" i="114"/>
  <c r="N24" i="114"/>
  <c r="AD24" i="114" s="1"/>
  <c r="O24" i="114"/>
  <c r="AE24" i="114" s="1"/>
  <c r="R24" i="114"/>
  <c r="S24" i="114" s="1"/>
  <c r="U24" i="114"/>
  <c r="Z24" i="114"/>
  <c r="AF24" i="114"/>
  <c r="AH24" i="114"/>
  <c r="AI24" i="114"/>
  <c r="AK24" i="114"/>
  <c r="AL24" i="114"/>
  <c r="AN24" i="114"/>
  <c r="AZ24" i="114"/>
  <c r="BB24" i="114" s="1"/>
  <c r="BA24" i="114"/>
  <c r="D23" i="114"/>
  <c r="N23" i="114"/>
  <c r="AD23" i="114" s="1"/>
  <c r="O23" i="114"/>
  <c r="AE23" i="114" s="1"/>
  <c r="R23" i="114"/>
  <c r="S23" i="114" s="1"/>
  <c r="U23" i="114"/>
  <c r="Z23" i="114"/>
  <c r="AF23" i="114"/>
  <c r="AH23" i="114"/>
  <c r="AI23" i="114"/>
  <c r="AK23" i="114"/>
  <c r="AL23" i="114"/>
  <c r="AN23" i="114"/>
  <c r="AZ23" i="114"/>
  <c r="BB23" i="114" s="1"/>
  <c r="BA23" i="114"/>
  <c r="D22" i="114"/>
  <c r="N22" i="114"/>
  <c r="AD22" i="114" s="1"/>
  <c r="O22" i="114"/>
  <c r="R22" i="114"/>
  <c r="S22" i="114" s="1"/>
  <c r="U22" i="114"/>
  <c r="Z22" i="114"/>
  <c r="AE22" i="114"/>
  <c r="AF22" i="114"/>
  <c r="AH22" i="114"/>
  <c r="AI22" i="114"/>
  <c r="AK22" i="114"/>
  <c r="AL22" i="114"/>
  <c r="AN22" i="114"/>
  <c r="AZ22" i="114"/>
  <c r="BB22" i="114" s="1"/>
  <c r="BA22" i="114"/>
  <c r="D21" i="114"/>
  <c r="N21" i="114"/>
  <c r="AD21" i="114" s="1"/>
  <c r="O21" i="114"/>
  <c r="R21" i="114"/>
  <c r="S21" i="114" s="1"/>
  <c r="U21" i="114"/>
  <c r="Z21" i="114"/>
  <c r="AE21" i="114"/>
  <c r="AF21" i="114"/>
  <c r="AH21" i="114"/>
  <c r="AI21" i="114"/>
  <c r="AK21" i="114"/>
  <c r="AL21" i="114"/>
  <c r="AN21" i="114"/>
  <c r="AZ21" i="114"/>
  <c r="BB21" i="114" s="1"/>
  <c r="BA21" i="114"/>
  <c r="D20" i="114"/>
  <c r="N20" i="114"/>
  <c r="AD20" i="114" s="1"/>
  <c r="O20" i="114"/>
  <c r="R20" i="114"/>
  <c r="S20" i="114" s="1"/>
  <c r="U20" i="114"/>
  <c r="Z20" i="114"/>
  <c r="AE20" i="114"/>
  <c r="AF20" i="114"/>
  <c r="AH20" i="114"/>
  <c r="AI20" i="114"/>
  <c r="AK20" i="114"/>
  <c r="AL20" i="114"/>
  <c r="AN20" i="114"/>
  <c r="AZ20" i="114"/>
  <c r="BB20" i="114" s="1"/>
  <c r="BA20" i="114"/>
  <c r="D19" i="114"/>
  <c r="N19" i="114"/>
  <c r="AD19" i="114" s="1"/>
  <c r="O19" i="114"/>
  <c r="AE19" i="114" s="1"/>
  <c r="R19" i="114"/>
  <c r="S19" i="114" s="1"/>
  <c r="U19" i="114"/>
  <c r="Z19" i="114"/>
  <c r="AF19" i="114"/>
  <c r="AH19" i="114"/>
  <c r="AI19" i="114"/>
  <c r="AK19" i="114"/>
  <c r="AL19" i="114"/>
  <c r="AN19" i="114"/>
  <c r="AZ19" i="114"/>
  <c r="BB19" i="114" s="1"/>
  <c r="BA19" i="114"/>
  <c r="D18" i="114"/>
  <c r="N18" i="114"/>
  <c r="AD18" i="114" s="1"/>
  <c r="O18" i="114"/>
  <c r="AE18" i="114" s="1"/>
  <c r="R18" i="114"/>
  <c r="S18" i="114" s="1"/>
  <c r="U18" i="114"/>
  <c r="Z18" i="114"/>
  <c r="AF18" i="114"/>
  <c r="AH18" i="114"/>
  <c r="AI18" i="114"/>
  <c r="AK18" i="114"/>
  <c r="AL18" i="114"/>
  <c r="AN18" i="114"/>
  <c r="AZ18" i="114"/>
  <c r="BB18" i="114" s="1"/>
  <c r="BA18" i="114"/>
  <c r="D17" i="114"/>
  <c r="N17" i="114"/>
  <c r="AD17" i="114" s="1"/>
  <c r="O17" i="114"/>
  <c r="AE17" i="114" s="1"/>
  <c r="R17" i="114"/>
  <c r="S17" i="114" s="1"/>
  <c r="U17" i="114"/>
  <c r="Z17" i="114"/>
  <c r="AF17" i="114"/>
  <c r="AH17" i="114"/>
  <c r="AI17" i="114"/>
  <c r="AK17" i="114"/>
  <c r="AL17" i="114"/>
  <c r="AN17" i="114"/>
  <c r="AZ17" i="114"/>
  <c r="BB17" i="114" s="1"/>
  <c r="BA17" i="114"/>
  <c r="D16" i="114"/>
  <c r="N16" i="114"/>
  <c r="AD16" i="114" s="1"/>
  <c r="O16" i="114"/>
  <c r="AE16" i="114" s="1"/>
  <c r="R16" i="114"/>
  <c r="S16" i="114" s="1"/>
  <c r="U16" i="114"/>
  <c r="Z16" i="114"/>
  <c r="AF16" i="114"/>
  <c r="AH16" i="114"/>
  <c r="AI16" i="114"/>
  <c r="AK16" i="114"/>
  <c r="AL16" i="114"/>
  <c r="AN16" i="114"/>
  <c r="AZ16" i="114"/>
  <c r="BB16" i="114" s="1"/>
  <c r="BA16" i="114"/>
  <c r="D15" i="114"/>
  <c r="N15" i="114"/>
  <c r="AD15" i="114" s="1"/>
  <c r="O15" i="114"/>
  <c r="AE15" i="114" s="1"/>
  <c r="R15" i="114"/>
  <c r="S15" i="114" s="1"/>
  <c r="U15" i="114"/>
  <c r="Z15" i="114"/>
  <c r="AF15" i="114"/>
  <c r="AH15" i="114"/>
  <c r="AI15" i="114"/>
  <c r="AK15" i="114"/>
  <c r="AL15" i="114"/>
  <c r="AN15" i="114"/>
  <c r="AZ15" i="114"/>
  <c r="BB15" i="114" s="1"/>
  <c r="BA15" i="114"/>
  <c r="P10" i="112"/>
  <c r="P11" i="112"/>
  <c r="P12" i="112"/>
  <c r="P13" i="112"/>
  <c r="P14" i="112"/>
  <c r="P15" i="112"/>
  <c r="P16" i="112"/>
  <c r="P17" i="112"/>
  <c r="P18" i="112"/>
  <c r="P19" i="112"/>
  <c r="P20" i="112"/>
  <c r="P21" i="112"/>
  <c r="P22" i="112"/>
  <c r="P23" i="112"/>
  <c r="P24" i="112"/>
  <c r="P25" i="112"/>
  <c r="P26" i="112"/>
  <c r="P27" i="112"/>
  <c r="P28" i="112"/>
  <c r="P29" i="112"/>
  <c r="P30" i="112"/>
  <c r="P31" i="112"/>
  <c r="P32" i="112"/>
  <c r="P33" i="112"/>
  <c r="P34" i="112"/>
  <c r="P35" i="112"/>
  <c r="P36" i="112"/>
  <c r="P37" i="112"/>
  <c r="AF12" i="113"/>
  <c r="U14" i="114"/>
  <c r="AJ14" i="116"/>
  <c r="AJ14" i="115"/>
  <c r="AK14" i="115"/>
  <c r="AB10" i="112"/>
  <c r="AB11" i="112"/>
  <c r="AB12" i="112"/>
  <c r="AB13" i="112"/>
  <c r="AB14" i="112"/>
  <c r="AB15" i="112"/>
  <c r="AB16" i="112"/>
  <c r="AB17" i="112"/>
  <c r="AB18" i="112"/>
  <c r="AB19" i="112"/>
  <c r="AB20" i="112"/>
  <c r="AB21" i="112"/>
  <c r="AB22" i="112"/>
  <c r="AB23" i="112"/>
  <c r="AB24" i="112"/>
  <c r="AB25" i="112"/>
  <c r="AB26" i="112"/>
  <c r="AB27" i="112"/>
  <c r="AB28" i="112"/>
  <c r="AB29" i="112"/>
  <c r="AB30" i="112"/>
  <c r="AB31" i="112"/>
  <c r="AB32" i="112"/>
  <c r="AB33" i="112"/>
  <c r="AB34" i="112"/>
  <c r="AB35" i="112"/>
  <c r="AB36" i="112"/>
  <c r="AB37" i="112"/>
  <c r="AN14" i="114"/>
  <c r="BD14" i="116"/>
  <c r="AV11" i="112"/>
  <c r="AV12" i="112"/>
  <c r="AV13" i="112"/>
  <c r="AV14" i="112"/>
  <c r="AV15" i="112"/>
  <c r="AV16" i="112"/>
  <c r="AV17" i="112"/>
  <c r="AV18" i="112"/>
  <c r="AV19" i="112"/>
  <c r="AV20" i="112"/>
  <c r="AV21" i="112"/>
  <c r="AV22" i="112"/>
  <c r="AV23" i="112"/>
  <c r="AV24" i="112"/>
  <c r="AV25" i="112"/>
  <c r="AV26" i="112"/>
  <c r="AV27" i="112"/>
  <c r="AV28" i="112"/>
  <c r="AV29" i="112"/>
  <c r="AV30" i="112"/>
  <c r="AV31" i="112"/>
  <c r="AV32" i="112"/>
  <c r="AV33" i="112"/>
  <c r="AV34" i="112"/>
  <c r="AV35" i="112"/>
  <c r="AV36" i="112"/>
  <c r="AV37" i="112"/>
  <c r="AV10" i="112"/>
  <c r="AS11" i="112"/>
  <c r="AS12" i="112"/>
  <c r="AS13" i="112"/>
  <c r="AS14" i="112"/>
  <c r="AS15" i="112"/>
  <c r="AS16" i="112"/>
  <c r="AS17" i="112"/>
  <c r="AS18" i="112"/>
  <c r="AS19" i="112"/>
  <c r="AS20" i="112"/>
  <c r="AS21" i="112"/>
  <c r="AS22" i="112"/>
  <c r="AS23" i="112"/>
  <c r="AS24" i="112"/>
  <c r="AS25" i="112"/>
  <c r="AS26" i="112"/>
  <c r="AS27" i="112"/>
  <c r="AS28" i="112"/>
  <c r="AS29" i="112"/>
  <c r="AS30" i="112"/>
  <c r="AS31" i="112"/>
  <c r="AS32" i="112"/>
  <c r="AS33" i="112"/>
  <c r="AS34" i="112"/>
  <c r="AS35" i="112"/>
  <c r="AS36" i="112"/>
  <c r="AS37" i="112"/>
  <c r="AS10" i="112"/>
  <c r="AF11" i="112"/>
  <c r="AF12" i="112"/>
  <c r="AF13" i="112"/>
  <c r="AF14" i="112"/>
  <c r="AF15" i="112"/>
  <c r="AF16" i="112"/>
  <c r="AF17" i="112"/>
  <c r="AF18" i="112"/>
  <c r="AF19" i="112"/>
  <c r="AF20" i="112"/>
  <c r="AF21" i="112"/>
  <c r="AF22" i="112"/>
  <c r="AF23" i="112"/>
  <c r="AF24" i="112"/>
  <c r="AF25" i="112"/>
  <c r="AF26" i="112"/>
  <c r="AF27" i="112"/>
  <c r="AF28" i="112"/>
  <c r="AF29" i="112"/>
  <c r="AF30" i="112"/>
  <c r="AF31" i="112"/>
  <c r="AF32" i="112"/>
  <c r="AF33" i="112"/>
  <c r="AF34" i="112"/>
  <c r="AF35" i="112"/>
  <c r="AF36" i="112"/>
  <c r="AF37" i="112"/>
  <c r="AF10" i="112"/>
  <c r="AO10" i="112"/>
  <c r="AO11" i="112"/>
  <c r="AO12" i="112"/>
  <c r="AO13" i="112"/>
  <c r="AO14" i="112"/>
  <c r="AO15" i="112"/>
  <c r="AO16" i="112"/>
  <c r="AO17" i="112"/>
  <c r="AO18" i="112"/>
  <c r="AO19" i="112"/>
  <c r="AO20" i="112"/>
  <c r="AO21" i="112"/>
  <c r="AO22" i="112"/>
  <c r="AO23" i="112"/>
  <c r="AO24" i="112"/>
  <c r="AO25" i="112"/>
  <c r="AO26" i="112"/>
  <c r="AO27" i="112"/>
  <c r="AO28" i="112"/>
  <c r="AO29" i="112"/>
  <c r="AO30" i="112"/>
  <c r="AO31" i="112"/>
  <c r="AO32" i="112"/>
  <c r="AO33" i="112"/>
  <c r="AO34" i="112"/>
  <c r="AO35" i="112"/>
  <c r="AO36" i="112"/>
  <c r="AO37" i="112"/>
  <c r="AK12" i="112"/>
  <c r="AK13" i="112"/>
  <c r="AK14" i="112"/>
  <c r="AK15" i="112"/>
  <c r="AK16" i="112"/>
  <c r="AK17" i="112"/>
  <c r="AK18" i="112"/>
  <c r="AK19" i="112"/>
  <c r="AK20" i="112"/>
  <c r="AK21" i="112"/>
  <c r="AK22" i="112"/>
  <c r="AK23" i="112"/>
  <c r="AK24" i="112"/>
  <c r="AK25" i="112"/>
  <c r="AK26" i="112"/>
  <c r="AK27" i="112"/>
  <c r="AK28" i="112"/>
  <c r="AK29" i="112"/>
  <c r="AK30" i="112"/>
  <c r="AK31" i="112"/>
  <c r="AK32" i="112"/>
  <c r="AK33" i="112"/>
  <c r="AK34" i="112"/>
  <c r="AK35" i="112"/>
  <c r="AK36" i="112"/>
  <c r="AK37" i="112"/>
  <c r="AK11" i="112"/>
  <c r="AK10" i="112"/>
  <c r="AN12" i="112"/>
  <c r="AN13" i="112"/>
  <c r="AN14" i="112"/>
  <c r="AN15" i="112"/>
  <c r="AN16" i="112"/>
  <c r="AN17" i="112"/>
  <c r="AN18" i="112"/>
  <c r="AN19" i="112"/>
  <c r="AN20" i="112"/>
  <c r="AN21" i="112"/>
  <c r="AN22" i="112"/>
  <c r="AN23" i="112"/>
  <c r="AN24" i="112"/>
  <c r="AN25" i="112"/>
  <c r="AN26" i="112"/>
  <c r="AN27" i="112"/>
  <c r="AN28" i="112"/>
  <c r="AN29" i="112"/>
  <c r="AN30" i="112"/>
  <c r="AN31" i="112"/>
  <c r="AN32" i="112"/>
  <c r="AN33" i="112"/>
  <c r="AN34" i="112"/>
  <c r="AN35" i="112"/>
  <c r="AN36" i="112"/>
  <c r="AN37" i="112"/>
  <c r="AM42" i="114" l="1"/>
  <c r="BC42" i="114"/>
  <c r="V42" i="114"/>
  <c r="X42" i="114" s="1"/>
  <c r="BD42" i="114" s="1"/>
  <c r="AJ42" i="114"/>
  <c r="AJ41" i="114"/>
  <c r="AM41" i="114"/>
  <c r="BC41" i="114"/>
  <c r="V41" i="114"/>
  <c r="X41" i="114" s="1"/>
  <c r="AO41" i="114" s="1"/>
  <c r="AQ41" i="114" s="1"/>
  <c r="AP41" i="114" s="1"/>
  <c r="AT41" i="114" s="1"/>
  <c r="AG39" i="114"/>
  <c r="AJ39" i="114" s="1"/>
  <c r="AM40" i="114"/>
  <c r="BC40" i="114"/>
  <c r="V40" i="114"/>
  <c r="X40" i="114" s="1"/>
  <c r="AJ40" i="114"/>
  <c r="AM39" i="114"/>
  <c r="V39" i="114"/>
  <c r="X39" i="114" s="1"/>
  <c r="BC39" i="114"/>
  <c r="AG33" i="114"/>
  <c r="AJ33" i="114" s="1"/>
  <c r="AG37" i="114"/>
  <c r="AM38" i="114"/>
  <c r="V38" i="114"/>
  <c r="X38" i="114" s="1"/>
  <c r="AG38" i="114"/>
  <c r="AJ38" i="114" s="1"/>
  <c r="BC38" i="114"/>
  <c r="AG36" i="114"/>
  <c r="AJ36" i="114" s="1"/>
  <c r="AM37" i="114"/>
  <c r="BC37" i="114"/>
  <c r="V37" i="114"/>
  <c r="X37" i="114" s="1"/>
  <c r="AJ37" i="114"/>
  <c r="AG35" i="114"/>
  <c r="AJ35" i="114" s="1"/>
  <c r="AM36" i="114"/>
  <c r="BC36" i="114"/>
  <c r="V36" i="114"/>
  <c r="X36" i="114" s="1"/>
  <c r="BD36" i="114" s="1"/>
  <c r="AM35" i="114"/>
  <c r="V35" i="114"/>
  <c r="X35" i="114" s="1"/>
  <c r="BC35" i="114"/>
  <c r="AM34" i="114"/>
  <c r="V34" i="114"/>
  <c r="X34" i="114" s="1"/>
  <c r="AO34" i="114" s="1"/>
  <c r="AG34" i="114"/>
  <c r="AJ34" i="114" s="1"/>
  <c r="BC34" i="114"/>
  <c r="AG30" i="114"/>
  <c r="AJ30" i="114" s="1"/>
  <c r="AG32" i="114"/>
  <c r="AJ32" i="114" s="1"/>
  <c r="AG31" i="114"/>
  <c r="AJ31" i="114" s="1"/>
  <c r="AM33" i="114"/>
  <c r="BC33" i="114"/>
  <c r="V33" i="114"/>
  <c r="X33" i="114" s="1"/>
  <c r="AG29" i="114"/>
  <c r="AJ29" i="114" s="1"/>
  <c r="AM32" i="114"/>
  <c r="BC32" i="114"/>
  <c r="V32" i="114"/>
  <c r="X32" i="114" s="1"/>
  <c r="AG28" i="114"/>
  <c r="AJ28" i="114" s="1"/>
  <c r="AM31" i="114"/>
  <c r="BC31" i="114"/>
  <c r="V31" i="114"/>
  <c r="X31" i="114" s="1"/>
  <c r="AM30" i="114"/>
  <c r="BC30" i="114"/>
  <c r="V30" i="114"/>
  <c r="X30" i="114" s="1"/>
  <c r="AM29" i="114"/>
  <c r="BC29" i="114"/>
  <c r="V29" i="114"/>
  <c r="X29" i="114" s="1"/>
  <c r="AG26" i="114"/>
  <c r="AJ26" i="114" s="1"/>
  <c r="AM28" i="114"/>
  <c r="BC28" i="114"/>
  <c r="V28" i="114"/>
  <c r="X28" i="114" s="1"/>
  <c r="AG25" i="114"/>
  <c r="AJ25" i="114" s="1"/>
  <c r="AM27" i="114"/>
  <c r="V27" i="114"/>
  <c r="X27" i="114" s="1"/>
  <c r="AG27" i="114"/>
  <c r="AJ27" i="114" s="1"/>
  <c r="BC27" i="114"/>
  <c r="AG24" i="114"/>
  <c r="AJ24" i="114" s="1"/>
  <c r="AM26" i="114"/>
  <c r="BC26" i="114"/>
  <c r="V26" i="114"/>
  <c r="X26" i="114" s="1"/>
  <c r="AM25" i="114"/>
  <c r="BC25" i="114"/>
  <c r="V25" i="114"/>
  <c r="X25" i="114" s="1"/>
  <c r="AG22" i="114"/>
  <c r="AJ22" i="114" s="1"/>
  <c r="AM24" i="114"/>
  <c r="BC24" i="114"/>
  <c r="V24" i="114"/>
  <c r="X24" i="114" s="1"/>
  <c r="AM23" i="114"/>
  <c r="V23" i="114"/>
  <c r="X23" i="114" s="1"/>
  <c r="AG23" i="114"/>
  <c r="AJ23" i="114" s="1"/>
  <c r="BC23" i="114"/>
  <c r="AG21" i="114"/>
  <c r="AJ21" i="114" s="1"/>
  <c r="AM22" i="114"/>
  <c r="BC22" i="114"/>
  <c r="V22" i="114"/>
  <c r="X22" i="114" s="1"/>
  <c r="AG18" i="114"/>
  <c r="AJ18" i="114" s="1"/>
  <c r="AG19" i="114"/>
  <c r="AJ19" i="114" s="1"/>
  <c r="AM21" i="114"/>
  <c r="BC21" i="114"/>
  <c r="V21" i="114"/>
  <c r="X21" i="114" s="1"/>
  <c r="AG17" i="114"/>
  <c r="AJ17" i="114" s="1"/>
  <c r="AM20" i="114"/>
  <c r="BC20" i="114"/>
  <c r="V20" i="114"/>
  <c r="X20" i="114" s="1"/>
  <c r="AG20" i="114"/>
  <c r="AJ20" i="114" s="1"/>
  <c r="AM19" i="114"/>
  <c r="BC19" i="114"/>
  <c r="V19" i="114"/>
  <c r="X19" i="114" s="1"/>
  <c r="AG16" i="114"/>
  <c r="AJ16" i="114" s="1"/>
  <c r="AM18" i="114"/>
  <c r="BC18" i="114"/>
  <c r="V18" i="114"/>
  <c r="X18" i="114" s="1"/>
  <c r="AG15" i="114"/>
  <c r="AJ15" i="114" s="1"/>
  <c r="AM17" i="114"/>
  <c r="BC17" i="114"/>
  <c r="V17" i="114"/>
  <c r="X17" i="114" s="1"/>
  <c r="AM16" i="114"/>
  <c r="V16" i="114"/>
  <c r="X16" i="114" s="1"/>
  <c r="BC16" i="114"/>
  <c r="AM15" i="114"/>
  <c r="V15" i="114"/>
  <c r="X15" i="114" s="1"/>
  <c r="BC15" i="114"/>
  <c r="BD40" i="114" l="1"/>
  <c r="AO42" i="114"/>
  <c r="AQ42" i="114" s="1"/>
  <c r="BE42" i="114" s="1"/>
  <c r="BM42" i="114" s="1"/>
  <c r="BG42" i="114"/>
  <c r="BL42" i="114"/>
  <c r="BF42" i="114"/>
  <c r="BN42" i="114" s="1"/>
  <c r="AR42" i="114"/>
  <c r="BD41" i="114"/>
  <c r="BE41" i="114" s="1"/>
  <c r="BM41" i="114" s="1"/>
  <c r="AO39" i="114"/>
  <c r="AR41" i="114"/>
  <c r="AO40" i="114"/>
  <c r="AR40" i="114" s="1"/>
  <c r="BD35" i="114"/>
  <c r="BD38" i="114"/>
  <c r="BG38" i="114" s="1"/>
  <c r="AO35" i="114"/>
  <c r="AQ35" i="114" s="1"/>
  <c r="BG40" i="114"/>
  <c r="BL40" i="114"/>
  <c r="BF40" i="114"/>
  <c r="BN40" i="114" s="1"/>
  <c r="AQ40" i="114"/>
  <c r="BE40" i="114" s="1"/>
  <c r="BD39" i="114"/>
  <c r="BL39" i="114" s="1"/>
  <c r="AO38" i="114"/>
  <c r="AR38" i="114" s="1"/>
  <c r="AR39" i="114"/>
  <c r="AQ39" i="114"/>
  <c r="BD37" i="114"/>
  <c r="BL37" i="114" s="1"/>
  <c r="BL38" i="114"/>
  <c r="BF38" i="114"/>
  <c r="BN38" i="114" s="1"/>
  <c r="BD32" i="114"/>
  <c r="BG32" i="114" s="1"/>
  <c r="AQ38" i="114"/>
  <c r="AP38" i="114" s="1"/>
  <c r="AT38" i="114" s="1"/>
  <c r="AO37" i="114"/>
  <c r="AQ37" i="114" s="1"/>
  <c r="AP37" i="114" s="1"/>
  <c r="AT37" i="114" s="1"/>
  <c r="AO36" i="114"/>
  <c r="AQ36" i="114" s="1"/>
  <c r="BE36" i="114" s="1"/>
  <c r="BG36" i="114"/>
  <c r="BL36" i="114"/>
  <c r="BF36" i="114"/>
  <c r="BN36" i="114" s="1"/>
  <c r="AR36" i="114"/>
  <c r="BD34" i="114"/>
  <c r="BF34" i="114" s="1"/>
  <c r="BN34" i="114" s="1"/>
  <c r="BG35" i="114"/>
  <c r="BL35" i="114"/>
  <c r="BF35" i="114"/>
  <c r="BN35" i="114" s="1"/>
  <c r="BD33" i="114"/>
  <c r="BL33" i="114" s="1"/>
  <c r="AR35" i="114"/>
  <c r="AR34" i="114"/>
  <c r="AQ34" i="114"/>
  <c r="AP34" i="114" s="1"/>
  <c r="AT34" i="114" s="1"/>
  <c r="AO33" i="114"/>
  <c r="AR33" i="114" s="1"/>
  <c r="BD29" i="114"/>
  <c r="BD30" i="114"/>
  <c r="BF30" i="114" s="1"/>
  <c r="BN30" i="114" s="1"/>
  <c r="BD31" i="114"/>
  <c r="BL31" i="114" s="1"/>
  <c r="AO32" i="114"/>
  <c r="AQ32" i="114" s="1"/>
  <c r="BE32" i="114" s="1"/>
  <c r="BM32" i="114" s="1"/>
  <c r="AO27" i="114"/>
  <c r="AR27" i="114" s="1"/>
  <c r="BF32" i="114"/>
  <c r="BN32" i="114" s="1"/>
  <c r="AO31" i="114"/>
  <c r="AR31" i="114" s="1"/>
  <c r="BD28" i="114"/>
  <c r="BG28" i="114" s="1"/>
  <c r="AO30" i="114"/>
  <c r="AQ30" i="114" s="1"/>
  <c r="AO29" i="114"/>
  <c r="AR29" i="114" s="1"/>
  <c r="BD24" i="114"/>
  <c r="BL24" i="114" s="1"/>
  <c r="BD27" i="114"/>
  <c r="BG27" i="114" s="1"/>
  <c r="BG29" i="114"/>
  <c r="BL29" i="114"/>
  <c r="BF29" i="114"/>
  <c r="BN29" i="114" s="1"/>
  <c r="AO28" i="114"/>
  <c r="AQ28" i="114" s="1"/>
  <c r="BD23" i="114"/>
  <c r="BF23" i="114" s="1"/>
  <c r="BN23" i="114" s="1"/>
  <c r="AO26" i="114"/>
  <c r="AQ26" i="114" s="1"/>
  <c r="AP26" i="114" s="1"/>
  <c r="AT26" i="114" s="1"/>
  <c r="AQ27" i="114"/>
  <c r="BD26" i="114"/>
  <c r="BG26" i="114" s="1"/>
  <c r="BD21" i="114"/>
  <c r="BF21" i="114" s="1"/>
  <c r="BN21" i="114" s="1"/>
  <c r="AO23" i="114"/>
  <c r="AQ23" i="114" s="1"/>
  <c r="BD25" i="114"/>
  <c r="BL25" i="114" s="1"/>
  <c r="AO25" i="114"/>
  <c r="AQ25" i="114" s="1"/>
  <c r="AO24" i="114"/>
  <c r="AR24" i="114" s="1"/>
  <c r="AO16" i="114"/>
  <c r="AQ16" i="114" s="1"/>
  <c r="AO18" i="114"/>
  <c r="AQ18" i="114" s="1"/>
  <c r="AP18" i="114" s="1"/>
  <c r="AT18" i="114" s="1"/>
  <c r="BD22" i="114"/>
  <c r="BL22" i="114" s="1"/>
  <c r="AO22" i="114"/>
  <c r="AR22" i="114" s="1"/>
  <c r="BD19" i="114"/>
  <c r="BF19" i="114" s="1"/>
  <c r="BN19" i="114" s="1"/>
  <c r="BD20" i="114"/>
  <c r="BL20" i="114" s="1"/>
  <c r="AO21" i="114"/>
  <c r="AQ21" i="114" s="1"/>
  <c r="AO20" i="114"/>
  <c r="AQ20" i="114" s="1"/>
  <c r="BD17" i="114"/>
  <c r="BF17" i="114" s="1"/>
  <c r="BN17" i="114" s="1"/>
  <c r="AO19" i="114"/>
  <c r="AQ19" i="114" s="1"/>
  <c r="BD18" i="114"/>
  <c r="AO17" i="114"/>
  <c r="AQ17" i="114" s="1"/>
  <c r="BD16" i="114"/>
  <c r="BF16" i="114" s="1"/>
  <c r="BN16" i="114" s="1"/>
  <c r="AO15" i="114"/>
  <c r="AQ15" i="114" s="1"/>
  <c r="AP15" i="114" s="1"/>
  <c r="AT15" i="114" s="1"/>
  <c r="BD15" i="114"/>
  <c r="BG15" i="114" s="1"/>
  <c r="BE35" i="114" l="1"/>
  <c r="BG41" i="114"/>
  <c r="BF27" i="114"/>
  <c r="BN27" i="114" s="1"/>
  <c r="BG24" i="114"/>
  <c r="BF41" i="114"/>
  <c r="BN41" i="114" s="1"/>
  <c r="BF39" i="114"/>
  <c r="BN39" i="114" s="1"/>
  <c r="BI42" i="114"/>
  <c r="AV42" i="114" s="1"/>
  <c r="AP42" i="114"/>
  <c r="AT42" i="114" s="1"/>
  <c r="BF28" i="114"/>
  <c r="BN28" i="114" s="1"/>
  <c r="BE39" i="114"/>
  <c r="BG39" i="114"/>
  <c r="BH39" i="114" s="1"/>
  <c r="BL41" i="114"/>
  <c r="AS42" i="114"/>
  <c r="BH42" i="114"/>
  <c r="AU42" i="114"/>
  <c r="BI41" i="114"/>
  <c r="BJ41" i="114" s="1"/>
  <c r="BH41" i="114"/>
  <c r="AS41" i="114"/>
  <c r="BG23" i="114"/>
  <c r="AR37" i="114"/>
  <c r="BG33" i="114"/>
  <c r="AS33" i="114" s="1"/>
  <c r="BG37" i="114"/>
  <c r="AS37" i="114" s="1"/>
  <c r="BM40" i="114"/>
  <c r="BI40" i="114"/>
  <c r="BJ40" i="114" s="1"/>
  <c r="AP40" i="114"/>
  <c r="AT40" i="114" s="1"/>
  <c r="AS40" i="114"/>
  <c r="BH40" i="114"/>
  <c r="AU40" i="114"/>
  <c r="BG30" i="114"/>
  <c r="AR16" i="114"/>
  <c r="BM39" i="114"/>
  <c r="BI39" i="114"/>
  <c r="AU39" i="114" s="1"/>
  <c r="AP39" i="114"/>
  <c r="AT39" i="114" s="1"/>
  <c r="BL23" i="114"/>
  <c r="BE27" i="114"/>
  <c r="AR28" i="114"/>
  <c r="BF33" i="114"/>
  <c r="BN33" i="114" s="1"/>
  <c r="BL34" i="114"/>
  <c r="BE23" i="114"/>
  <c r="AS39" i="114"/>
  <c r="BE38" i="114"/>
  <c r="BL32" i="114"/>
  <c r="AQ33" i="114"/>
  <c r="BE33" i="114" s="1"/>
  <c r="BM33" i="114" s="1"/>
  <c r="BF37" i="114"/>
  <c r="BN37" i="114" s="1"/>
  <c r="BE37" i="114"/>
  <c r="BM37" i="114" s="1"/>
  <c r="BL21" i="114"/>
  <c r="AS38" i="114"/>
  <c r="BH38" i="114"/>
  <c r="AR21" i="114"/>
  <c r="BM36" i="114"/>
  <c r="BI36" i="114"/>
  <c r="AU36" i="114" s="1"/>
  <c r="AP36" i="114"/>
  <c r="AT36" i="114" s="1"/>
  <c r="BE28" i="114"/>
  <c r="BM28" i="114" s="1"/>
  <c r="BG31" i="114"/>
  <c r="BH31" i="114" s="1"/>
  <c r="AR32" i="114"/>
  <c r="BL28" i="114"/>
  <c r="BF31" i="114"/>
  <c r="BN31" i="114" s="1"/>
  <c r="AR30" i="114"/>
  <c r="AS36" i="114"/>
  <c r="BH36" i="114"/>
  <c r="BM35" i="114"/>
  <c r="BI35" i="114"/>
  <c r="AU35" i="114" s="1"/>
  <c r="AP35" i="114"/>
  <c r="AT35" i="114" s="1"/>
  <c r="BG21" i="114"/>
  <c r="BL27" i="114"/>
  <c r="BL30" i="114"/>
  <c r="BG34" i="114"/>
  <c r="AS34" i="114" s="1"/>
  <c r="BE30" i="114"/>
  <c r="BM30" i="114" s="1"/>
  <c r="AS35" i="114"/>
  <c r="BH35" i="114"/>
  <c r="BE34" i="114"/>
  <c r="BH33" i="114"/>
  <c r="BF24" i="114"/>
  <c r="BN24" i="114" s="1"/>
  <c r="AR26" i="114"/>
  <c r="BE21" i="114"/>
  <c r="BM21" i="114" s="1"/>
  <c r="AQ29" i="114"/>
  <c r="BE29" i="114" s="1"/>
  <c r="BM29" i="114" s="1"/>
  <c r="AQ31" i="114"/>
  <c r="BE31" i="114" s="1"/>
  <c r="BM31" i="114" s="1"/>
  <c r="BI32" i="114"/>
  <c r="AU32" i="114" s="1"/>
  <c r="AP32" i="114"/>
  <c r="AT32" i="114" s="1"/>
  <c r="BG25" i="114"/>
  <c r="BH25" i="114" s="1"/>
  <c r="AS32" i="114"/>
  <c r="BH32" i="114"/>
  <c r="AP30" i="114"/>
  <c r="AT30" i="114" s="1"/>
  <c r="BG19" i="114"/>
  <c r="BH19" i="114" s="1"/>
  <c r="BE25" i="114"/>
  <c r="BM25" i="114" s="1"/>
  <c r="BG22" i="114"/>
  <c r="AS22" i="114" s="1"/>
  <c r="AS30" i="114"/>
  <c r="BH30" i="114"/>
  <c r="AR18" i="114"/>
  <c r="BG20" i="114"/>
  <c r="BH20" i="114" s="1"/>
  <c r="AR23" i="114"/>
  <c r="AQ24" i="114"/>
  <c r="BE24" i="114" s="1"/>
  <c r="BM24" i="114" s="1"/>
  <c r="AS29" i="114"/>
  <c r="BH29" i="114"/>
  <c r="BF26" i="114"/>
  <c r="BN26" i="114" s="1"/>
  <c r="AP28" i="114"/>
  <c r="AT28" i="114" s="1"/>
  <c r="BE19" i="114"/>
  <c r="BM19" i="114" s="1"/>
  <c r="BG16" i="114"/>
  <c r="BH16" i="114" s="1"/>
  <c r="AS28" i="114"/>
  <c r="BH28" i="114"/>
  <c r="BM27" i="114"/>
  <c r="BI27" i="114"/>
  <c r="AU27" i="114" s="1"/>
  <c r="AP27" i="114"/>
  <c r="AT27" i="114" s="1"/>
  <c r="AR25" i="114"/>
  <c r="AS27" i="114"/>
  <c r="BH27" i="114"/>
  <c r="BL26" i="114"/>
  <c r="BE26" i="114"/>
  <c r="BI26" i="114" s="1"/>
  <c r="BJ26" i="114" s="1"/>
  <c r="BH26" i="114"/>
  <c r="AS26" i="114"/>
  <c r="BE18" i="114"/>
  <c r="BM18" i="114" s="1"/>
  <c r="BM26" i="114"/>
  <c r="BL17" i="114"/>
  <c r="BG17" i="114"/>
  <c r="AS17" i="114" s="1"/>
  <c r="AR19" i="114"/>
  <c r="BF20" i="114"/>
  <c r="BN20" i="114" s="1"/>
  <c r="BE20" i="114"/>
  <c r="BM20" i="114" s="1"/>
  <c r="BF22" i="114"/>
  <c r="BN22" i="114" s="1"/>
  <c r="BF25" i="114"/>
  <c r="BN25" i="114" s="1"/>
  <c r="BE17" i="114"/>
  <c r="BM17" i="114" s="1"/>
  <c r="BL19" i="114"/>
  <c r="AP25" i="114"/>
  <c r="AT25" i="114" s="1"/>
  <c r="AR20" i="114"/>
  <c r="AQ22" i="114"/>
  <c r="BE22" i="114" s="1"/>
  <c r="BI22" i="114" s="1"/>
  <c r="BJ22" i="114" s="1"/>
  <c r="AS24" i="114"/>
  <c r="BH24" i="114"/>
  <c r="BM23" i="114"/>
  <c r="BI23" i="114"/>
  <c r="BJ23" i="114" s="1"/>
  <c r="AP23" i="114"/>
  <c r="AT23" i="114" s="1"/>
  <c r="AS23" i="114"/>
  <c r="BH23" i="114"/>
  <c r="AU23" i="114"/>
  <c r="BF18" i="114"/>
  <c r="BN18" i="114" s="1"/>
  <c r="AR17" i="114"/>
  <c r="BH22" i="114"/>
  <c r="AP21" i="114"/>
  <c r="AT21" i="114" s="1"/>
  <c r="AS21" i="114"/>
  <c r="BH21" i="114"/>
  <c r="AP20" i="114"/>
  <c r="AT20" i="114" s="1"/>
  <c r="BG18" i="114"/>
  <c r="BH18" i="114" s="1"/>
  <c r="AS20" i="114"/>
  <c r="BL18" i="114"/>
  <c r="AP19" i="114"/>
  <c r="AT19" i="114" s="1"/>
  <c r="BE16" i="114"/>
  <c r="BM16" i="114" s="1"/>
  <c r="BL16" i="114"/>
  <c r="AP17" i="114"/>
  <c r="AT17" i="114" s="1"/>
  <c r="AP16" i="114"/>
  <c r="AT16" i="114" s="1"/>
  <c r="BL15" i="114"/>
  <c r="BF15" i="114"/>
  <c r="BN15" i="114" s="1"/>
  <c r="AR15" i="114"/>
  <c r="AS16" i="114"/>
  <c r="BE15" i="114"/>
  <c r="AS15" i="114"/>
  <c r="BH15" i="114"/>
  <c r="BJ42" i="114" l="1"/>
  <c r="BH37" i="114"/>
  <c r="AS19" i="114"/>
  <c r="BI21" i="114"/>
  <c r="BJ21" i="114" s="1"/>
  <c r="AU41" i="114"/>
  <c r="AS25" i="114"/>
  <c r="BJ39" i="114"/>
  <c r="BI33" i="114"/>
  <c r="BJ33" i="114" s="1"/>
  <c r="AP33" i="114"/>
  <c r="AT33" i="114" s="1"/>
  <c r="BI37" i="114"/>
  <c r="AU37" i="114" s="1"/>
  <c r="BI30" i="114"/>
  <c r="AU30" i="114" s="1"/>
  <c r="BM38" i="114"/>
  <c r="BI38" i="114"/>
  <c r="AS31" i="114"/>
  <c r="BJ36" i="114"/>
  <c r="BH17" i="114"/>
  <c r="BH34" i="114"/>
  <c r="BI28" i="114"/>
  <c r="AU28" i="114" s="1"/>
  <c r="BJ35" i="114"/>
  <c r="AU21" i="114"/>
  <c r="BM34" i="114"/>
  <c r="BI34" i="114"/>
  <c r="BI31" i="114"/>
  <c r="BJ31" i="114" s="1"/>
  <c r="BI18" i="114"/>
  <c r="BJ18" i="114" s="1"/>
  <c r="AP24" i="114"/>
  <c r="AT24" i="114" s="1"/>
  <c r="BI29" i="114"/>
  <c r="AP31" i="114"/>
  <c r="AT31" i="114" s="1"/>
  <c r="AP29" i="114"/>
  <c r="AT29" i="114" s="1"/>
  <c r="BJ32" i="114"/>
  <c r="BI24" i="114"/>
  <c r="AU24" i="114" s="1"/>
  <c r="AS18" i="114"/>
  <c r="BI19" i="114"/>
  <c r="BJ19" i="114" s="1"/>
  <c r="BI25" i="114"/>
  <c r="BI20" i="114"/>
  <c r="BJ20" i="114" s="1"/>
  <c r="BJ27" i="114"/>
  <c r="BI17" i="114"/>
  <c r="AU17" i="114" s="1"/>
  <c r="AU26" i="114"/>
  <c r="AP22" i="114"/>
  <c r="AT22" i="114" s="1"/>
  <c r="BM22" i="114"/>
  <c r="AU22" i="114"/>
  <c r="BI16" i="114"/>
  <c r="AU16" i="114" s="1"/>
  <c r="BM15" i="114"/>
  <c r="BI15" i="114"/>
  <c r="AU33" i="114" l="1"/>
  <c r="AU18" i="114"/>
  <c r="BJ30" i="114"/>
  <c r="BJ37" i="114"/>
  <c r="BJ28" i="114"/>
  <c r="AU38" i="114"/>
  <c r="BJ38" i="114"/>
  <c r="BJ34" i="114"/>
  <c r="AU34" i="114"/>
  <c r="AU31" i="114"/>
  <c r="AU20" i="114"/>
  <c r="AU19" i="114"/>
  <c r="BJ24" i="114"/>
  <c r="BJ29" i="114"/>
  <c r="AU29" i="114"/>
  <c r="BJ25" i="114"/>
  <c r="AU25" i="114"/>
  <c r="BJ17" i="114"/>
  <c r="BJ16" i="114"/>
  <c r="AU15" i="114"/>
  <c r="BJ15" i="114"/>
  <c r="C9" i="121" l="1"/>
  <c r="C10" i="121"/>
  <c r="Q12" i="113" l="1"/>
  <c r="F17" i="118" l="1" a="1"/>
  <c r="F17" i="118" s="1"/>
  <c r="C17" i="118" s="1"/>
  <c r="C13" i="118"/>
  <c r="G32" i="118" s="1"/>
  <c r="D49" i="119"/>
  <c r="D48" i="119"/>
  <c r="D47" i="119"/>
  <c r="F24" i="119" a="1"/>
  <c r="F20" i="119" a="1"/>
  <c r="F20" i="119" s="1"/>
  <c r="C20" i="119" s="1"/>
  <c r="N31" i="119" s="1"/>
  <c r="F18" i="119" a="1"/>
  <c r="F18" i="119" s="1"/>
  <c r="C18" i="119" s="1"/>
  <c r="N29" i="119" s="1"/>
  <c r="C16" i="119"/>
  <c r="H35" i="119" s="1"/>
  <c r="C15" i="119"/>
  <c r="H30" i="119" s="1"/>
  <c r="C14" i="119"/>
  <c r="G34" i="119" s="1"/>
  <c r="C13" i="119"/>
  <c r="G29" i="119" s="1"/>
  <c r="C12" i="119"/>
  <c r="F33" i="119" s="1"/>
  <c r="C11" i="119"/>
  <c r="F28" i="119" s="1"/>
  <c r="G5" i="119"/>
  <c r="F5" i="119"/>
  <c r="G4" i="119"/>
  <c r="F4" i="119"/>
  <c r="G3" i="119"/>
  <c r="F3" i="119"/>
  <c r="D49" i="118"/>
  <c r="D48" i="118"/>
  <c r="D47" i="118"/>
  <c r="F22" i="118" a="1"/>
  <c r="F21" i="118" a="1"/>
  <c r="F21" i="118" s="1"/>
  <c r="C21" i="118" s="1"/>
  <c r="N32" i="118" s="1"/>
  <c r="F19" i="118" a="1"/>
  <c r="F19" i="118" s="1"/>
  <c r="C19" i="118" s="1"/>
  <c r="N30" i="118" s="1"/>
  <c r="C16" i="118"/>
  <c r="H33" i="118" s="1"/>
  <c r="C15" i="118"/>
  <c r="H28" i="118" s="1"/>
  <c r="C14" i="118"/>
  <c r="G31" i="118" s="1"/>
  <c r="C12" i="118"/>
  <c r="F29" i="118" s="1"/>
  <c r="C11" i="118"/>
  <c r="F32" i="118" s="1"/>
  <c r="G5" i="118"/>
  <c r="F5" i="118"/>
  <c r="G4" i="118"/>
  <c r="F4" i="118"/>
  <c r="G3" i="118"/>
  <c r="F3" i="118"/>
  <c r="D49" i="117"/>
  <c r="D48" i="117"/>
  <c r="D47" i="117"/>
  <c r="F24" i="117" a="1"/>
  <c r="F23" i="117" a="1"/>
  <c r="F21" i="117" a="1"/>
  <c r="F20" i="117" a="1"/>
  <c r="F20" i="117" s="1"/>
  <c r="C20" i="117" s="1"/>
  <c r="N31" i="117" s="1"/>
  <c r="F19" i="117" a="1"/>
  <c r="F18" i="117" a="1"/>
  <c r="F18" i="117" s="1"/>
  <c r="C18" i="117" s="1"/>
  <c r="N29" i="117" s="1"/>
  <c r="F17" i="117"/>
  <c r="C17" i="117" s="1"/>
  <c r="N28" i="117" s="1"/>
  <c r="F17" i="117" a="1"/>
  <c r="C16" i="117"/>
  <c r="H33" i="117" s="1"/>
  <c r="C15" i="117"/>
  <c r="H29" i="117" s="1"/>
  <c r="C14" i="117"/>
  <c r="G34" i="117" s="1"/>
  <c r="C13" i="117"/>
  <c r="G28" i="117" s="1"/>
  <c r="C12" i="117"/>
  <c r="F35" i="117" s="1"/>
  <c r="C11" i="117"/>
  <c r="F34" i="117" s="1"/>
  <c r="G5" i="117"/>
  <c r="F5" i="117"/>
  <c r="G4" i="117"/>
  <c r="F4" i="117"/>
  <c r="G3" i="117"/>
  <c r="F3" i="117"/>
  <c r="AZ14" i="114"/>
  <c r="AI14" i="114"/>
  <c r="BB14" i="114"/>
  <c r="BA14" i="114"/>
  <c r="R14" i="114"/>
  <c r="S14" i="114" s="1"/>
  <c r="O14" i="114"/>
  <c r="N14" i="114"/>
  <c r="BP14" i="116"/>
  <c r="D51" i="117" l="1"/>
  <c r="D52" i="117"/>
  <c r="D53" i="117"/>
  <c r="D50" i="117"/>
  <c r="D50" i="118"/>
  <c r="F23" i="118" a="1"/>
  <c r="F24" i="118" a="1"/>
  <c r="F24" i="118" s="1"/>
  <c r="C24" i="118" s="1"/>
  <c r="N35" i="118" s="1"/>
  <c r="F20" i="118" a="1"/>
  <c r="F20" i="118" s="1"/>
  <c r="C20" i="118" s="1"/>
  <c r="N31" i="118" s="1"/>
  <c r="F18" i="118" a="1"/>
  <c r="F18" i="118" s="1"/>
  <c r="C18" i="118" s="1"/>
  <c r="N29" i="118" s="1"/>
  <c r="D53" i="118"/>
  <c r="D51" i="118"/>
  <c r="D52" i="118"/>
  <c r="D53" i="119"/>
  <c r="D51" i="119"/>
  <c r="D52" i="119"/>
  <c r="D50" i="119"/>
  <c r="F21" i="119" a="1"/>
  <c r="F21" i="119" s="1"/>
  <c r="C21" i="119" s="1"/>
  <c r="N32" i="119" s="1"/>
  <c r="F17" i="119" a="1"/>
  <c r="F17" i="119" s="1"/>
  <c r="C17" i="119" s="1"/>
  <c r="N28" i="119" s="1"/>
  <c r="F19" i="119" a="1"/>
  <c r="F22" i="119" a="1"/>
  <c r="F23" i="119" a="1"/>
  <c r="F23" i="119" s="1"/>
  <c r="C23" i="119" s="1"/>
  <c r="N34" i="119" s="1"/>
  <c r="F22" i="119"/>
  <c r="C22" i="119" s="1"/>
  <c r="N33" i="119" s="1"/>
  <c r="G28" i="119"/>
  <c r="I28" i="119" s="1"/>
  <c r="H29" i="119"/>
  <c r="K29" i="119" s="1"/>
  <c r="F31" i="119"/>
  <c r="F32" i="119"/>
  <c r="G33" i="119"/>
  <c r="H34" i="119"/>
  <c r="K34" i="119" s="1"/>
  <c r="H28" i="119"/>
  <c r="J28" i="119" s="1"/>
  <c r="F30" i="119"/>
  <c r="G31" i="119"/>
  <c r="G32" i="119"/>
  <c r="H33" i="119"/>
  <c r="J33" i="119" s="1"/>
  <c r="F35" i="119"/>
  <c r="F24" i="119"/>
  <c r="C24" i="119" s="1"/>
  <c r="N35" i="119" s="1"/>
  <c r="F29" i="119"/>
  <c r="G30" i="119"/>
  <c r="K30" i="119" s="1"/>
  <c r="H31" i="119"/>
  <c r="H32" i="119"/>
  <c r="F34" i="119"/>
  <c r="G35" i="119"/>
  <c r="K35" i="119" s="1"/>
  <c r="F19" i="119"/>
  <c r="C19" i="119" s="1"/>
  <c r="N30" i="119" s="1"/>
  <c r="I32" i="118"/>
  <c r="N28" i="118"/>
  <c r="F28" i="118"/>
  <c r="G29" i="118"/>
  <c r="I29" i="118" s="1"/>
  <c r="H30" i="118"/>
  <c r="H31" i="118"/>
  <c r="K31" i="118" s="1"/>
  <c r="H32" i="118"/>
  <c r="L32" i="118" s="1"/>
  <c r="F34" i="118"/>
  <c r="F35" i="118"/>
  <c r="F22" i="118"/>
  <c r="C22" i="118" s="1"/>
  <c r="N33" i="118" s="1"/>
  <c r="G28" i="118"/>
  <c r="K28" i="118" s="1"/>
  <c r="H29" i="118"/>
  <c r="J29" i="118" s="1"/>
  <c r="F33" i="118"/>
  <c r="G34" i="118"/>
  <c r="G35" i="118"/>
  <c r="F23" i="118"/>
  <c r="C23" i="118" s="1"/>
  <c r="N34" i="118" s="1"/>
  <c r="F30" i="118"/>
  <c r="J30" i="118" s="1"/>
  <c r="F31" i="118"/>
  <c r="J31" i="118" s="1"/>
  <c r="G33" i="118"/>
  <c r="K33" i="118" s="1"/>
  <c r="H34" i="118"/>
  <c r="H35" i="118"/>
  <c r="G30" i="118"/>
  <c r="I34" i="117"/>
  <c r="F23" i="117"/>
  <c r="C23" i="117" s="1"/>
  <c r="N34" i="117" s="1"/>
  <c r="H28" i="117"/>
  <c r="K28" i="117" s="1"/>
  <c r="F30" i="117"/>
  <c r="H31" i="117"/>
  <c r="F33" i="117"/>
  <c r="H34" i="117"/>
  <c r="K34" i="117" s="1"/>
  <c r="F19" i="117"/>
  <c r="C19" i="117" s="1"/>
  <c r="N30" i="117" s="1"/>
  <c r="F24" i="117"/>
  <c r="C24" i="117" s="1"/>
  <c r="N35" i="117" s="1"/>
  <c r="F29" i="117"/>
  <c r="J29" i="117" s="1"/>
  <c r="G30" i="117"/>
  <c r="F32" i="117"/>
  <c r="G33" i="117"/>
  <c r="K33" i="117" s="1"/>
  <c r="G35" i="117"/>
  <c r="F28" i="117"/>
  <c r="I28" i="117" s="1"/>
  <c r="G29" i="117"/>
  <c r="K29" i="117" s="1"/>
  <c r="H30" i="117"/>
  <c r="G32" i="117"/>
  <c r="H35" i="117"/>
  <c r="J35" i="117" s="1"/>
  <c r="F21" i="117"/>
  <c r="C21" i="117" s="1"/>
  <c r="N32" i="117" s="1"/>
  <c r="G31" i="117"/>
  <c r="K31" i="117" s="1"/>
  <c r="H32" i="117"/>
  <c r="F22" i="117" a="1"/>
  <c r="F22" i="117" s="1"/>
  <c r="C22" i="117" s="1"/>
  <c r="N33" i="117" s="1"/>
  <c r="F31" i="117"/>
  <c r="L28" i="117"/>
  <c r="K30" i="118" l="1"/>
  <c r="J30" i="117"/>
  <c r="J28" i="117"/>
  <c r="J34" i="117"/>
  <c r="K35" i="117"/>
  <c r="L34" i="117"/>
  <c r="J31" i="117"/>
  <c r="I33" i="117"/>
  <c r="J32" i="117"/>
  <c r="I30" i="117"/>
  <c r="I31" i="117"/>
  <c r="L33" i="117"/>
  <c r="J33" i="117"/>
  <c r="L29" i="117"/>
  <c r="I29" i="117"/>
  <c r="I34" i="118"/>
  <c r="K35" i="118"/>
  <c r="K32" i="119"/>
  <c r="L33" i="119"/>
  <c r="L28" i="119"/>
  <c r="K31" i="119"/>
  <c r="K33" i="119"/>
  <c r="K28" i="119"/>
  <c r="I33" i="119"/>
  <c r="K32" i="118"/>
  <c r="J32" i="118"/>
  <c r="L31" i="118"/>
  <c r="L30" i="118"/>
  <c r="J34" i="119"/>
  <c r="I34" i="119"/>
  <c r="L34" i="119"/>
  <c r="J29" i="119"/>
  <c r="I29" i="119"/>
  <c r="L29" i="119"/>
  <c r="L35" i="119"/>
  <c r="J35" i="119"/>
  <c r="I35" i="119"/>
  <c r="L30" i="119"/>
  <c r="J30" i="119"/>
  <c r="I30" i="119"/>
  <c r="I32" i="119"/>
  <c r="L32" i="119"/>
  <c r="J32" i="119"/>
  <c r="I31" i="119"/>
  <c r="L31" i="119"/>
  <c r="J31" i="119"/>
  <c r="L33" i="118"/>
  <c r="J33" i="118"/>
  <c r="I33" i="118"/>
  <c r="J35" i="118"/>
  <c r="L35" i="118"/>
  <c r="J34" i="118"/>
  <c r="K29" i="118"/>
  <c r="L34" i="118"/>
  <c r="K34" i="118"/>
  <c r="I30" i="118"/>
  <c r="I35" i="118"/>
  <c r="I28" i="118"/>
  <c r="L28" i="118"/>
  <c r="J28" i="118"/>
  <c r="L29" i="118"/>
  <c r="I31" i="118"/>
  <c r="L30" i="117"/>
  <c r="K32" i="117"/>
  <c r="K30" i="117"/>
  <c r="L32" i="117"/>
  <c r="I35" i="117"/>
  <c r="I32" i="117"/>
  <c r="L35" i="117"/>
  <c r="L31" i="117"/>
  <c r="AF14" i="116"/>
  <c r="AE14" i="116"/>
  <c r="AD14" i="116"/>
  <c r="AC14" i="116"/>
  <c r="H14" i="116"/>
  <c r="D14" i="114"/>
  <c r="D37" i="117" l="1" a="1"/>
  <c r="D43" i="117" s="1"/>
  <c r="D37" i="118" a="1"/>
  <c r="D44" i="118" s="1"/>
  <c r="D37" i="119" a="1"/>
  <c r="D40" i="119" s="1"/>
  <c r="AB12" i="113"/>
  <c r="Y12" i="113"/>
  <c r="D38" i="117" l="1"/>
  <c r="D41" i="117"/>
  <c r="D40" i="117"/>
  <c r="D39" i="117"/>
  <c r="D42" i="117"/>
  <c r="D37" i="117"/>
  <c r="D44" i="117"/>
  <c r="D40" i="118"/>
  <c r="D39" i="118"/>
  <c r="D42" i="118"/>
  <c r="D38" i="118"/>
  <c r="D43" i="118"/>
  <c r="D41" i="118"/>
  <c r="D37" i="118"/>
  <c r="D39" i="119"/>
  <c r="D38" i="119"/>
  <c r="D44" i="119"/>
  <c r="D41" i="119"/>
  <c r="D42" i="119"/>
  <c r="D43" i="119"/>
  <c r="D37" i="119"/>
  <c r="I12" i="113"/>
  <c r="BM14" i="115"/>
  <c r="C8" i="117" l="1"/>
  <c r="C8" i="118"/>
  <c r="C8" i="119"/>
  <c r="AL14" i="116"/>
  <c r="F12" i="113"/>
  <c r="AI12" i="113" s="1"/>
  <c r="AF14" i="115"/>
  <c r="AE14" i="115"/>
  <c r="AD14" i="115"/>
  <c r="AC14" i="115"/>
  <c r="S14" i="115"/>
  <c r="Q14" i="115"/>
  <c r="P14" i="115"/>
  <c r="O14" i="115"/>
  <c r="N14" i="115"/>
  <c r="L14" i="115"/>
  <c r="I14" i="115"/>
  <c r="D14" i="115"/>
  <c r="E14" i="115"/>
  <c r="F14" i="115"/>
  <c r="C14" i="115"/>
  <c r="H14" i="115"/>
  <c r="AC12" i="113"/>
  <c r="AD12" i="113"/>
  <c r="BB14" i="116"/>
  <c r="BA14" i="116"/>
  <c r="AY14" i="116"/>
  <c r="AX14" i="116"/>
  <c r="AW14" i="116"/>
  <c r="AV14" i="116"/>
  <c r="AU14" i="116"/>
  <c r="AT14" i="116"/>
  <c r="AO14" i="116"/>
  <c r="AI14" i="116"/>
  <c r="Y14" i="116"/>
  <c r="K9" i="116"/>
  <c r="BC7" i="116"/>
  <c r="BB7" i="116"/>
  <c r="AZ7" i="116"/>
  <c r="BC6" i="116"/>
  <c r="BB6" i="116"/>
  <c r="AZ6" i="116"/>
  <c r="BC5" i="116"/>
  <c r="BB5" i="116"/>
  <c r="AZ5" i="116"/>
  <c r="BC4" i="116"/>
  <c r="BB4" i="116"/>
  <c r="AK14" i="114"/>
  <c r="AH14" i="114"/>
  <c r="AF14" i="114"/>
  <c r="AD14" i="114"/>
  <c r="BW14" i="115"/>
  <c r="BV14" i="115"/>
  <c r="BL14" i="115"/>
  <c r="BK14" i="115"/>
  <c r="BH14" i="115"/>
  <c r="BG14" i="115"/>
  <c r="BD14" i="115"/>
  <c r="AV14" i="115"/>
  <c r="AU14" i="115"/>
  <c r="AT14" i="115"/>
  <c r="AO14" i="115"/>
  <c r="AL14" i="115"/>
  <c r="BT14" i="115" s="1"/>
  <c r="AI14" i="115"/>
  <c r="K9" i="115"/>
  <c r="AL14" i="114"/>
  <c r="AE14" i="114"/>
  <c r="Z14" i="114"/>
  <c r="W14" i="114"/>
  <c r="V14" i="114"/>
  <c r="T14" i="114"/>
  <c r="BC14" i="114" s="1"/>
  <c r="K9" i="114"/>
  <c r="BC7" i="114"/>
  <c r="BB7" i="114"/>
  <c r="AZ7" i="114"/>
  <c r="BC6" i="114"/>
  <c r="BB6" i="114"/>
  <c r="AZ6" i="114"/>
  <c r="BC5" i="114"/>
  <c r="BB5" i="114"/>
  <c r="AZ5" i="114"/>
  <c r="BC4" i="114"/>
  <c r="BB4" i="114"/>
  <c r="CK12" i="113"/>
  <c r="CJ12" i="113"/>
  <c r="CI12" i="113"/>
  <c r="CL12" i="113" s="1"/>
  <c r="CG12" i="113"/>
  <c r="BX12" i="113"/>
  <c r="BW12" i="113"/>
  <c r="BV12" i="113"/>
  <c r="BT12" i="113"/>
  <c r="BY12" i="113" s="1"/>
  <c r="BI12" i="113"/>
  <c r="BH12" i="113"/>
  <c r="BG12" i="113"/>
  <c r="BF12" i="113"/>
  <c r="AT12" i="113"/>
  <c r="AS12" i="113"/>
  <c r="AR12" i="113"/>
  <c r="AQ12" i="113"/>
  <c r="O12" i="113"/>
  <c r="N12" i="113"/>
  <c r="X14" i="114" l="1"/>
  <c r="AG14" i="114"/>
  <c r="AJ14" i="114" s="1"/>
  <c r="Y14" i="115"/>
  <c r="BF6" i="116"/>
  <c r="BC14" i="115"/>
  <c r="BE14" i="115" s="1"/>
  <c r="Z12" i="113"/>
  <c r="BF7" i="114"/>
  <c r="BF5" i="114"/>
  <c r="AE12" i="113"/>
  <c r="AG14" i="116"/>
  <c r="AA12" i="113"/>
  <c r="BF4" i="116"/>
  <c r="BF7" i="116"/>
  <c r="BJ14" i="116"/>
  <c r="BZ14" i="116"/>
  <c r="CD14" i="116"/>
  <c r="BF5" i="116"/>
  <c r="AZ14" i="116"/>
  <c r="BF14" i="116"/>
  <c r="BN14" i="116" s="1"/>
  <c r="BF4" i="114"/>
  <c r="BF6" i="114"/>
  <c r="BJ12" i="113"/>
  <c r="AG14" i="115"/>
  <c r="AH14" i="115" s="1"/>
  <c r="AU12" i="113"/>
  <c r="BZ12" i="113"/>
  <c r="CM12" i="113"/>
  <c r="BM12" i="113" l="1"/>
  <c r="AH14" i="116"/>
  <c r="BC14" i="116" s="1"/>
  <c r="AK14" i="116"/>
  <c r="AM14" i="116" s="1"/>
  <c r="AX12" i="113"/>
  <c r="CC12" i="113"/>
  <c r="CP12" i="113"/>
  <c r="CT12" i="113" s="1"/>
  <c r="AM14" i="114"/>
  <c r="BD14" i="114"/>
  <c r="AG12" i="113"/>
  <c r="BO12" i="113"/>
  <c r="BK12" i="113"/>
  <c r="CN12" i="113" s="1"/>
  <c r="AV12" i="113"/>
  <c r="CA12" i="113" s="1"/>
  <c r="BN14" i="115"/>
  <c r="AW14" i="115"/>
  <c r="BL14" i="114" l="1"/>
  <c r="BF14" i="114"/>
  <c r="BU14" i="116"/>
  <c r="BQ14" i="115"/>
  <c r="BS14" i="115" s="1"/>
  <c r="BY14" i="115" s="1"/>
  <c r="BP12" i="113"/>
  <c r="CU12" i="113"/>
  <c r="BE14" i="116"/>
  <c r="BT14" i="116"/>
  <c r="BS14" i="116"/>
  <c r="BR14" i="116"/>
  <c r="AZ14" i="115"/>
  <c r="BJ14" i="115" s="1"/>
  <c r="BO14" i="115"/>
  <c r="AX14" i="115"/>
  <c r="AM14" i="115"/>
  <c r="AO14" i="114"/>
  <c r="AQ14" i="114" s="1"/>
  <c r="Z14" i="116"/>
  <c r="CB14" i="115" l="1"/>
  <c r="V12" i="113"/>
  <c r="CV12" i="113"/>
  <c r="W12" i="113"/>
  <c r="BG14" i="116"/>
  <c r="BO14" i="116" s="1"/>
  <c r="BM14" i="116"/>
  <c r="BH14" i="116"/>
  <c r="BU14" i="115"/>
  <c r="CC14" i="115"/>
  <c r="BV14" i="116"/>
  <c r="BX14" i="116" s="1"/>
  <c r="BY14" i="116" s="1"/>
  <c r="CB14" i="116" s="1"/>
  <c r="BZ14" i="115"/>
  <c r="BA14" i="115"/>
  <c r="BR14" i="115"/>
  <c r="BF14" i="115"/>
  <c r="BB14" i="115"/>
  <c r="CA14" i="115" s="1"/>
  <c r="BE14" i="114"/>
  <c r="AP14" i="114"/>
  <c r="AT14" i="114" s="1"/>
  <c r="AR14" i="114"/>
  <c r="AV41" i="114" s="1"/>
  <c r="Z14" i="115"/>
  <c r="AV40" i="114" l="1"/>
  <c r="AV39" i="114"/>
  <c r="AV37" i="114"/>
  <c r="AV38" i="114"/>
  <c r="AV36" i="114"/>
  <c r="AV35" i="114"/>
  <c r="AV34" i="114"/>
  <c r="AV33" i="114"/>
  <c r="AV32" i="114"/>
  <c r="AV31" i="114"/>
  <c r="AV30" i="114"/>
  <c r="AV29" i="114"/>
  <c r="AV28" i="114"/>
  <c r="AV27" i="114"/>
  <c r="AV26" i="114"/>
  <c r="AV25" i="114"/>
  <c r="AV24" i="114"/>
  <c r="AV23" i="114"/>
  <c r="AV22" i="114"/>
  <c r="AV21" i="114"/>
  <c r="AV20" i="114"/>
  <c r="AV19" i="114"/>
  <c r="AV18" i="114"/>
  <c r="AV17" i="114"/>
  <c r="AV16" i="114"/>
  <c r="AV15" i="114"/>
  <c r="BI14" i="114"/>
  <c r="BM14" i="114"/>
  <c r="U12" i="113"/>
  <c r="BL14" i="116"/>
  <c r="CA14" i="116"/>
  <c r="BG7" i="116"/>
  <c r="BI14" i="116"/>
  <c r="CE14" i="116"/>
  <c r="BK14" i="116"/>
  <c r="CF14" i="116"/>
  <c r="CC14" i="116"/>
  <c r="BG7" i="114"/>
  <c r="BG14" i="114"/>
  <c r="BK42" i="114" s="1"/>
  <c r="BN14" i="114"/>
  <c r="BK41" i="114" l="1"/>
  <c r="BK40" i="114"/>
  <c r="BK39" i="114"/>
  <c r="BK38" i="114"/>
  <c r="BK37" i="114"/>
  <c r="BK36" i="114"/>
  <c r="BK35" i="114"/>
  <c r="BK34" i="114"/>
  <c r="BK33" i="114"/>
  <c r="BK32" i="114"/>
  <c r="BK31" i="114"/>
  <c r="BK30" i="114"/>
  <c r="BK29" i="114"/>
  <c r="BK28" i="114"/>
  <c r="BK27" i="114"/>
  <c r="BK26" i="114"/>
  <c r="BK25" i="114"/>
  <c r="BK23" i="114"/>
  <c r="BK24" i="114"/>
  <c r="BK22" i="114"/>
  <c r="BK21" i="114"/>
  <c r="BK20" i="114"/>
  <c r="BK19" i="114"/>
  <c r="BK18" i="114"/>
  <c r="BK17" i="114"/>
  <c r="BK16" i="114"/>
  <c r="BK15" i="114"/>
  <c r="BJ14" i="114"/>
  <c r="BH14" i="114"/>
  <c r="BK14" i="114"/>
  <c r="AV14" i="114"/>
  <c r="AS14" i="114"/>
  <c r="AU14" i="114"/>
  <c r="BT14" i="40"/>
  <c r="BT15" i="40"/>
  <c r="BT16" i="40"/>
  <c r="BT17" i="40"/>
  <c r="BT18" i="40"/>
  <c r="BT19" i="40"/>
  <c r="BT20" i="40"/>
  <c r="BT21" i="40"/>
  <c r="BT22" i="40"/>
  <c r="BT23" i="40"/>
  <c r="BT24" i="40"/>
  <c r="BT25" i="40"/>
  <c r="BT26" i="40"/>
  <c r="BT27" i="40"/>
  <c r="BT28" i="40"/>
  <c r="BT29" i="40"/>
  <c r="BT30" i="40"/>
  <c r="BT31" i="40"/>
  <c r="BT32" i="40"/>
  <c r="BT33" i="40"/>
  <c r="BT34" i="40"/>
  <c r="BT35" i="40"/>
  <c r="BT36" i="40"/>
  <c r="BT37" i="40"/>
  <c r="BT38" i="40"/>
  <c r="BT39" i="40"/>
  <c r="BT40" i="40"/>
  <c r="BT41" i="40"/>
  <c r="BT42" i="40"/>
  <c r="BT43" i="40"/>
  <c r="BT44" i="40"/>
  <c r="BT45" i="40"/>
  <c r="BT46" i="40"/>
  <c r="BT47" i="40"/>
  <c r="BT48" i="40"/>
  <c r="BT49" i="40"/>
  <c r="BT50" i="40"/>
  <c r="BT51" i="40"/>
  <c r="BT52" i="40"/>
  <c r="BT53" i="40"/>
  <c r="BT54" i="40"/>
  <c r="BT55" i="40"/>
  <c r="BT56" i="40"/>
  <c r="BT57" i="40"/>
  <c r="BT58" i="40"/>
  <c r="BT59" i="40"/>
  <c r="BT60" i="40"/>
  <c r="BT61" i="40"/>
  <c r="BT62" i="40"/>
  <c r="BT63" i="40"/>
  <c r="BT64" i="40"/>
  <c r="BT65" i="40"/>
  <c r="BT66" i="40"/>
  <c r="BT67" i="40"/>
  <c r="BT68" i="40"/>
  <c r="BT69" i="40"/>
  <c r="BT70" i="40"/>
  <c r="BT71" i="40"/>
  <c r="BT72" i="40"/>
  <c r="BT73" i="40"/>
  <c r="BT74" i="40"/>
  <c r="BT75" i="40"/>
  <c r="BT76" i="40"/>
  <c r="BT77" i="40"/>
  <c r="BT78" i="40"/>
  <c r="BT79" i="40"/>
  <c r="BT80" i="40"/>
  <c r="BT81" i="40"/>
  <c r="BT82" i="40"/>
  <c r="BT83" i="40"/>
  <c r="BT84" i="40"/>
  <c r="BT85" i="40"/>
  <c r="BT86" i="40"/>
  <c r="BT87" i="40"/>
  <c r="BT88" i="40"/>
  <c r="BT89" i="40"/>
  <c r="BT90" i="40"/>
  <c r="BT91" i="40"/>
  <c r="HE11" i="40"/>
  <c r="AX26" i="40" l="1"/>
  <c r="AT26" i="40"/>
  <c r="AT14" i="40"/>
  <c r="CK15" i="40"/>
  <c r="BM14" i="40"/>
  <c r="BM15" i="40"/>
  <c r="BM16" i="40"/>
  <c r="BM17" i="40"/>
  <c r="BM18" i="40"/>
  <c r="BM19" i="40"/>
  <c r="BM20" i="40"/>
  <c r="BM21" i="40"/>
  <c r="BM22" i="40"/>
  <c r="BM23" i="40"/>
  <c r="BM24" i="40"/>
  <c r="BM25" i="40"/>
  <c r="BM26" i="40"/>
  <c r="BM27" i="40"/>
  <c r="BM28" i="40"/>
  <c r="BM29" i="40"/>
  <c r="BM30" i="40"/>
  <c r="BM31" i="40"/>
  <c r="BM32" i="40"/>
  <c r="BM33" i="40"/>
  <c r="BM34" i="40"/>
  <c r="BM35" i="40"/>
  <c r="BM36" i="40"/>
  <c r="BM37" i="40"/>
  <c r="BM38" i="40"/>
  <c r="BM39" i="40"/>
  <c r="BM40" i="40"/>
  <c r="BM41" i="40"/>
  <c r="BM42" i="40"/>
  <c r="BM43" i="40"/>
  <c r="BM44" i="40"/>
  <c r="BM45" i="40"/>
  <c r="BM46" i="40"/>
  <c r="BM47" i="40"/>
  <c r="BM48" i="40"/>
  <c r="BM49" i="40"/>
  <c r="BM50" i="40"/>
  <c r="BM51" i="40"/>
  <c r="BM52" i="40"/>
  <c r="BM53" i="40"/>
  <c r="BM54" i="40"/>
  <c r="BM55" i="40"/>
  <c r="BM56" i="40"/>
  <c r="BM57" i="40"/>
  <c r="BM58" i="40"/>
  <c r="BM59" i="40"/>
  <c r="BM60" i="40"/>
  <c r="BM61" i="40"/>
  <c r="BM62" i="40"/>
  <c r="BM63" i="40"/>
  <c r="BM64" i="40"/>
  <c r="BM65" i="40"/>
  <c r="BM66" i="40"/>
  <c r="BM67" i="40"/>
  <c r="BM68" i="40"/>
  <c r="BM69" i="40"/>
  <c r="BM70" i="40"/>
  <c r="BM71" i="40"/>
  <c r="BM72" i="40"/>
  <c r="BM73" i="40"/>
  <c r="BM74" i="40"/>
  <c r="BM75" i="40"/>
  <c r="BM76" i="40"/>
  <c r="BM77" i="40"/>
  <c r="BM78" i="40"/>
  <c r="BM79" i="40"/>
  <c r="BM80" i="40"/>
  <c r="BM81" i="40"/>
  <c r="BM82" i="40"/>
  <c r="BM83" i="40"/>
  <c r="BM84" i="40"/>
  <c r="BM85" i="40"/>
  <c r="BM86" i="40"/>
  <c r="BM87" i="40"/>
  <c r="BM88" i="40"/>
  <c r="BM89" i="40"/>
  <c r="BM90" i="40"/>
  <c r="BM91" i="40"/>
  <c r="BP14" i="40"/>
  <c r="BL14" i="40"/>
  <c r="BL15" i="40"/>
  <c r="BL16" i="40"/>
  <c r="BL17" i="40"/>
  <c r="BL18" i="40"/>
  <c r="BL19" i="40"/>
  <c r="BL20" i="40"/>
  <c r="BL21" i="40"/>
  <c r="BL22" i="40"/>
  <c r="BL23" i="40"/>
  <c r="BL24" i="40"/>
  <c r="BL25" i="40"/>
  <c r="BL26" i="40"/>
  <c r="BL27" i="40"/>
  <c r="BL28" i="40"/>
  <c r="BL29" i="40"/>
  <c r="BL30" i="40"/>
  <c r="BL31" i="40"/>
  <c r="BL32" i="40"/>
  <c r="BL33" i="40"/>
  <c r="BL34" i="40"/>
  <c r="BL35" i="40"/>
  <c r="BL36" i="40"/>
  <c r="BL37" i="40"/>
  <c r="BL38" i="40"/>
  <c r="BL39" i="40"/>
  <c r="BL40" i="40"/>
  <c r="BL41" i="40"/>
  <c r="BL42" i="40"/>
  <c r="BL43" i="40"/>
  <c r="BL44" i="40"/>
  <c r="BL45" i="40"/>
  <c r="BL46" i="40"/>
  <c r="BL47" i="40"/>
  <c r="BL48" i="40"/>
  <c r="BL49" i="40"/>
  <c r="BL50" i="40"/>
  <c r="BL51" i="40"/>
  <c r="BL52" i="40"/>
  <c r="BL53" i="40"/>
  <c r="BL54" i="40"/>
  <c r="BL55" i="40"/>
  <c r="BL56" i="40"/>
  <c r="BL57" i="40"/>
  <c r="BL58" i="40"/>
  <c r="BL59" i="40"/>
  <c r="BL60" i="40"/>
  <c r="BL61" i="40"/>
  <c r="BL62" i="40"/>
  <c r="BL63" i="40"/>
  <c r="BL64" i="40"/>
  <c r="BL65" i="40"/>
  <c r="BL66" i="40"/>
  <c r="BL67" i="40"/>
  <c r="BL68" i="40"/>
  <c r="BL69" i="40"/>
  <c r="BL70" i="40"/>
  <c r="BL71" i="40"/>
  <c r="BL72" i="40"/>
  <c r="BL73" i="40"/>
  <c r="BL74" i="40"/>
  <c r="BL75" i="40"/>
  <c r="BL76" i="40"/>
  <c r="BL77" i="40"/>
  <c r="BL78" i="40"/>
  <c r="BL79" i="40"/>
  <c r="BL80" i="40"/>
  <c r="BL81" i="40"/>
  <c r="BL82" i="40"/>
  <c r="BL83" i="40"/>
  <c r="BL84" i="40"/>
  <c r="BL85" i="40"/>
  <c r="BL86" i="40"/>
  <c r="BL87" i="40"/>
  <c r="BL88" i="40"/>
  <c r="BL89" i="40"/>
  <c r="BL90" i="40"/>
  <c r="BL91" i="40"/>
  <c r="AT17" i="40"/>
  <c r="BH18" i="40"/>
  <c r="AV14" i="40"/>
  <c r="AV15" i="40"/>
  <c r="AV16" i="40"/>
  <c r="AV17" i="40"/>
  <c r="AV18" i="40"/>
  <c r="AV19" i="40"/>
  <c r="AV20" i="40"/>
  <c r="AV21" i="40"/>
  <c r="AV22" i="40"/>
  <c r="AV23" i="40"/>
  <c r="AV24" i="40"/>
  <c r="AV25" i="40"/>
  <c r="AV26" i="40"/>
  <c r="AV27" i="40"/>
  <c r="AV28" i="40"/>
  <c r="AV29" i="40"/>
  <c r="AV30" i="40"/>
  <c r="AV31" i="40"/>
  <c r="AV32" i="40"/>
  <c r="AV33" i="40"/>
  <c r="AV34" i="40"/>
  <c r="AV35" i="40"/>
  <c r="AV36" i="40"/>
  <c r="AV37" i="40"/>
  <c r="AV38" i="40"/>
  <c r="AV39" i="40"/>
  <c r="AV40" i="40"/>
  <c r="AV41" i="40"/>
  <c r="AV42" i="40"/>
  <c r="AV43" i="40"/>
  <c r="AV44" i="40"/>
  <c r="AV45" i="40"/>
  <c r="AV46" i="40"/>
  <c r="AV47" i="40"/>
  <c r="AV48" i="40"/>
  <c r="AV49" i="40"/>
  <c r="AV50" i="40"/>
  <c r="AV51" i="40"/>
  <c r="AV52" i="40"/>
  <c r="AV53" i="40"/>
  <c r="AV54" i="40"/>
  <c r="AV55" i="40"/>
  <c r="AV56" i="40"/>
  <c r="AV57" i="40"/>
  <c r="AV58" i="40"/>
  <c r="AV59" i="40"/>
  <c r="AV60" i="40"/>
  <c r="AV61" i="40"/>
  <c r="AV62" i="40"/>
  <c r="AV63" i="40"/>
  <c r="AV64" i="40"/>
  <c r="AV65" i="40"/>
  <c r="AV66" i="40"/>
  <c r="AV67" i="40"/>
  <c r="AV68" i="40"/>
  <c r="AV69" i="40"/>
  <c r="AV70" i="40"/>
  <c r="AV71" i="40"/>
  <c r="AV72" i="40"/>
  <c r="AV73" i="40"/>
  <c r="AV74" i="40"/>
  <c r="AV75" i="40"/>
  <c r="AV76" i="40"/>
  <c r="AV77" i="40"/>
  <c r="AV78" i="40"/>
  <c r="AV79" i="40"/>
  <c r="AV80" i="40"/>
  <c r="AV81" i="40"/>
  <c r="AV82" i="40"/>
  <c r="AV83" i="40"/>
  <c r="AV84" i="40"/>
  <c r="AV85" i="40"/>
  <c r="AV86" i="40"/>
  <c r="AV87" i="40"/>
  <c r="AV88" i="40"/>
  <c r="AV89" i="40"/>
  <c r="AV90" i="40"/>
  <c r="AV91" i="40"/>
  <c r="AU14" i="40"/>
  <c r="AU15" i="40"/>
  <c r="AU16" i="40"/>
  <c r="AU17" i="40"/>
  <c r="AU18" i="40"/>
  <c r="AU19" i="40"/>
  <c r="AU20" i="40"/>
  <c r="AU21" i="40"/>
  <c r="AU22" i="40"/>
  <c r="AU23" i="40"/>
  <c r="AU24" i="40"/>
  <c r="AU25" i="40"/>
  <c r="AU26" i="40"/>
  <c r="AU27" i="40"/>
  <c r="AU28" i="40"/>
  <c r="AU29" i="40"/>
  <c r="AU30" i="40"/>
  <c r="AU31" i="40"/>
  <c r="AU32" i="40"/>
  <c r="AU33" i="40"/>
  <c r="AU34" i="40"/>
  <c r="AU35" i="40"/>
  <c r="AU36" i="40"/>
  <c r="AU37" i="40"/>
  <c r="AU38" i="40"/>
  <c r="AU39" i="40"/>
  <c r="AU40" i="40"/>
  <c r="AU41" i="40"/>
  <c r="AU42" i="40"/>
  <c r="AU43" i="40"/>
  <c r="AU44" i="40"/>
  <c r="AU45" i="40"/>
  <c r="AU46" i="40"/>
  <c r="AU47" i="40"/>
  <c r="AU48" i="40"/>
  <c r="AU49" i="40"/>
  <c r="AU50" i="40"/>
  <c r="AU51" i="40"/>
  <c r="AU52" i="40"/>
  <c r="AU53" i="40"/>
  <c r="AU54" i="40"/>
  <c r="AU55" i="40"/>
  <c r="AU56" i="40"/>
  <c r="AU57" i="40"/>
  <c r="AU58" i="40"/>
  <c r="AU59" i="40"/>
  <c r="AU60" i="40"/>
  <c r="AU61" i="40"/>
  <c r="AU62" i="40"/>
  <c r="AU63" i="40"/>
  <c r="AU64" i="40"/>
  <c r="AU65" i="40"/>
  <c r="AU66" i="40"/>
  <c r="AU67" i="40"/>
  <c r="AU68" i="40"/>
  <c r="AU69" i="40"/>
  <c r="AU70" i="40"/>
  <c r="AU71" i="40"/>
  <c r="AU72" i="40"/>
  <c r="AU73" i="40"/>
  <c r="AU74" i="40"/>
  <c r="AU75" i="40"/>
  <c r="AU76" i="40"/>
  <c r="AU77" i="40"/>
  <c r="AU78" i="40"/>
  <c r="AU79" i="40"/>
  <c r="AU80" i="40"/>
  <c r="AU81" i="40"/>
  <c r="AU82" i="40"/>
  <c r="AU83" i="40"/>
  <c r="AU84" i="40"/>
  <c r="AU85" i="40"/>
  <c r="AU86" i="40"/>
  <c r="AU87" i="40"/>
  <c r="AU88" i="40"/>
  <c r="AU89" i="40"/>
  <c r="AU90" i="40"/>
  <c r="AU91" i="40"/>
  <c r="AT15" i="40"/>
  <c r="BP15" i="40"/>
  <c r="BP16" i="40"/>
  <c r="BP17" i="40"/>
  <c r="BP18" i="40"/>
  <c r="BP19" i="40"/>
  <c r="BP20" i="40"/>
  <c r="BP21" i="40"/>
  <c r="BP22" i="40"/>
  <c r="BP23" i="40"/>
  <c r="BP24" i="40"/>
  <c r="BP25" i="40"/>
  <c r="CL14" i="40"/>
  <c r="CL15" i="40"/>
  <c r="CL16" i="40"/>
  <c r="CL17" i="40"/>
  <c r="CL18" i="40"/>
  <c r="CL19" i="40"/>
  <c r="CL20" i="40"/>
  <c r="CL21" i="40"/>
  <c r="CL22" i="40"/>
  <c r="CL23" i="40"/>
  <c r="CL24" i="40"/>
  <c r="CL25" i="40"/>
  <c r="CL26" i="40"/>
  <c r="CL27" i="40"/>
  <c r="CL28" i="40"/>
  <c r="CL29" i="40"/>
  <c r="CL30" i="40"/>
  <c r="CL31" i="40"/>
  <c r="CL32" i="40"/>
  <c r="CL33" i="40"/>
  <c r="CL34" i="40"/>
  <c r="CL35" i="40"/>
  <c r="CL36" i="40"/>
  <c r="CL37" i="40"/>
  <c r="CL38" i="40"/>
  <c r="CL39" i="40"/>
  <c r="CL40" i="40"/>
  <c r="CL41" i="40"/>
  <c r="CL42" i="40"/>
  <c r="CL43" i="40"/>
  <c r="CL44" i="40"/>
  <c r="CL45" i="40"/>
  <c r="CL46" i="40"/>
  <c r="CL47" i="40"/>
  <c r="CL48" i="40"/>
  <c r="CL49" i="40"/>
  <c r="CL50" i="40"/>
  <c r="CL51" i="40"/>
  <c r="CL52" i="40"/>
  <c r="CL53" i="40"/>
  <c r="CL54" i="40"/>
  <c r="CL55" i="40"/>
  <c r="CL56" i="40"/>
  <c r="CL57" i="40"/>
  <c r="CL58" i="40"/>
  <c r="CL59" i="40"/>
  <c r="CL60" i="40"/>
  <c r="CL61" i="40"/>
  <c r="CL62" i="40"/>
  <c r="CL63" i="40"/>
  <c r="CL64" i="40"/>
  <c r="CL65" i="40"/>
  <c r="CL66" i="40"/>
  <c r="CL67" i="40"/>
  <c r="CL68" i="40"/>
  <c r="CL69" i="40"/>
  <c r="CL70" i="40"/>
  <c r="CL71" i="40"/>
  <c r="CL72" i="40"/>
  <c r="CL73" i="40"/>
  <c r="CL74" i="40"/>
  <c r="CL75" i="40"/>
  <c r="CL76" i="40"/>
  <c r="CL77" i="40"/>
  <c r="CL78" i="40"/>
  <c r="CL79" i="40"/>
  <c r="CL80" i="40"/>
  <c r="CL81" i="40"/>
  <c r="CL82" i="40"/>
  <c r="CL83" i="40"/>
  <c r="CL84" i="40"/>
  <c r="CL85" i="40"/>
  <c r="CL86" i="40"/>
  <c r="CL87" i="40"/>
  <c r="CL88" i="40"/>
  <c r="CL89" i="40"/>
  <c r="CL90" i="40"/>
  <c r="CL91" i="40"/>
  <c r="CK14" i="40"/>
  <c r="CK16" i="40"/>
  <c r="CK17" i="40"/>
  <c r="CK18" i="40"/>
  <c r="CK19" i="40"/>
  <c r="CK20" i="40"/>
  <c r="CK21" i="40"/>
  <c r="CK22" i="40"/>
  <c r="CK23" i="40"/>
  <c r="CK24" i="40"/>
  <c r="CK25" i="40"/>
  <c r="CK26" i="40"/>
  <c r="CK27" i="40"/>
  <c r="CK28" i="40"/>
  <c r="CK29" i="40"/>
  <c r="CK30" i="40"/>
  <c r="CK31" i="40"/>
  <c r="CK32" i="40"/>
  <c r="CK33" i="40"/>
  <c r="CK34" i="40"/>
  <c r="CK35" i="40"/>
  <c r="CK36" i="40"/>
  <c r="CK37" i="40"/>
  <c r="CK38" i="40"/>
  <c r="CK39" i="40"/>
  <c r="CK40" i="40"/>
  <c r="CK41" i="40"/>
  <c r="CK42" i="40"/>
  <c r="CK43" i="40"/>
  <c r="CK44" i="40"/>
  <c r="CK45" i="40"/>
  <c r="CK46" i="40"/>
  <c r="CK47" i="40"/>
  <c r="CK48" i="40"/>
  <c r="CK49" i="40"/>
  <c r="CK50" i="40"/>
  <c r="CK51" i="40"/>
  <c r="CK52" i="40"/>
  <c r="CK53" i="40"/>
  <c r="CK54" i="40"/>
  <c r="CK55" i="40"/>
  <c r="CK56" i="40"/>
  <c r="CK57" i="40"/>
  <c r="CK58" i="40"/>
  <c r="CK59" i="40"/>
  <c r="CK60" i="40"/>
  <c r="CK61" i="40"/>
  <c r="CK62" i="40"/>
  <c r="CK63" i="40"/>
  <c r="CK64" i="40"/>
  <c r="CK65" i="40"/>
  <c r="CK66" i="40"/>
  <c r="CK67" i="40"/>
  <c r="CK68" i="40"/>
  <c r="CK69" i="40"/>
  <c r="CK70" i="40"/>
  <c r="CK71" i="40"/>
  <c r="CK72" i="40"/>
  <c r="CK73" i="40"/>
  <c r="CK74" i="40"/>
  <c r="CK75" i="40"/>
  <c r="CK76" i="40"/>
  <c r="CK77" i="40"/>
  <c r="CK78" i="40"/>
  <c r="CK79" i="40"/>
  <c r="CK80" i="40"/>
  <c r="CK81" i="40"/>
  <c r="CK82" i="40"/>
  <c r="CK83" i="40"/>
  <c r="CK84" i="40"/>
  <c r="CK85" i="40"/>
  <c r="CK86" i="40"/>
  <c r="CK87" i="40"/>
  <c r="CK88" i="40"/>
  <c r="CK89" i="40"/>
  <c r="CK90" i="40"/>
  <c r="CK91" i="40"/>
  <c r="CI14" i="40"/>
  <c r="CI15" i="40"/>
  <c r="CI16" i="40"/>
  <c r="CI17" i="40"/>
  <c r="CI18" i="40"/>
  <c r="CI19" i="40"/>
  <c r="CI20" i="40"/>
  <c r="CI21" i="40"/>
  <c r="CI22" i="40"/>
  <c r="CI23" i="40"/>
  <c r="CI24" i="40"/>
  <c r="CI25" i="40"/>
  <c r="CI26" i="40"/>
  <c r="CI27" i="40"/>
  <c r="CI28" i="40"/>
  <c r="CI29" i="40"/>
  <c r="CI30" i="40"/>
  <c r="CI31" i="40"/>
  <c r="CI32" i="40"/>
  <c r="CI33" i="40"/>
  <c r="CI34" i="40"/>
  <c r="CI35" i="40"/>
  <c r="CI36" i="40"/>
  <c r="CI37" i="40"/>
  <c r="CI38" i="40"/>
  <c r="CI39" i="40"/>
  <c r="CI40" i="40"/>
  <c r="CI41" i="40"/>
  <c r="CI42" i="40"/>
  <c r="CI43" i="40"/>
  <c r="CI44" i="40"/>
  <c r="CI45" i="40"/>
  <c r="CI46" i="40"/>
  <c r="CI47" i="40"/>
  <c r="CI48" i="40"/>
  <c r="CI49" i="40"/>
  <c r="CI50" i="40"/>
  <c r="CI51" i="40"/>
  <c r="CI52" i="40"/>
  <c r="CI53" i="40"/>
  <c r="CI54" i="40"/>
  <c r="CI55" i="40"/>
  <c r="CI56" i="40"/>
  <c r="CI57" i="40"/>
  <c r="CI58" i="40"/>
  <c r="CI59" i="40"/>
  <c r="CI60" i="40"/>
  <c r="CI61" i="40"/>
  <c r="CI62" i="40"/>
  <c r="CI63" i="40"/>
  <c r="CI64" i="40"/>
  <c r="CI65" i="40"/>
  <c r="CI66" i="40"/>
  <c r="CI67" i="40"/>
  <c r="CI68" i="40"/>
  <c r="CI69" i="40"/>
  <c r="CI70" i="40"/>
  <c r="CI71" i="40"/>
  <c r="CI72" i="40"/>
  <c r="CI73" i="40"/>
  <c r="CI74" i="40"/>
  <c r="CI75" i="40"/>
  <c r="CI76" i="40"/>
  <c r="CI77" i="40"/>
  <c r="CI78" i="40"/>
  <c r="CI79" i="40"/>
  <c r="CI80" i="40"/>
  <c r="CI81" i="40"/>
  <c r="CI82" i="40"/>
  <c r="CI83" i="40"/>
  <c r="CI84" i="40"/>
  <c r="CI85" i="40"/>
  <c r="CI86" i="40"/>
  <c r="CI87" i="40"/>
  <c r="CI88" i="40"/>
  <c r="CI89" i="40"/>
  <c r="CI90" i="40"/>
  <c r="CI91" i="40"/>
  <c r="CH14" i="40"/>
  <c r="CH15" i="40"/>
  <c r="CH16" i="40"/>
  <c r="CH17" i="40"/>
  <c r="CH18" i="40"/>
  <c r="CH19" i="40"/>
  <c r="CH20" i="40"/>
  <c r="CH21" i="40"/>
  <c r="CH22" i="40"/>
  <c r="CH23" i="40"/>
  <c r="CH24" i="40"/>
  <c r="CH25" i="40"/>
  <c r="CH26" i="40"/>
  <c r="CH27" i="40"/>
  <c r="CH28" i="40"/>
  <c r="CH29" i="40"/>
  <c r="CH30" i="40"/>
  <c r="CH31" i="40"/>
  <c r="CH32" i="40"/>
  <c r="CH33" i="40"/>
  <c r="CH34" i="40"/>
  <c r="CH35" i="40"/>
  <c r="CH36" i="40"/>
  <c r="CH37" i="40"/>
  <c r="CH38" i="40"/>
  <c r="CH39" i="40"/>
  <c r="CH40" i="40"/>
  <c r="CH41" i="40"/>
  <c r="CH42" i="40"/>
  <c r="CH43" i="40"/>
  <c r="CH44" i="40"/>
  <c r="CH45" i="40"/>
  <c r="CH46" i="40"/>
  <c r="CH47" i="40"/>
  <c r="CH48" i="40"/>
  <c r="CH49" i="40"/>
  <c r="CH50" i="40"/>
  <c r="CH51" i="40"/>
  <c r="CH52" i="40"/>
  <c r="CH53" i="40"/>
  <c r="CH54" i="40"/>
  <c r="CH55" i="40"/>
  <c r="CH56" i="40"/>
  <c r="CH57" i="40"/>
  <c r="CH58" i="40"/>
  <c r="CH59" i="40"/>
  <c r="CH60" i="40"/>
  <c r="CH61" i="40"/>
  <c r="CH62" i="40"/>
  <c r="CH63" i="40"/>
  <c r="CH64" i="40"/>
  <c r="CH65" i="40"/>
  <c r="CH66" i="40"/>
  <c r="CH67" i="40"/>
  <c r="CH68" i="40"/>
  <c r="CH69" i="40"/>
  <c r="CH70" i="40"/>
  <c r="CH71" i="40"/>
  <c r="CH72" i="40"/>
  <c r="CH73" i="40"/>
  <c r="CH74" i="40"/>
  <c r="CH75" i="40"/>
  <c r="CH76" i="40"/>
  <c r="CH77" i="40"/>
  <c r="CH78" i="40"/>
  <c r="CH79" i="40"/>
  <c r="CH80" i="40"/>
  <c r="CH81" i="40"/>
  <c r="CH82" i="40"/>
  <c r="CH83" i="40"/>
  <c r="CH84" i="40"/>
  <c r="CH85" i="40"/>
  <c r="CH86" i="40"/>
  <c r="CH87" i="40"/>
  <c r="CH88" i="40"/>
  <c r="CH89" i="40"/>
  <c r="CH90" i="40"/>
  <c r="CH91" i="40"/>
  <c r="CG14" i="40"/>
  <c r="CG15" i="40"/>
  <c r="CF15" i="40"/>
  <c r="CF14" i="40"/>
  <c r="CF16" i="40"/>
  <c r="CF17" i="40"/>
  <c r="CF18" i="40"/>
  <c r="CF19" i="40"/>
  <c r="CF20" i="40"/>
  <c r="CF21" i="40"/>
  <c r="CF22" i="40"/>
  <c r="CF23" i="40"/>
  <c r="CF24" i="40"/>
  <c r="CF25" i="40"/>
  <c r="CF26" i="40"/>
  <c r="CF27" i="40"/>
  <c r="CF28" i="40"/>
  <c r="CF29" i="40"/>
  <c r="CF30" i="40"/>
  <c r="CF31" i="40"/>
  <c r="CF32" i="40"/>
  <c r="CF33" i="40"/>
  <c r="CF34" i="40"/>
  <c r="CF35" i="40"/>
  <c r="CF36" i="40"/>
  <c r="CF37" i="40"/>
  <c r="CF38" i="40"/>
  <c r="CF39" i="40"/>
  <c r="CF40" i="40"/>
  <c r="CF41" i="40"/>
  <c r="CF42" i="40"/>
  <c r="CF43" i="40"/>
  <c r="CF44" i="40"/>
  <c r="CF45" i="40"/>
  <c r="CF46" i="40"/>
  <c r="CF47" i="40"/>
  <c r="CF48" i="40"/>
  <c r="CF49" i="40"/>
  <c r="CF50" i="40"/>
  <c r="CF51" i="40"/>
  <c r="CF52" i="40"/>
  <c r="CF53" i="40"/>
  <c r="CF54" i="40"/>
  <c r="CF55" i="40"/>
  <c r="CF56" i="40"/>
  <c r="CF57" i="40"/>
  <c r="CF58" i="40"/>
  <c r="CF59" i="40"/>
  <c r="CF60" i="40"/>
  <c r="CF61" i="40"/>
  <c r="CF62" i="40"/>
  <c r="CF63" i="40"/>
  <c r="CF64" i="40"/>
  <c r="CF65" i="40"/>
  <c r="CF66" i="40"/>
  <c r="CF67" i="40"/>
  <c r="CF68" i="40"/>
  <c r="CF69" i="40"/>
  <c r="CF70" i="40"/>
  <c r="CF71" i="40"/>
  <c r="CF72" i="40"/>
  <c r="CF73" i="40"/>
  <c r="CF74" i="40"/>
  <c r="CF75" i="40"/>
  <c r="CF76" i="40"/>
  <c r="CF77" i="40"/>
  <c r="CF78" i="40"/>
  <c r="CF79" i="40"/>
  <c r="CF80" i="40"/>
  <c r="CF81" i="40"/>
  <c r="CF82" i="40"/>
  <c r="CF83" i="40"/>
  <c r="CF84" i="40"/>
  <c r="CF85" i="40"/>
  <c r="CF86" i="40"/>
  <c r="CF87" i="40"/>
  <c r="CF88" i="40"/>
  <c r="CF89" i="40"/>
  <c r="CF90" i="40"/>
  <c r="CF91" i="40"/>
  <c r="CE14" i="40"/>
  <c r="CE15" i="40"/>
  <c r="CE16" i="40"/>
  <c r="CG16" i="40" s="1"/>
  <c r="CE17" i="40"/>
  <c r="CE18" i="40"/>
  <c r="CE19" i="40"/>
  <c r="CG19" i="40" s="1"/>
  <c r="CE20" i="40"/>
  <c r="CG20" i="40" s="1"/>
  <c r="CE21" i="40"/>
  <c r="CE22" i="40"/>
  <c r="CE23" i="40"/>
  <c r="CG23" i="40" s="1"/>
  <c r="CE24" i="40"/>
  <c r="CG24" i="40" s="1"/>
  <c r="CE25" i="40"/>
  <c r="CE26" i="40"/>
  <c r="CE27" i="40"/>
  <c r="CE28" i="40"/>
  <c r="CE29" i="40"/>
  <c r="CE30" i="40"/>
  <c r="CE31" i="40"/>
  <c r="CE32" i="40"/>
  <c r="CE33" i="40"/>
  <c r="CE34" i="40"/>
  <c r="CE35" i="40"/>
  <c r="CE36" i="40"/>
  <c r="CE37" i="40"/>
  <c r="CE38" i="40"/>
  <c r="CE39" i="40"/>
  <c r="CE40" i="40"/>
  <c r="CE41" i="40"/>
  <c r="CE42" i="40"/>
  <c r="CE43" i="40"/>
  <c r="CE44" i="40"/>
  <c r="CE45" i="40"/>
  <c r="CE46" i="40"/>
  <c r="CE47" i="40"/>
  <c r="CE48" i="40"/>
  <c r="CE49" i="40"/>
  <c r="CE50" i="40"/>
  <c r="CE51" i="40"/>
  <c r="CE52" i="40"/>
  <c r="CE53" i="40"/>
  <c r="CE54" i="40"/>
  <c r="CE55" i="40"/>
  <c r="CE56" i="40"/>
  <c r="CE57" i="40"/>
  <c r="CE58" i="40"/>
  <c r="CE59" i="40"/>
  <c r="CE60" i="40"/>
  <c r="CE61" i="40"/>
  <c r="CE62" i="40"/>
  <c r="CE63" i="40"/>
  <c r="CE64" i="40"/>
  <c r="CE65" i="40"/>
  <c r="CE66" i="40"/>
  <c r="CE67" i="40"/>
  <c r="CE68" i="40"/>
  <c r="CE69" i="40"/>
  <c r="CE70" i="40"/>
  <c r="CE71" i="40"/>
  <c r="CE72" i="40"/>
  <c r="CE73" i="40"/>
  <c r="CE74" i="40"/>
  <c r="CE75" i="40"/>
  <c r="CE76" i="40"/>
  <c r="CE77" i="40"/>
  <c r="CE78" i="40"/>
  <c r="CE79" i="40"/>
  <c r="CE80" i="40"/>
  <c r="CE81" i="40"/>
  <c r="CE82" i="40"/>
  <c r="CE83" i="40"/>
  <c r="CE84" i="40"/>
  <c r="CE85" i="40"/>
  <c r="CE86" i="40"/>
  <c r="CE87" i="40"/>
  <c r="CE88" i="40"/>
  <c r="CE89" i="40"/>
  <c r="CE90" i="40"/>
  <c r="CE91" i="40"/>
  <c r="CD14" i="40"/>
  <c r="CD15" i="40"/>
  <c r="CD16" i="40"/>
  <c r="CD17" i="40"/>
  <c r="CD18" i="40"/>
  <c r="CD19" i="40"/>
  <c r="CD20" i="40"/>
  <c r="CD21" i="40"/>
  <c r="CD22" i="40"/>
  <c r="CD23" i="40"/>
  <c r="CD24" i="40"/>
  <c r="CD25" i="40"/>
  <c r="CD26" i="40"/>
  <c r="CD27" i="40"/>
  <c r="CD28" i="40"/>
  <c r="CD29" i="40"/>
  <c r="CD30" i="40"/>
  <c r="CD31" i="40"/>
  <c r="CD32" i="40"/>
  <c r="CD33" i="40"/>
  <c r="CD34" i="40"/>
  <c r="CD35" i="40"/>
  <c r="CD36" i="40"/>
  <c r="CD37" i="40"/>
  <c r="CD38" i="40"/>
  <c r="CD39" i="40"/>
  <c r="CD40" i="40"/>
  <c r="CD41" i="40"/>
  <c r="CD42" i="40"/>
  <c r="CD43" i="40"/>
  <c r="CD44" i="40"/>
  <c r="CD45" i="40"/>
  <c r="CD46" i="40"/>
  <c r="CD47" i="40"/>
  <c r="CD48" i="40"/>
  <c r="CD49" i="40"/>
  <c r="CD50" i="40"/>
  <c r="CD51" i="40"/>
  <c r="CD52" i="40"/>
  <c r="CD53" i="40"/>
  <c r="CD54" i="40"/>
  <c r="CD55" i="40"/>
  <c r="CD56" i="40"/>
  <c r="CD57" i="40"/>
  <c r="CD58" i="40"/>
  <c r="CD59" i="40"/>
  <c r="CD60" i="40"/>
  <c r="CD61" i="40"/>
  <c r="CD62" i="40"/>
  <c r="CD63" i="40"/>
  <c r="CD64" i="40"/>
  <c r="CD65" i="40"/>
  <c r="CD66" i="40"/>
  <c r="CD67" i="40"/>
  <c r="CD68" i="40"/>
  <c r="CD69" i="40"/>
  <c r="CD70" i="40"/>
  <c r="CD71" i="40"/>
  <c r="CD72" i="40"/>
  <c r="CD73" i="40"/>
  <c r="CD74" i="40"/>
  <c r="CD75" i="40"/>
  <c r="CD76" i="40"/>
  <c r="CD77" i="40"/>
  <c r="CD78" i="40"/>
  <c r="CD79" i="40"/>
  <c r="CD80" i="40"/>
  <c r="CD81" i="40"/>
  <c r="CD82" i="40"/>
  <c r="CD83" i="40"/>
  <c r="CD84" i="40"/>
  <c r="CD85" i="40"/>
  <c r="CD86" i="40"/>
  <c r="CD87" i="40"/>
  <c r="CD88" i="40"/>
  <c r="CD89" i="40"/>
  <c r="CD90" i="40"/>
  <c r="CD91" i="40"/>
  <c r="BX14" i="40"/>
  <c r="BX15" i="40"/>
  <c r="BX16" i="40"/>
  <c r="BX17" i="40"/>
  <c r="BX18" i="40"/>
  <c r="BX19" i="40"/>
  <c r="BX20" i="40"/>
  <c r="BX21" i="40"/>
  <c r="BX22" i="40"/>
  <c r="BX23" i="40"/>
  <c r="BX24" i="40"/>
  <c r="BX25" i="40"/>
  <c r="BX26" i="40"/>
  <c r="BX27" i="40"/>
  <c r="BX28" i="40"/>
  <c r="BX29" i="40"/>
  <c r="BX30" i="40"/>
  <c r="BX31" i="40"/>
  <c r="BX32" i="40"/>
  <c r="BX33" i="40"/>
  <c r="BX34" i="40"/>
  <c r="BX35" i="40"/>
  <c r="BX36" i="40"/>
  <c r="BX37" i="40"/>
  <c r="BX38" i="40"/>
  <c r="BX39" i="40"/>
  <c r="BX40" i="40"/>
  <c r="BX41" i="40"/>
  <c r="BX42" i="40"/>
  <c r="BX43" i="40"/>
  <c r="BX44" i="40"/>
  <c r="BX45" i="40"/>
  <c r="BX46" i="40"/>
  <c r="BX47" i="40"/>
  <c r="BX48" i="40"/>
  <c r="BX49" i="40"/>
  <c r="BX50" i="40"/>
  <c r="BX51" i="40"/>
  <c r="BX52" i="40"/>
  <c r="BX53" i="40"/>
  <c r="BX54" i="40"/>
  <c r="BX55" i="40"/>
  <c r="BX56" i="40"/>
  <c r="BX57" i="40"/>
  <c r="BX58" i="40"/>
  <c r="BX59" i="40"/>
  <c r="BX60" i="40"/>
  <c r="BX61" i="40"/>
  <c r="BX62" i="40"/>
  <c r="BX63" i="40"/>
  <c r="BX64" i="40"/>
  <c r="BX65" i="40"/>
  <c r="BX66" i="40"/>
  <c r="BX67" i="40"/>
  <c r="BX68" i="40"/>
  <c r="BX69" i="40"/>
  <c r="BX70" i="40"/>
  <c r="BX71" i="40"/>
  <c r="BX72" i="40"/>
  <c r="BX73" i="40"/>
  <c r="BX74" i="40"/>
  <c r="BX75" i="40"/>
  <c r="BX76" i="40"/>
  <c r="BX77" i="40"/>
  <c r="BX78" i="40"/>
  <c r="BX79" i="40"/>
  <c r="BX80" i="40"/>
  <c r="BX81" i="40"/>
  <c r="BX82" i="40"/>
  <c r="BX83" i="40"/>
  <c r="BX84" i="40"/>
  <c r="BX85" i="40"/>
  <c r="BX86" i="40"/>
  <c r="BX87" i="40"/>
  <c r="BX88" i="40"/>
  <c r="BX89" i="40"/>
  <c r="BX90" i="40"/>
  <c r="BX91" i="40"/>
  <c r="BC14" i="40"/>
  <c r="BC15" i="40"/>
  <c r="BC16" i="40"/>
  <c r="BC17" i="40"/>
  <c r="BC18" i="40"/>
  <c r="BC19" i="40"/>
  <c r="BC20" i="40"/>
  <c r="BC21" i="40"/>
  <c r="BC22" i="40"/>
  <c r="BC23" i="40"/>
  <c r="BC24" i="40"/>
  <c r="BC25" i="40"/>
  <c r="BC26" i="40"/>
  <c r="BC27" i="40"/>
  <c r="BC28" i="40"/>
  <c r="BC29" i="40"/>
  <c r="BC30" i="40"/>
  <c r="BC31" i="40"/>
  <c r="BC32" i="40"/>
  <c r="BC33" i="40"/>
  <c r="BC34" i="40"/>
  <c r="BC35" i="40"/>
  <c r="BC36" i="40"/>
  <c r="BC37" i="40"/>
  <c r="BC38" i="40"/>
  <c r="BC39" i="40"/>
  <c r="BC40" i="40"/>
  <c r="BC41" i="40"/>
  <c r="BC42" i="40"/>
  <c r="BC43" i="40"/>
  <c r="BC44" i="40"/>
  <c r="BC45" i="40"/>
  <c r="BC46" i="40"/>
  <c r="BC47" i="40"/>
  <c r="BC48" i="40"/>
  <c r="BC49" i="40"/>
  <c r="BC50" i="40"/>
  <c r="BC51" i="40"/>
  <c r="BC52" i="40"/>
  <c r="BC53" i="40"/>
  <c r="BC54" i="40"/>
  <c r="BC55" i="40"/>
  <c r="BC56" i="40"/>
  <c r="BC57" i="40"/>
  <c r="BC58" i="40"/>
  <c r="BC59" i="40"/>
  <c r="BC60" i="40"/>
  <c r="BC61" i="40"/>
  <c r="BC62" i="40"/>
  <c r="BC63" i="40"/>
  <c r="BC64" i="40"/>
  <c r="BC65" i="40"/>
  <c r="BC66" i="40"/>
  <c r="BC67" i="40"/>
  <c r="BC68" i="40"/>
  <c r="BC69" i="40"/>
  <c r="BC70" i="40"/>
  <c r="BC71" i="40"/>
  <c r="BC72" i="40"/>
  <c r="BC73" i="40"/>
  <c r="BC74" i="40"/>
  <c r="BC75" i="40"/>
  <c r="BC76" i="40"/>
  <c r="BC77" i="40"/>
  <c r="BC78" i="40"/>
  <c r="BC79" i="40"/>
  <c r="BC80" i="40"/>
  <c r="BC81" i="40"/>
  <c r="BC82" i="40"/>
  <c r="BC83" i="40"/>
  <c r="BC84" i="40"/>
  <c r="BC85" i="40"/>
  <c r="BC86" i="40"/>
  <c r="BC87" i="40"/>
  <c r="BC88" i="40"/>
  <c r="BC89" i="40"/>
  <c r="BC90" i="40"/>
  <c r="BC91" i="40"/>
  <c r="CG90" i="40" l="1"/>
  <c r="CG86" i="40"/>
  <c r="CG82" i="40"/>
  <c r="CG78" i="40"/>
  <c r="CG74" i="40"/>
  <c r="CG70" i="40"/>
  <c r="CG66" i="40"/>
  <c r="CG62" i="40"/>
  <c r="CG58" i="40"/>
  <c r="CG54" i="40"/>
  <c r="CG50" i="40"/>
  <c r="CG46" i="40"/>
  <c r="CG42" i="40"/>
  <c r="CG38" i="40"/>
  <c r="CG34" i="40"/>
  <c r="CG30" i="40"/>
  <c r="CG26" i="40"/>
  <c r="CG89" i="40"/>
  <c r="CJ89" i="40" s="1"/>
  <c r="CG85" i="40"/>
  <c r="CJ85" i="40" s="1"/>
  <c r="CT85" i="40" s="1"/>
  <c r="CG81" i="40"/>
  <c r="CJ81" i="40" s="1"/>
  <c r="CG77" i="40"/>
  <c r="CJ77" i="40" s="1"/>
  <c r="CG73" i="40"/>
  <c r="CJ73" i="40" s="1"/>
  <c r="CT73" i="40" s="1"/>
  <c r="CG69" i="40"/>
  <c r="CJ69" i="40" s="1"/>
  <c r="CG65" i="40"/>
  <c r="CJ65" i="40" s="1"/>
  <c r="CG61" i="40"/>
  <c r="CJ61" i="40" s="1"/>
  <c r="CG57" i="40"/>
  <c r="CJ57" i="40" s="1"/>
  <c r="CG53" i="40"/>
  <c r="CJ53" i="40" s="1"/>
  <c r="CG49" i="40"/>
  <c r="CJ49" i="40" s="1"/>
  <c r="CG45" i="40"/>
  <c r="CJ45" i="40" s="1"/>
  <c r="CG41" i="40"/>
  <c r="CJ41" i="40" s="1"/>
  <c r="CG37" i="40"/>
  <c r="CJ37" i="40" s="1"/>
  <c r="CG33" i="40"/>
  <c r="CJ33" i="40" s="1"/>
  <c r="CG29" i="40"/>
  <c r="CJ29" i="40" s="1"/>
  <c r="CG88" i="40"/>
  <c r="CJ88" i="40" s="1"/>
  <c r="CG84" i="40"/>
  <c r="CJ84" i="40" s="1"/>
  <c r="CG80" i="40"/>
  <c r="CJ80" i="40" s="1"/>
  <c r="CG76" i="40"/>
  <c r="CJ76" i="40" s="1"/>
  <c r="CG72" i="40"/>
  <c r="CJ72" i="40" s="1"/>
  <c r="CG68" i="40"/>
  <c r="CJ68" i="40" s="1"/>
  <c r="CG64" i="40"/>
  <c r="CJ64" i="40" s="1"/>
  <c r="CG60" i="40"/>
  <c r="CJ60" i="40" s="1"/>
  <c r="CG56" i="40"/>
  <c r="CJ56" i="40" s="1"/>
  <c r="CG52" i="40"/>
  <c r="CJ52" i="40" s="1"/>
  <c r="CG48" i="40"/>
  <c r="CJ48" i="40" s="1"/>
  <c r="CG44" i="40"/>
  <c r="CJ44" i="40" s="1"/>
  <c r="CG40" i="40"/>
  <c r="CJ40" i="40" s="1"/>
  <c r="CG36" i="40"/>
  <c r="CJ36" i="40" s="1"/>
  <c r="CG32" i="40"/>
  <c r="CJ32" i="40" s="1"/>
  <c r="CG28" i="40"/>
  <c r="CJ28" i="40" s="1"/>
  <c r="CG91" i="40"/>
  <c r="CG87" i="40"/>
  <c r="CG83" i="40"/>
  <c r="CG79" i="40"/>
  <c r="CG75" i="40"/>
  <c r="CG71" i="40"/>
  <c r="CG67" i="40"/>
  <c r="CG63" i="40"/>
  <c r="CG59" i="40"/>
  <c r="CG55" i="40"/>
  <c r="CG51" i="40"/>
  <c r="CG47" i="40"/>
  <c r="CG43" i="40"/>
  <c r="CG39" i="40"/>
  <c r="CG35" i="40"/>
  <c r="CG31" i="40"/>
  <c r="CG27" i="40"/>
  <c r="CG25" i="40"/>
  <c r="CJ25" i="40" s="1"/>
  <c r="CG22" i="40"/>
  <c r="CG18" i="40"/>
  <c r="CG21" i="40"/>
  <c r="CJ21" i="40" s="1"/>
  <c r="CG17" i="40"/>
  <c r="CJ17" i="40" s="1"/>
  <c r="CJ22" i="40"/>
  <c r="CJ18" i="40"/>
  <c r="CJ24" i="40"/>
  <c r="CJ20" i="40"/>
  <c r="CJ16" i="40"/>
  <c r="CJ23" i="40"/>
  <c r="CJ19" i="40"/>
  <c r="DK15" i="40"/>
  <c r="DG15" i="40"/>
  <c r="CT15" i="40"/>
  <c r="CP15" i="40"/>
  <c r="DK14" i="40"/>
  <c r="DG14" i="40"/>
  <c r="CP14" i="40"/>
  <c r="CT14" i="40"/>
  <c r="DK85" i="40"/>
  <c r="DK77" i="40"/>
  <c r="CT77" i="40"/>
  <c r="DK73" i="40"/>
  <c r="CJ91" i="40"/>
  <c r="DK91" i="40" s="1"/>
  <c r="CJ87" i="40"/>
  <c r="CJ83" i="40"/>
  <c r="CJ79" i="40"/>
  <c r="CJ75" i="40"/>
  <c r="DK75" i="40" s="1"/>
  <c r="CJ71" i="40"/>
  <c r="CJ67" i="40"/>
  <c r="CJ63" i="40"/>
  <c r="CJ59" i="40"/>
  <c r="CJ55" i="40"/>
  <c r="CJ51" i="40"/>
  <c r="CJ47" i="40"/>
  <c r="CJ43" i="40"/>
  <c r="DK43" i="40" s="1"/>
  <c r="CJ39" i="40"/>
  <c r="CJ35" i="40"/>
  <c r="CJ31" i="40"/>
  <c r="CJ27" i="40"/>
  <c r="CJ15" i="40"/>
  <c r="DK80" i="40"/>
  <c r="CT80" i="40"/>
  <c r="CJ90" i="40"/>
  <c r="CJ86" i="40"/>
  <c r="CJ82" i="40"/>
  <c r="CJ78" i="40"/>
  <c r="CJ74" i="40"/>
  <c r="CJ70" i="40"/>
  <c r="DK70" i="40" s="1"/>
  <c r="CJ66" i="40"/>
  <c r="CJ62" i="40"/>
  <c r="CJ58" i="40"/>
  <c r="CJ54" i="40"/>
  <c r="CJ50" i="40"/>
  <c r="CJ46" i="40"/>
  <c r="CJ42" i="40"/>
  <c r="CT42" i="40" s="1"/>
  <c r="CJ38" i="40"/>
  <c r="CJ34" i="40"/>
  <c r="CJ30" i="40"/>
  <c r="CJ26" i="40"/>
  <c r="CJ14" i="40"/>
  <c r="DK42" i="40" l="1"/>
  <c r="CT43" i="40"/>
  <c r="CT75" i="40"/>
  <c r="CT91" i="40"/>
  <c r="CT70" i="40"/>
  <c r="BD14" i="40" l="1"/>
  <c r="BD15" i="40"/>
  <c r="BD16" i="40"/>
  <c r="BD17" i="40"/>
  <c r="BD18" i="40"/>
  <c r="BD19" i="40"/>
  <c r="BD20" i="40"/>
  <c r="BD21" i="40"/>
  <c r="BD22" i="40"/>
  <c r="BD23" i="40"/>
  <c r="BD24" i="40"/>
  <c r="BD25" i="40"/>
  <c r="BD26" i="40"/>
  <c r="BD27" i="40"/>
  <c r="BD28" i="40"/>
  <c r="BD29" i="40"/>
  <c r="BD30" i="40"/>
  <c r="BD31" i="40"/>
  <c r="BD32" i="40"/>
  <c r="BD33" i="40"/>
  <c r="BD34" i="40"/>
  <c r="BD35" i="40"/>
  <c r="BD36" i="40"/>
  <c r="BD37" i="40"/>
  <c r="BD38" i="40"/>
  <c r="BD39" i="40"/>
  <c r="BD40" i="40"/>
  <c r="BD41" i="40"/>
  <c r="BD42" i="40"/>
  <c r="BD43" i="40"/>
  <c r="BD44" i="40"/>
  <c r="BD45" i="40"/>
  <c r="BD46" i="40"/>
  <c r="BD47" i="40"/>
  <c r="BD48" i="40"/>
  <c r="BD49" i="40"/>
  <c r="BD50" i="40"/>
  <c r="BD51" i="40"/>
  <c r="BD52" i="40"/>
  <c r="BD53" i="40"/>
  <c r="BD54" i="40"/>
  <c r="BD55" i="40"/>
  <c r="BD56" i="40"/>
  <c r="BD57" i="40"/>
  <c r="BD58" i="40"/>
  <c r="BD59" i="40"/>
  <c r="BD60" i="40"/>
  <c r="BD61" i="40"/>
  <c r="BD62" i="40"/>
  <c r="BD63" i="40"/>
  <c r="BD64" i="40"/>
  <c r="BD65" i="40"/>
  <c r="BD66" i="40"/>
  <c r="BD67" i="40"/>
  <c r="BD68" i="40"/>
  <c r="BD69" i="40"/>
  <c r="BD70" i="40"/>
  <c r="BD71" i="40"/>
  <c r="BD72" i="40"/>
  <c r="BD73" i="40"/>
  <c r="BD74" i="40"/>
  <c r="BD75" i="40"/>
  <c r="BD76" i="40"/>
  <c r="BD77" i="40"/>
  <c r="BD78" i="40"/>
  <c r="BD79" i="40"/>
  <c r="BD80" i="40"/>
  <c r="BD81" i="40"/>
  <c r="BD82" i="40"/>
  <c r="BD83" i="40"/>
  <c r="BD84" i="40"/>
  <c r="BD85" i="40"/>
  <c r="BD86" i="40"/>
  <c r="BD87" i="40"/>
  <c r="BD88" i="40"/>
  <c r="BD89" i="40"/>
  <c r="BD90" i="40"/>
  <c r="BD91" i="40"/>
  <c r="CN15" i="40" l="1"/>
  <c r="CN16" i="40"/>
  <c r="CN17" i="40"/>
  <c r="CN18" i="40"/>
  <c r="CN19" i="40"/>
  <c r="CN20" i="40"/>
  <c r="CN21" i="40"/>
  <c r="CN22" i="40"/>
  <c r="CN23" i="40"/>
  <c r="CN24" i="40"/>
  <c r="CN25" i="40"/>
  <c r="CN26" i="40"/>
  <c r="CN27" i="40"/>
  <c r="CN28" i="40"/>
  <c r="CN29" i="40"/>
  <c r="CN30" i="40"/>
  <c r="CN31" i="40"/>
  <c r="CN32" i="40"/>
  <c r="CN33" i="40"/>
  <c r="CN34" i="40"/>
  <c r="CN35" i="40"/>
  <c r="CN36" i="40"/>
  <c r="CN37" i="40"/>
  <c r="CN38" i="40"/>
  <c r="CN39" i="40"/>
  <c r="CN40" i="40"/>
  <c r="CN41" i="40"/>
  <c r="CN42" i="40"/>
  <c r="CN43" i="40"/>
  <c r="CN44" i="40"/>
  <c r="CN45" i="40"/>
  <c r="CN46" i="40"/>
  <c r="CN47" i="40"/>
  <c r="CN48" i="40"/>
  <c r="CN49" i="40"/>
  <c r="CN50" i="40"/>
  <c r="CN51" i="40"/>
  <c r="CN52" i="40"/>
  <c r="CN53" i="40"/>
  <c r="CN54" i="40"/>
  <c r="CN55" i="40"/>
  <c r="CN56" i="40"/>
  <c r="CN57" i="40"/>
  <c r="CN58" i="40"/>
  <c r="CN59" i="40"/>
  <c r="CN60" i="40"/>
  <c r="CN61" i="40"/>
  <c r="CN62" i="40"/>
  <c r="CN63" i="40"/>
  <c r="CN64" i="40"/>
  <c r="CN65" i="40"/>
  <c r="CN66" i="40"/>
  <c r="CN67" i="40"/>
  <c r="CN68" i="40"/>
  <c r="CN69" i="40"/>
  <c r="CN70" i="40"/>
  <c r="CN71" i="40"/>
  <c r="CN72" i="40"/>
  <c r="CN73" i="40"/>
  <c r="CN74" i="40"/>
  <c r="CN75" i="40"/>
  <c r="CN76" i="40"/>
  <c r="CN77" i="40"/>
  <c r="CN78" i="40"/>
  <c r="CN79" i="40"/>
  <c r="CN80" i="40"/>
  <c r="CN81" i="40"/>
  <c r="CN82" i="40"/>
  <c r="CN83" i="40"/>
  <c r="CN84" i="40"/>
  <c r="CN85" i="40"/>
  <c r="CN86" i="40"/>
  <c r="CN87" i="40"/>
  <c r="CN88" i="40"/>
  <c r="CN89" i="40"/>
  <c r="CN90" i="40"/>
  <c r="CN91" i="40"/>
  <c r="BY15" i="40"/>
  <c r="BY16" i="40"/>
  <c r="BY17" i="40"/>
  <c r="BY18" i="40"/>
  <c r="BY19" i="40"/>
  <c r="BY20" i="40"/>
  <c r="BY21" i="40"/>
  <c r="BY22" i="40"/>
  <c r="BY23" i="40"/>
  <c r="BY24" i="40"/>
  <c r="BY25" i="40"/>
  <c r="BY26" i="40"/>
  <c r="BY27" i="40"/>
  <c r="BY28" i="40"/>
  <c r="BY29" i="40"/>
  <c r="BY30" i="40"/>
  <c r="BY31" i="40"/>
  <c r="BY32" i="40"/>
  <c r="BY33" i="40"/>
  <c r="BY34" i="40"/>
  <c r="BY35" i="40"/>
  <c r="BY36" i="40"/>
  <c r="BY37" i="40"/>
  <c r="BY38" i="40"/>
  <c r="BY39" i="40"/>
  <c r="BY40" i="40"/>
  <c r="BY41" i="40"/>
  <c r="BY42" i="40"/>
  <c r="BY43" i="40"/>
  <c r="BY44" i="40"/>
  <c r="BY45" i="40"/>
  <c r="BY46" i="40"/>
  <c r="BY47" i="40"/>
  <c r="BY48" i="40"/>
  <c r="BY49" i="40"/>
  <c r="BY50" i="40"/>
  <c r="BY51" i="40"/>
  <c r="BY52" i="40"/>
  <c r="BY53" i="40"/>
  <c r="BY54" i="40"/>
  <c r="BY55" i="40"/>
  <c r="BY56" i="40"/>
  <c r="BY57" i="40"/>
  <c r="BY58" i="40"/>
  <c r="BY59" i="40"/>
  <c r="BY60" i="40"/>
  <c r="BY61" i="40"/>
  <c r="BY62" i="40"/>
  <c r="BY63" i="40"/>
  <c r="BY64" i="40"/>
  <c r="BY65" i="40"/>
  <c r="BY66" i="40"/>
  <c r="BY67" i="40"/>
  <c r="BY68" i="40"/>
  <c r="BY69" i="40"/>
  <c r="BY70" i="40"/>
  <c r="BY71" i="40"/>
  <c r="BY72" i="40"/>
  <c r="BY73" i="40"/>
  <c r="BY74" i="40"/>
  <c r="BY75" i="40"/>
  <c r="BY76" i="40"/>
  <c r="BY77" i="40"/>
  <c r="BY78" i="40"/>
  <c r="BY79" i="40"/>
  <c r="BY80" i="40"/>
  <c r="BY81" i="40"/>
  <c r="BY82" i="40"/>
  <c r="BY83" i="40"/>
  <c r="BY84" i="40"/>
  <c r="BY85" i="40"/>
  <c r="BY86" i="40"/>
  <c r="BY87" i="40"/>
  <c r="BY88" i="40"/>
  <c r="BY89" i="40"/>
  <c r="BY90" i="40"/>
  <c r="BY91" i="40"/>
  <c r="AT19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H15" i="40"/>
  <c r="BH16" i="40"/>
  <c r="BH17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E59" i="40"/>
  <c r="BE71" i="40"/>
  <c r="BE75" i="40"/>
  <c r="BE79" i="40"/>
  <c r="BE16" i="40"/>
  <c r="BE17" i="40"/>
  <c r="BE18" i="40"/>
  <c r="BE20" i="40"/>
  <c r="BE21" i="40"/>
  <c r="BE22" i="40"/>
  <c r="BE24" i="40"/>
  <c r="BE25" i="40"/>
  <c r="BE26" i="40"/>
  <c r="BE28" i="40"/>
  <c r="BE29" i="40"/>
  <c r="BE30" i="40"/>
  <c r="BE32" i="40"/>
  <c r="BE33" i="40"/>
  <c r="BE34" i="40"/>
  <c r="BE36" i="40"/>
  <c r="BE37" i="40"/>
  <c r="BE38" i="40"/>
  <c r="BE40" i="40"/>
  <c r="BE41" i="40"/>
  <c r="BE42" i="40"/>
  <c r="BE44" i="40"/>
  <c r="BE45" i="40"/>
  <c r="BE46" i="40"/>
  <c r="BE48" i="40"/>
  <c r="BE49" i="40"/>
  <c r="BE50" i="40"/>
  <c r="BE52" i="40"/>
  <c r="BE53" i="40"/>
  <c r="BE54" i="40"/>
  <c r="BE55" i="40"/>
  <c r="BE56" i="40"/>
  <c r="BE57" i="40"/>
  <c r="BE58" i="40"/>
  <c r="BE60" i="40"/>
  <c r="BE61" i="40"/>
  <c r="BE62" i="40"/>
  <c r="BE63" i="40"/>
  <c r="BE64" i="40"/>
  <c r="BE65" i="40"/>
  <c r="BE66" i="40"/>
  <c r="BE67" i="40"/>
  <c r="BE68" i="40"/>
  <c r="BE69" i="40"/>
  <c r="BE70" i="40"/>
  <c r="BE72" i="40"/>
  <c r="BE73" i="40"/>
  <c r="BE74" i="40"/>
  <c r="BE76" i="40"/>
  <c r="BE77" i="40"/>
  <c r="BE78" i="40"/>
  <c r="BE80" i="40"/>
  <c r="BE81" i="40"/>
  <c r="BE82" i="40"/>
  <c r="BE83" i="40"/>
  <c r="BE84" i="40"/>
  <c r="BE85" i="40"/>
  <c r="BE86" i="40"/>
  <c r="BE87" i="40"/>
  <c r="BE88" i="40"/>
  <c r="BE89" i="40"/>
  <c r="BE90" i="40"/>
  <c r="BE91" i="40"/>
  <c r="CN14" i="40"/>
  <c r="BH14" i="40"/>
  <c r="AT16" i="40"/>
  <c r="AT18" i="40"/>
  <c r="AT20" i="40"/>
  <c r="AT21" i="40"/>
  <c r="AT22" i="40"/>
  <c r="AT23" i="40"/>
  <c r="AT24" i="40"/>
  <c r="AT25" i="40"/>
  <c r="AT27" i="40"/>
  <c r="AT28" i="40"/>
  <c r="AT29" i="40"/>
  <c r="AT30" i="40"/>
  <c r="AT31" i="40"/>
  <c r="AT32" i="40"/>
  <c r="AT33" i="40"/>
  <c r="AT34" i="40"/>
  <c r="AT35" i="40"/>
  <c r="AT36" i="40"/>
  <c r="AT37" i="40"/>
  <c r="AT38" i="40"/>
  <c r="AT39" i="40"/>
  <c r="AT40" i="40"/>
  <c r="AT41" i="40"/>
  <c r="AT42" i="40"/>
  <c r="AT43" i="40"/>
  <c r="AT44" i="40"/>
  <c r="AT45" i="40"/>
  <c r="AT46" i="40"/>
  <c r="AT47" i="40"/>
  <c r="AT48" i="40"/>
  <c r="AT49" i="40"/>
  <c r="AT50" i="40"/>
  <c r="AT51" i="40"/>
  <c r="AT52" i="40"/>
  <c r="AT53" i="40"/>
  <c r="AT54" i="40"/>
  <c r="AT55" i="40"/>
  <c r="AT56" i="40"/>
  <c r="AT57" i="40"/>
  <c r="AT58" i="40"/>
  <c r="AT59" i="40"/>
  <c r="AT60" i="40"/>
  <c r="AT61" i="40"/>
  <c r="AT62" i="40"/>
  <c r="AT63" i="40"/>
  <c r="AT64" i="40"/>
  <c r="AT65" i="40"/>
  <c r="AT66" i="40"/>
  <c r="AT67" i="40"/>
  <c r="AT68" i="40"/>
  <c r="AT69" i="40"/>
  <c r="AT70" i="40"/>
  <c r="AT71" i="40"/>
  <c r="AT72" i="40"/>
  <c r="AT73" i="40"/>
  <c r="AT74" i="40"/>
  <c r="AT75" i="40"/>
  <c r="AT76" i="40"/>
  <c r="AT77" i="40"/>
  <c r="AT78" i="40"/>
  <c r="AT79" i="40"/>
  <c r="AT80" i="40"/>
  <c r="AT81" i="40"/>
  <c r="AT82" i="40"/>
  <c r="AT83" i="40"/>
  <c r="AT84" i="40"/>
  <c r="AT85" i="40"/>
  <c r="AT86" i="40"/>
  <c r="AT87" i="40"/>
  <c r="AT88" i="40"/>
  <c r="AT89" i="40"/>
  <c r="AT90" i="40"/>
  <c r="AT91" i="40"/>
  <c r="BE14" i="40"/>
  <c r="BI14" i="40"/>
  <c r="BY14" i="40"/>
  <c r="AX14" i="40"/>
  <c r="AX15" i="40"/>
  <c r="AX16" i="40"/>
  <c r="AX17" i="40"/>
  <c r="AX18" i="40"/>
  <c r="AX19" i="40"/>
  <c r="AX20" i="40"/>
  <c r="AX21" i="40"/>
  <c r="AX22" i="40"/>
  <c r="AX23" i="40"/>
  <c r="AX24" i="40"/>
  <c r="AX25" i="40"/>
  <c r="AO14" i="40"/>
  <c r="AL14" i="40"/>
  <c r="BV26" i="40"/>
  <c r="BV27" i="40"/>
  <c r="BV28" i="40"/>
  <c r="BV29" i="40"/>
  <c r="BV30" i="40"/>
  <c r="BV31" i="40"/>
  <c r="BV32" i="40"/>
  <c r="BV33" i="40"/>
  <c r="BV34" i="40"/>
  <c r="BV35" i="40"/>
  <c r="BV36" i="40"/>
  <c r="BV37" i="40"/>
  <c r="BV38" i="40"/>
  <c r="BV39" i="40"/>
  <c r="BV40" i="40"/>
  <c r="BV41" i="40"/>
  <c r="BV42" i="40"/>
  <c r="BV43" i="40"/>
  <c r="BV44" i="40"/>
  <c r="BV45" i="40"/>
  <c r="BV46" i="40"/>
  <c r="BV47" i="40"/>
  <c r="BV48" i="40"/>
  <c r="BV49" i="40"/>
  <c r="BV50" i="40"/>
  <c r="BV51" i="40"/>
  <c r="BV52" i="40"/>
  <c r="BV53" i="40"/>
  <c r="BV54" i="40"/>
  <c r="BV55" i="40"/>
  <c r="BV56" i="40"/>
  <c r="BV57" i="40"/>
  <c r="BV58" i="40"/>
  <c r="BV59" i="40"/>
  <c r="BV60" i="40"/>
  <c r="BV61" i="40"/>
  <c r="BV62" i="40"/>
  <c r="BV63" i="40"/>
  <c r="BV64" i="40"/>
  <c r="BV65" i="40"/>
  <c r="BV66" i="40"/>
  <c r="BV67" i="40"/>
  <c r="BV68" i="40"/>
  <c r="BV69" i="40"/>
  <c r="BV70" i="40"/>
  <c r="BV71" i="40"/>
  <c r="BV72" i="40"/>
  <c r="BV73" i="40"/>
  <c r="BV74" i="40"/>
  <c r="BV75" i="40"/>
  <c r="BV76" i="40"/>
  <c r="BV77" i="40"/>
  <c r="BV78" i="40"/>
  <c r="BV79" i="40"/>
  <c r="BV80" i="40"/>
  <c r="BV81" i="40"/>
  <c r="BV82" i="40"/>
  <c r="BV83" i="40"/>
  <c r="BV84" i="40"/>
  <c r="BV85" i="40"/>
  <c r="BV86" i="40"/>
  <c r="BV87" i="40"/>
  <c r="BV88" i="40"/>
  <c r="BV89" i="40"/>
  <c r="BV90" i="40"/>
  <c r="BV91" i="40"/>
  <c r="AJ14" i="40"/>
  <c r="AI14" i="40"/>
  <c r="AE14" i="40"/>
  <c r="AF14" i="40"/>
  <c r="AG14" i="40" s="1"/>
  <c r="Y14" i="40"/>
  <c r="Y15" i="40"/>
  <c r="Y16" i="40"/>
  <c r="Y17" i="40"/>
  <c r="Y18" i="40"/>
  <c r="Y19" i="40"/>
  <c r="Y20" i="40"/>
  <c r="Y21" i="40"/>
  <c r="Y22" i="40"/>
  <c r="Y23" i="40"/>
  <c r="Y24" i="40"/>
  <c r="Y25" i="40"/>
  <c r="Y26" i="40"/>
  <c r="Y27" i="40"/>
  <c r="Y28" i="40"/>
  <c r="Y29" i="40"/>
  <c r="Y30" i="40"/>
  <c r="Y31" i="40"/>
  <c r="Y32" i="40"/>
  <c r="Y33" i="40"/>
  <c r="Y34" i="40"/>
  <c r="Y35" i="40"/>
  <c r="Y36" i="40"/>
  <c r="Y37" i="40"/>
  <c r="Y38" i="40"/>
  <c r="Y39" i="40"/>
  <c r="Y40" i="40"/>
  <c r="Y41" i="40"/>
  <c r="Y42" i="40"/>
  <c r="Y43" i="40"/>
  <c r="Y44" i="40"/>
  <c r="Y45" i="40"/>
  <c r="Y46" i="40"/>
  <c r="Y47" i="40"/>
  <c r="Y48" i="40"/>
  <c r="Y49" i="40"/>
  <c r="Y50" i="40"/>
  <c r="Y51" i="40"/>
  <c r="Y52" i="40"/>
  <c r="Y53" i="40"/>
  <c r="Y54" i="40"/>
  <c r="Y55" i="40"/>
  <c r="Y56" i="40"/>
  <c r="Y57" i="40"/>
  <c r="Y58" i="40"/>
  <c r="Y59" i="40"/>
  <c r="Y60" i="40"/>
  <c r="Y61" i="40"/>
  <c r="Y62" i="40"/>
  <c r="Y63" i="40"/>
  <c r="Y64" i="40"/>
  <c r="Y65" i="40"/>
  <c r="Y66" i="40"/>
  <c r="Y67" i="40"/>
  <c r="Y68" i="40"/>
  <c r="Y69" i="40"/>
  <c r="Y70" i="40"/>
  <c r="Y71" i="40"/>
  <c r="Y72" i="40"/>
  <c r="Y73" i="40"/>
  <c r="Y74" i="40"/>
  <c r="Y75" i="40"/>
  <c r="Y76" i="40"/>
  <c r="Y77" i="40"/>
  <c r="Y78" i="40"/>
  <c r="Y79" i="40"/>
  <c r="Y80" i="40"/>
  <c r="Y81" i="40"/>
  <c r="Y82" i="40"/>
  <c r="Y83" i="40"/>
  <c r="Y84" i="40"/>
  <c r="Y85" i="40"/>
  <c r="Y86" i="40"/>
  <c r="Y87" i="40"/>
  <c r="Y88" i="40"/>
  <c r="Y89" i="40"/>
  <c r="Y90" i="40"/>
  <c r="Y91" i="40"/>
  <c r="H25" i="111"/>
  <c r="H24" i="111"/>
  <c r="F10" i="111"/>
  <c r="C10" i="111"/>
  <c r="F21" i="111" s="1"/>
  <c r="F9" i="111"/>
  <c r="C9" i="111"/>
  <c r="F20" i="111" s="1"/>
  <c r="F8" i="111"/>
  <c r="C8" i="111"/>
  <c r="F7" i="111"/>
  <c r="C7" i="111"/>
  <c r="E18" i="111" s="1"/>
  <c r="F4" i="111"/>
  <c r="E4" i="111"/>
  <c r="F3" i="111"/>
  <c r="E3" i="111"/>
  <c r="C14" i="111" l="1"/>
  <c r="I21" i="111" s="1"/>
  <c r="H26" i="111"/>
  <c r="BV25" i="40"/>
  <c r="BV21" i="40"/>
  <c r="BV17" i="40"/>
  <c r="BV24" i="40"/>
  <c r="BV20" i="40"/>
  <c r="BV16" i="40"/>
  <c r="BV23" i="40"/>
  <c r="BV19" i="40"/>
  <c r="BV15" i="40"/>
  <c r="BV22" i="40"/>
  <c r="BV18" i="40"/>
  <c r="AM14" i="40"/>
  <c r="BV14" i="40"/>
  <c r="DA20" i="40"/>
  <c r="BE51" i="40"/>
  <c r="BE47" i="40"/>
  <c r="BE43" i="40"/>
  <c r="BE39" i="40"/>
  <c r="BE35" i="40"/>
  <c r="BE31" i="40"/>
  <c r="BE27" i="40"/>
  <c r="BE23" i="40"/>
  <c r="BE19" i="40"/>
  <c r="BE15" i="40"/>
  <c r="DA16" i="40"/>
  <c r="AH14" i="40"/>
  <c r="DA14" i="40" s="1"/>
  <c r="DA22" i="40"/>
  <c r="DA18" i="40"/>
  <c r="DA25" i="40"/>
  <c r="DA21" i="40"/>
  <c r="DA17" i="40"/>
  <c r="DA24" i="40"/>
  <c r="DA23" i="40"/>
  <c r="DA19" i="40"/>
  <c r="DA15" i="40"/>
  <c r="E20" i="111"/>
  <c r="G20" i="111" s="1"/>
  <c r="E21" i="111"/>
  <c r="G21" i="111" s="1"/>
  <c r="C11" i="111"/>
  <c r="I18" i="111" s="1"/>
  <c r="E19" i="111"/>
  <c r="C12" i="111"/>
  <c r="I19" i="111" s="1"/>
  <c r="F18" i="111"/>
  <c r="G18" i="111" s="1"/>
  <c r="F19" i="111"/>
  <c r="C13" i="111"/>
  <c r="I20" i="111" s="1"/>
  <c r="DB14" i="40" l="1"/>
  <c r="BO14" i="40"/>
  <c r="BR14" i="40" s="1"/>
  <c r="AW14" i="40"/>
  <c r="CY21" i="40"/>
  <c r="DB21" i="40"/>
  <c r="CZ21" i="40"/>
  <c r="CM21" i="40"/>
  <c r="CO21" i="40" s="1"/>
  <c r="DB18" i="40"/>
  <c r="CZ18" i="40"/>
  <c r="CY18" i="40"/>
  <c r="CM18" i="40"/>
  <c r="CO18" i="40" s="1"/>
  <c r="CQ18" i="40" s="1"/>
  <c r="DB19" i="40"/>
  <c r="CZ19" i="40"/>
  <c r="CY19" i="40"/>
  <c r="CM19" i="40"/>
  <c r="CO19" i="40" s="1"/>
  <c r="CQ19" i="40" s="1"/>
  <c r="DB22" i="40"/>
  <c r="CZ22" i="40"/>
  <c r="CY22" i="40"/>
  <c r="CM22" i="40"/>
  <c r="CO22" i="40" s="1"/>
  <c r="CQ22" i="40" s="1"/>
  <c r="DB15" i="40"/>
  <c r="CZ15" i="40"/>
  <c r="CY15" i="40"/>
  <c r="CM15" i="40"/>
  <c r="CO15" i="40" s="1"/>
  <c r="DB23" i="40"/>
  <c r="CZ23" i="40"/>
  <c r="CY23" i="40"/>
  <c r="CM23" i="40"/>
  <c r="CO23" i="40" s="1"/>
  <c r="CQ23" i="40" s="1"/>
  <c r="CY25" i="40"/>
  <c r="DB25" i="40"/>
  <c r="CZ25" i="40"/>
  <c r="CM25" i="40"/>
  <c r="CO25" i="40" s="1"/>
  <c r="CQ25" i="40" s="1"/>
  <c r="CZ14" i="40"/>
  <c r="CY14" i="40"/>
  <c r="CM14" i="40"/>
  <c r="CO14" i="40" s="1"/>
  <c r="CY17" i="40"/>
  <c r="DB17" i="40"/>
  <c r="CZ17" i="40"/>
  <c r="CM17" i="40"/>
  <c r="CO17" i="40" s="1"/>
  <c r="CQ17" i="40" s="1"/>
  <c r="CY24" i="40"/>
  <c r="DB24" i="40"/>
  <c r="CZ24" i="40"/>
  <c r="CM24" i="40"/>
  <c r="CO24" i="40" s="1"/>
  <c r="CQ24" i="40" s="1"/>
  <c r="CP24" i="40" s="1"/>
  <c r="CT24" i="40" s="1"/>
  <c r="CY16" i="40"/>
  <c r="DB16" i="40"/>
  <c r="CZ16" i="40"/>
  <c r="CM16" i="40"/>
  <c r="CO16" i="40" s="1"/>
  <c r="CQ16" i="40" s="1"/>
  <c r="CY20" i="40"/>
  <c r="DB20" i="40"/>
  <c r="CZ20" i="40"/>
  <c r="CM20" i="40"/>
  <c r="CO20" i="40" s="1"/>
  <c r="CQ20" i="40" s="1"/>
  <c r="CR24" i="40"/>
  <c r="BO22" i="40"/>
  <c r="AW22" i="40"/>
  <c r="BO20" i="40"/>
  <c r="AW20" i="40"/>
  <c r="AZ20" i="40" s="1"/>
  <c r="BK20" i="40" s="1"/>
  <c r="BO25" i="40"/>
  <c r="AW25" i="40"/>
  <c r="AZ25" i="40" s="1"/>
  <c r="BK25" i="40" s="1"/>
  <c r="BO15" i="40"/>
  <c r="AW15" i="40"/>
  <c r="AZ15" i="40" s="1"/>
  <c r="BK15" i="40" s="1"/>
  <c r="AW17" i="40"/>
  <c r="AZ17" i="40" s="1"/>
  <c r="BK17" i="40" s="1"/>
  <c r="BO17" i="40"/>
  <c r="BR17" i="40" s="1"/>
  <c r="BO19" i="40"/>
  <c r="AW19" i="40"/>
  <c r="AZ19" i="40" s="1"/>
  <c r="BK19" i="40" s="1"/>
  <c r="BO18" i="40"/>
  <c r="AW18" i="40"/>
  <c r="AZ18" i="40" s="1"/>
  <c r="BK18" i="40" s="1"/>
  <c r="BO16" i="40"/>
  <c r="AW16" i="40"/>
  <c r="AZ16" i="40" s="1"/>
  <c r="BK16" i="40" s="1"/>
  <c r="BO21" i="40"/>
  <c r="AW21" i="40"/>
  <c r="AZ21" i="40" s="1"/>
  <c r="BK21" i="40" s="1"/>
  <c r="BO23" i="40"/>
  <c r="AW23" i="40"/>
  <c r="AZ23" i="40" s="1"/>
  <c r="BK23" i="40" s="1"/>
  <c r="BO24" i="40"/>
  <c r="AW24" i="40"/>
  <c r="AZ24" i="40" s="1"/>
  <c r="BK24" i="40" s="1"/>
  <c r="G19" i="111"/>
  <c r="D23" i="111" s="1" a="1"/>
  <c r="BW14" i="40" l="1"/>
  <c r="BA21" i="40"/>
  <c r="BA23" i="40"/>
  <c r="BA20" i="40"/>
  <c r="BA16" i="40"/>
  <c r="DO16" i="40"/>
  <c r="DQ16" i="40" s="1"/>
  <c r="BA24" i="40"/>
  <c r="BA25" i="40"/>
  <c r="DO25" i="40"/>
  <c r="DQ25" i="40" s="1"/>
  <c r="AZ22" i="40"/>
  <c r="BK22" i="40" s="1"/>
  <c r="CR18" i="40"/>
  <c r="CP18" i="40"/>
  <c r="CT18" i="40" s="1"/>
  <c r="CR17" i="40"/>
  <c r="CP17" i="40"/>
  <c r="CT17" i="40" s="1"/>
  <c r="DC25" i="40"/>
  <c r="DE25" i="40" s="1"/>
  <c r="DF25" i="40" s="1"/>
  <c r="DG25" i="40" s="1"/>
  <c r="DK25" i="40" s="1"/>
  <c r="CP16" i="40"/>
  <c r="CT16" i="40" s="1"/>
  <c r="CR16" i="40"/>
  <c r="BR24" i="40"/>
  <c r="BW17" i="40"/>
  <c r="BR22" i="40"/>
  <c r="BR16" i="40"/>
  <c r="BR19" i="40"/>
  <c r="BR20" i="40"/>
  <c r="BR21" i="40"/>
  <c r="BR25" i="40"/>
  <c r="BR23" i="40"/>
  <c r="BR18" i="40"/>
  <c r="BR15" i="40"/>
  <c r="BA18" i="40"/>
  <c r="BG18" i="40"/>
  <c r="CB19" i="40"/>
  <c r="BA19" i="40"/>
  <c r="BA17" i="40"/>
  <c r="BG15" i="40"/>
  <c r="BB15" i="40"/>
  <c r="BA15" i="40"/>
  <c r="DC23" i="40"/>
  <c r="DE23" i="40" s="1"/>
  <c r="DF23" i="40" s="1"/>
  <c r="DG23" i="40" s="1"/>
  <c r="DK23" i="40" s="1"/>
  <c r="DC22" i="40"/>
  <c r="DE22" i="40" s="1"/>
  <c r="DF22" i="40" s="1"/>
  <c r="DG22" i="40" s="1"/>
  <c r="DK22" i="40" s="1"/>
  <c r="CR14" i="40"/>
  <c r="CQ14" i="40"/>
  <c r="CB16" i="40"/>
  <c r="BB16" i="40"/>
  <c r="DH25" i="40"/>
  <c r="DI25" i="40"/>
  <c r="BB21" i="40"/>
  <c r="CB21" i="40"/>
  <c r="DO21" i="40"/>
  <c r="DQ21" i="40" s="1"/>
  <c r="DI22" i="40"/>
  <c r="CV22" i="40" s="1"/>
  <c r="CQ21" i="40"/>
  <c r="CP21" i="40" s="1"/>
  <c r="CT21" i="40" s="1"/>
  <c r="CR21" i="40"/>
  <c r="CB24" i="40"/>
  <c r="DO24" i="40"/>
  <c r="DQ24" i="40" s="1"/>
  <c r="BB23" i="40"/>
  <c r="CB23" i="40"/>
  <c r="CR15" i="40"/>
  <c r="CQ15" i="40"/>
  <c r="CB15" i="40"/>
  <c r="DC24" i="40"/>
  <c r="DE24" i="40" s="1"/>
  <c r="DF24" i="40" s="1"/>
  <c r="CB22" i="40"/>
  <c r="DO19" i="40"/>
  <c r="DQ19" i="40" s="1"/>
  <c r="DC15" i="40"/>
  <c r="DE15" i="40" s="1"/>
  <c r="DF15" i="40" s="1"/>
  <c r="DC19" i="40"/>
  <c r="DE19" i="40" s="1"/>
  <c r="DF19" i="40" s="1"/>
  <c r="CB18" i="40"/>
  <c r="DO18" i="40"/>
  <c r="DQ18" i="40" s="1"/>
  <c r="CB20" i="40"/>
  <c r="DO20" i="40"/>
  <c r="DQ20" i="40" s="1"/>
  <c r="DC20" i="40"/>
  <c r="DE20" i="40" s="1"/>
  <c r="DF20" i="40" s="1"/>
  <c r="DC16" i="40"/>
  <c r="DE16" i="40" s="1"/>
  <c r="DF16" i="40" s="1"/>
  <c r="DC17" i="40"/>
  <c r="DE17" i="40" s="1"/>
  <c r="DF17" i="40" s="1"/>
  <c r="DC14" i="40"/>
  <c r="DE14" i="40" s="1"/>
  <c r="DF14" i="40" s="1"/>
  <c r="DO15" i="40"/>
  <c r="DQ15" i="40" s="1"/>
  <c r="CB25" i="40"/>
  <c r="DO23" i="40"/>
  <c r="DQ23" i="40" s="1"/>
  <c r="DC18" i="40"/>
  <c r="DE18" i="40" s="1"/>
  <c r="DF18" i="40" s="1"/>
  <c r="DC21" i="40"/>
  <c r="DE21" i="40" s="1"/>
  <c r="DF21" i="40" s="1"/>
  <c r="CR23" i="40"/>
  <c r="CP23" i="40"/>
  <c r="CT23" i="40" s="1"/>
  <c r="CR20" i="40"/>
  <c r="CP20" i="40"/>
  <c r="CT20" i="40" s="1"/>
  <c r="CP25" i="40"/>
  <c r="CT25" i="40" s="1"/>
  <c r="CR25" i="40"/>
  <c r="CR19" i="40"/>
  <c r="CP19" i="40"/>
  <c r="CT19" i="40" s="1"/>
  <c r="CR22" i="40"/>
  <c r="CP22" i="40"/>
  <c r="CT22" i="40" s="1"/>
  <c r="BS14" i="40"/>
  <c r="CA14" i="40"/>
  <c r="DR14" i="40" s="1"/>
  <c r="DT14" i="40" s="1"/>
  <c r="BG19" i="40"/>
  <c r="BB19" i="40"/>
  <c r="BG22" i="40"/>
  <c r="BB22" i="40"/>
  <c r="BB20" i="40"/>
  <c r="BG20" i="40"/>
  <c r="BB18" i="40"/>
  <c r="BB25" i="40"/>
  <c r="BG25" i="40"/>
  <c r="BB24" i="40"/>
  <c r="BS19" i="40"/>
  <c r="BS25" i="40"/>
  <c r="BS17" i="40"/>
  <c r="CA17" i="40"/>
  <c r="DR17" i="40" s="1"/>
  <c r="DT17" i="40" s="1"/>
  <c r="BG24" i="40"/>
  <c r="BG23" i="40"/>
  <c r="BS24" i="40"/>
  <c r="BS16" i="40"/>
  <c r="BS23" i="40"/>
  <c r="BG21" i="40"/>
  <c r="BG16" i="40"/>
  <c r="D25" i="111"/>
  <c r="D24" i="111"/>
  <c r="D23" i="111"/>
  <c r="H3" i="111" s="1"/>
  <c r="D26" i="111"/>
  <c r="Z20" i="40"/>
  <c r="Z21" i="40"/>
  <c r="Z22" i="40"/>
  <c r="Z25" i="40"/>
  <c r="Z19" i="40"/>
  <c r="Z23" i="40"/>
  <c r="Z16" i="40"/>
  <c r="Z17" i="40"/>
  <c r="Z15" i="40"/>
  <c r="Z24" i="40"/>
  <c r="Z18" i="40"/>
  <c r="BS22" i="40" l="1"/>
  <c r="BW18" i="40"/>
  <c r="CA18" i="40"/>
  <c r="DR18" i="40" s="1"/>
  <c r="DT18" i="40" s="1"/>
  <c r="BW20" i="40"/>
  <c r="BW23" i="40"/>
  <c r="CA23" i="40"/>
  <c r="DR23" i="40" s="1"/>
  <c r="DT23" i="40" s="1"/>
  <c r="BW19" i="40"/>
  <c r="CA19" i="40"/>
  <c r="DR19" i="40" s="1"/>
  <c r="DT19" i="40" s="1"/>
  <c r="BW24" i="40"/>
  <c r="CA24" i="40"/>
  <c r="DR24" i="40" s="1"/>
  <c r="DT24" i="40" s="1"/>
  <c r="BW25" i="40"/>
  <c r="CA25" i="40"/>
  <c r="DR25" i="40" s="1"/>
  <c r="DT25" i="40" s="1"/>
  <c r="BW16" i="40"/>
  <c r="CA16" i="40"/>
  <c r="DR16" i="40" s="1"/>
  <c r="DT16" i="40" s="1"/>
  <c r="CA15" i="40"/>
  <c r="DR15" i="40" s="1"/>
  <c r="DT15" i="40" s="1"/>
  <c r="BW21" i="40"/>
  <c r="CA21" i="40"/>
  <c r="DR21" i="40" s="1"/>
  <c r="DT21" i="40" s="1"/>
  <c r="BW22" i="40"/>
  <c r="BA22" i="40"/>
  <c r="DO22" i="40"/>
  <c r="DQ22" i="40" s="1"/>
  <c r="DH23" i="40"/>
  <c r="CV25" i="40"/>
  <c r="CA20" i="40"/>
  <c r="DR20" i="40" s="1"/>
  <c r="DT20" i="40" s="1"/>
  <c r="BS18" i="40"/>
  <c r="BS20" i="40"/>
  <c r="CA22" i="40"/>
  <c r="DR22" i="40" s="1"/>
  <c r="DT22" i="40" s="1"/>
  <c r="BS21" i="40"/>
  <c r="DH22" i="40"/>
  <c r="DI23" i="40"/>
  <c r="CV23" i="40" s="1"/>
  <c r="BB17" i="40"/>
  <c r="DO17" i="40"/>
  <c r="DQ17" i="40" s="1"/>
  <c r="BW15" i="40"/>
  <c r="BS15" i="40"/>
  <c r="CB17" i="40"/>
  <c r="BG17" i="40"/>
  <c r="DH21" i="40"/>
  <c r="DG21" i="40"/>
  <c r="DK21" i="40" s="1"/>
  <c r="DI21" i="40"/>
  <c r="DH16" i="40"/>
  <c r="DG16" i="40"/>
  <c r="DK16" i="40" s="1"/>
  <c r="DI16" i="40"/>
  <c r="CV16" i="40" s="1"/>
  <c r="DH15" i="40"/>
  <c r="DI15" i="40"/>
  <c r="CV15" i="40" s="1"/>
  <c r="DH24" i="40"/>
  <c r="DG24" i="40"/>
  <c r="DK24" i="40" s="1"/>
  <c r="DI24" i="40"/>
  <c r="CC16" i="40"/>
  <c r="CC24" i="40"/>
  <c r="DH18" i="40"/>
  <c r="DG18" i="40"/>
  <c r="DK18" i="40" s="1"/>
  <c r="DI18" i="40"/>
  <c r="DH20" i="40"/>
  <c r="DG20" i="40"/>
  <c r="DK20" i="40" s="1"/>
  <c r="DI20" i="40"/>
  <c r="CV20" i="40" s="1"/>
  <c r="CC23" i="40"/>
  <c r="DJ25" i="40"/>
  <c r="CS25" i="40"/>
  <c r="DL25" i="40"/>
  <c r="DM25" i="40"/>
  <c r="CU25" i="40"/>
  <c r="DH14" i="40"/>
  <c r="DI14" i="40"/>
  <c r="CV14" i="40" s="1"/>
  <c r="CC25" i="40"/>
  <c r="CC20" i="40"/>
  <c r="DH17" i="40"/>
  <c r="DG17" i="40"/>
  <c r="DK17" i="40" s="1"/>
  <c r="DI17" i="40"/>
  <c r="CV17" i="40" s="1"/>
  <c r="DH19" i="40"/>
  <c r="DG19" i="40"/>
  <c r="DK19" i="40" s="1"/>
  <c r="DI19" i="40"/>
  <c r="CV19" i="40" s="1"/>
  <c r="DJ22" i="40"/>
  <c r="CS22" i="40"/>
  <c r="CU22" i="40"/>
  <c r="DL22" i="40"/>
  <c r="DM22" i="40"/>
  <c r="DJ23" i="40"/>
  <c r="DL23" i="40"/>
  <c r="CU23" i="40"/>
  <c r="AZ14" i="40"/>
  <c r="BK14" i="40" s="1"/>
  <c r="CC19" i="40" l="1"/>
  <c r="CC18" i="40"/>
  <c r="CC15" i="40"/>
  <c r="BA14" i="40"/>
  <c r="CV21" i="40"/>
  <c r="CV18" i="40"/>
  <c r="CS23" i="40"/>
  <c r="CV24" i="40"/>
  <c r="DM23" i="40"/>
  <c r="CC22" i="40"/>
  <c r="CC17" i="40"/>
  <c r="CC21" i="40"/>
  <c r="CB14" i="40"/>
  <c r="DO14" i="40"/>
  <c r="DQ14" i="40" s="1"/>
  <c r="DJ19" i="40"/>
  <c r="CS19" i="40"/>
  <c r="DM19" i="40"/>
  <c r="DL19" i="40"/>
  <c r="CU19" i="40"/>
  <c r="DL14" i="40"/>
  <c r="DJ14" i="40"/>
  <c r="CU14" i="40"/>
  <c r="CS14" i="40"/>
  <c r="DM14" i="40"/>
  <c r="DJ24" i="40"/>
  <c r="CS24" i="40"/>
  <c r="CU24" i="40"/>
  <c r="DL24" i="40"/>
  <c r="DM24" i="40"/>
  <c r="DJ18" i="40"/>
  <c r="CS18" i="40"/>
  <c r="CU18" i="40"/>
  <c r="DM18" i="40"/>
  <c r="DL18" i="40"/>
  <c r="DJ21" i="40"/>
  <c r="CS21" i="40"/>
  <c r="DL21" i="40"/>
  <c r="DM21" i="40"/>
  <c r="CU21" i="40"/>
  <c r="DJ20" i="40"/>
  <c r="CS20" i="40"/>
  <c r="DM20" i="40"/>
  <c r="CU20" i="40"/>
  <c r="DL20" i="40"/>
  <c r="DJ16" i="40"/>
  <c r="CS16" i="40"/>
  <c r="DM16" i="40"/>
  <c r="CU16" i="40"/>
  <c r="DL16" i="40"/>
  <c r="DJ17" i="40"/>
  <c r="CS17" i="40"/>
  <c r="DL17" i="40"/>
  <c r="DM17" i="40"/>
  <c r="CU17" i="40"/>
  <c r="DL15" i="40"/>
  <c r="DJ15" i="40"/>
  <c r="CU15" i="40"/>
  <c r="CS15" i="40"/>
  <c r="DM15" i="40"/>
  <c r="BG14" i="40"/>
  <c r="BB14" i="40"/>
  <c r="CC14" i="40" s="1"/>
  <c r="BP46" i="40" l="1"/>
  <c r="BP39" i="40"/>
  <c r="BP52" i="40"/>
  <c r="BP64" i="40"/>
  <c r="BP54" i="40"/>
  <c r="BP80" i="40"/>
  <c r="BP44" i="40"/>
  <c r="BP35" i="40"/>
  <c r="BP26" i="40"/>
  <c r="BP56" i="40"/>
  <c r="BP57" i="40"/>
  <c r="BP47" i="40"/>
  <c r="BP75" i="40"/>
  <c r="BP34" i="40"/>
  <c r="BP66" i="40"/>
  <c r="BP32" i="40"/>
  <c r="BP89" i="40"/>
  <c r="BP63" i="40"/>
  <c r="BP60" i="40"/>
  <c r="BP42" i="40"/>
  <c r="BP68" i="40"/>
  <c r="BP77" i="40"/>
  <c r="BP82" i="40"/>
  <c r="BP33" i="40"/>
  <c r="BP51" i="40"/>
  <c r="BP38" i="40"/>
  <c r="BP58" i="40"/>
  <c r="BP55" i="40"/>
  <c r="BP59" i="40"/>
  <c r="BP31" i="40"/>
  <c r="BP83" i="40"/>
  <c r="BP50" i="40"/>
  <c r="BP88" i="40"/>
  <c r="BP70" i="40"/>
  <c r="BP37" i="40"/>
  <c r="BP71" i="40"/>
  <c r="BP81" i="40"/>
  <c r="BP79" i="40"/>
  <c r="BP90" i="40"/>
  <c r="BP29" i="40"/>
  <c r="BP53" i="40"/>
  <c r="BP43" i="40"/>
  <c r="BP74" i="40"/>
  <c r="BP69" i="40"/>
  <c r="BP40" i="40"/>
  <c r="BP65" i="40"/>
  <c r="BP45" i="40"/>
  <c r="BP76" i="40"/>
  <c r="BP61" i="40"/>
  <c r="BP72" i="40"/>
  <c r="BP48" i="40"/>
  <c r="BP67" i="40"/>
  <c r="BP85" i="40"/>
  <c r="BP41" i="40"/>
  <c r="BP62" i="40"/>
  <c r="BP73" i="40"/>
  <c r="BP86" i="40"/>
  <c r="BP87" i="40"/>
  <c r="BP78" i="40"/>
  <c r="BP49" i="40"/>
  <c r="AX59" i="40" l="1"/>
  <c r="AX58" i="40"/>
  <c r="AX35" i="40"/>
  <c r="AX57" i="40"/>
  <c r="AX50" i="40"/>
  <c r="AX34" i="40"/>
  <c r="AX77" i="40"/>
  <c r="AX42" i="40"/>
  <c r="AX62" i="40"/>
  <c r="AX60" i="40"/>
  <c r="AX63" i="40"/>
  <c r="AX89" i="40"/>
  <c r="AX70" i="40"/>
  <c r="AX83" i="40"/>
  <c r="AX76" i="40"/>
  <c r="AX80" i="40"/>
  <c r="AX65" i="40"/>
  <c r="AX69" i="40"/>
  <c r="AX74" i="40"/>
  <c r="AX64" i="40"/>
  <c r="AX52" i="40"/>
  <c r="AX53" i="40"/>
  <c r="AX29" i="40"/>
  <c r="AX46" i="40"/>
  <c r="AX90" i="40"/>
  <c r="AX32" i="40"/>
  <c r="AX75" i="40"/>
  <c r="AX44" i="40"/>
  <c r="DA88" i="40"/>
  <c r="DA31" i="40"/>
  <c r="DA55" i="40"/>
  <c r="DA51" i="40"/>
  <c r="DA68" i="40"/>
  <c r="DA62" i="40"/>
  <c r="DA63" i="40"/>
  <c r="DA47" i="40"/>
  <c r="DA71" i="40"/>
  <c r="DA80" i="40"/>
  <c r="DA69" i="40"/>
  <c r="DA64" i="40"/>
  <c r="DA53" i="40"/>
  <c r="DA46" i="40"/>
  <c r="AX82" i="40"/>
  <c r="DA50" i="40"/>
  <c r="DA59" i="40"/>
  <c r="DA58" i="40"/>
  <c r="DA33" i="40"/>
  <c r="DA77" i="40"/>
  <c r="DA86" i="40"/>
  <c r="DA67" i="40"/>
  <c r="DA34" i="40"/>
  <c r="DA57" i="40"/>
  <c r="DA35" i="40"/>
  <c r="AX33" i="40"/>
  <c r="AX49" i="40"/>
  <c r="AX86" i="40"/>
  <c r="AX41" i="40"/>
  <c r="BO67" i="40"/>
  <c r="BR67" i="40" s="1"/>
  <c r="AX67" i="40"/>
  <c r="BO88" i="40"/>
  <c r="AX88" i="40"/>
  <c r="AX31" i="40"/>
  <c r="AX55" i="40"/>
  <c r="AX40" i="40"/>
  <c r="AX54" i="40"/>
  <c r="BP30" i="40"/>
  <c r="BP91" i="40"/>
  <c r="AX39" i="40"/>
  <c r="BP84" i="40"/>
  <c r="AX79" i="40"/>
  <c r="AX66" i="40"/>
  <c r="AX81" i="40"/>
  <c r="AX47" i="40"/>
  <c r="AX56" i="40"/>
  <c r="BO71" i="40"/>
  <c r="BR71" i="40" s="1"/>
  <c r="AX71" i="40"/>
  <c r="AX37" i="40"/>
  <c r="DA48" i="40"/>
  <c r="DA72" i="40"/>
  <c r="DA61" i="40"/>
  <c r="DA49" i="40"/>
  <c r="BP27" i="40"/>
  <c r="DA42" i="40"/>
  <c r="DA60" i="40"/>
  <c r="DA89" i="40"/>
  <c r="DA81" i="40"/>
  <c r="DA56" i="40"/>
  <c r="DA37" i="40"/>
  <c r="DA65" i="40"/>
  <c r="DA74" i="40"/>
  <c r="DA52" i="40"/>
  <c r="DA29" i="40"/>
  <c r="DA90" i="40"/>
  <c r="AX38" i="40"/>
  <c r="BO68" i="40"/>
  <c r="AX68" i="40"/>
  <c r="AX51" i="40"/>
  <c r="AX78" i="40"/>
  <c r="AX87" i="40"/>
  <c r="AX73" i="40"/>
  <c r="AX85" i="40"/>
  <c r="AX48" i="40"/>
  <c r="AX72" i="40"/>
  <c r="AX61" i="40"/>
  <c r="AX45" i="40"/>
  <c r="BP28" i="40"/>
  <c r="BP36" i="40"/>
  <c r="AX43" i="40"/>
  <c r="DA70" i="40"/>
  <c r="DA83" i="40"/>
  <c r="DA76" i="40"/>
  <c r="DA38" i="40"/>
  <c r="DA82" i="40"/>
  <c r="DA87" i="40"/>
  <c r="DA73" i="40"/>
  <c r="DA85" i="40"/>
  <c r="DA32" i="40"/>
  <c r="DA75" i="40"/>
  <c r="DA26" i="40"/>
  <c r="DA44" i="40"/>
  <c r="DA40" i="40"/>
  <c r="DA54" i="40"/>
  <c r="DA43" i="40"/>
  <c r="DA39" i="40"/>
  <c r="DA79" i="40"/>
  <c r="Z14" i="40"/>
  <c r="BW71" i="40" l="1"/>
  <c r="BO41" i="40"/>
  <c r="BR41" i="40" s="1"/>
  <c r="DA41" i="40"/>
  <c r="BO66" i="40"/>
  <c r="BR66" i="40" s="1"/>
  <c r="DA66" i="40"/>
  <c r="BO78" i="40"/>
  <c r="BR78" i="40" s="1"/>
  <c r="DA78" i="40"/>
  <c r="BO45" i="40"/>
  <c r="DA45" i="40"/>
  <c r="BR68" i="40"/>
  <c r="BR88" i="40"/>
  <c r="BR45" i="40"/>
  <c r="CY40" i="40"/>
  <c r="DB40" i="40"/>
  <c r="CZ40" i="40"/>
  <c r="CM40" i="40"/>
  <c r="CO40" i="40" s="1"/>
  <c r="CY32" i="40"/>
  <c r="DB32" i="40"/>
  <c r="CZ32" i="40"/>
  <c r="CM32" i="40"/>
  <c r="DB82" i="40"/>
  <c r="CZ82" i="40"/>
  <c r="CY82" i="40"/>
  <c r="CM82" i="40"/>
  <c r="DB70" i="40"/>
  <c r="CZ70" i="40"/>
  <c r="CY70" i="40"/>
  <c r="CM70" i="40"/>
  <c r="CY29" i="40"/>
  <c r="DB29" i="40"/>
  <c r="CZ29" i="40"/>
  <c r="CM29" i="40"/>
  <c r="CO29" i="40" s="1"/>
  <c r="CY37" i="40"/>
  <c r="DB37" i="40"/>
  <c r="CZ37" i="40"/>
  <c r="CM37" i="40"/>
  <c r="DB60" i="40"/>
  <c r="CZ60" i="40"/>
  <c r="CY60" i="40"/>
  <c r="CM60" i="40"/>
  <c r="CY45" i="40"/>
  <c r="DB45" i="40"/>
  <c r="CZ45" i="40"/>
  <c r="CM45" i="40"/>
  <c r="CY57" i="40"/>
  <c r="DB57" i="40"/>
  <c r="CZ57" i="40"/>
  <c r="CM57" i="40"/>
  <c r="CO57" i="40" s="1"/>
  <c r="DB86" i="40"/>
  <c r="CZ86" i="40"/>
  <c r="CY86" i="40"/>
  <c r="CM86" i="40"/>
  <c r="DB59" i="40"/>
  <c r="CZ59" i="40"/>
  <c r="CY59" i="40"/>
  <c r="CM59" i="40"/>
  <c r="CO59" i="40" s="1"/>
  <c r="CY69" i="40"/>
  <c r="DB69" i="40"/>
  <c r="CZ69" i="40"/>
  <c r="CM69" i="40"/>
  <c r="DB66" i="40"/>
  <c r="CZ66" i="40"/>
  <c r="CY66" i="40"/>
  <c r="CM66" i="40"/>
  <c r="CO66" i="40" s="1"/>
  <c r="DB78" i="40"/>
  <c r="CZ78" i="40"/>
  <c r="CY78" i="40"/>
  <c r="CM78" i="40"/>
  <c r="DB88" i="40"/>
  <c r="CZ88" i="40"/>
  <c r="CY88" i="40"/>
  <c r="CM88" i="40"/>
  <c r="CO88" i="40" s="1"/>
  <c r="DB39" i="40"/>
  <c r="CZ39" i="40"/>
  <c r="CY39" i="40"/>
  <c r="CM39" i="40"/>
  <c r="CO39" i="40" s="1"/>
  <c r="DB85" i="40"/>
  <c r="CZ85" i="40"/>
  <c r="CY85" i="40"/>
  <c r="CM85" i="40"/>
  <c r="CO85" i="40" s="1"/>
  <c r="DB52" i="40"/>
  <c r="CZ52" i="40"/>
  <c r="CY52" i="40"/>
  <c r="CM52" i="40"/>
  <c r="CO52" i="40" s="1"/>
  <c r="DB56" i="40"/>
  <c r="CZ56" i="40"/>
  <c r="CY56" i="40"/>
  <c r="CM56" i="40"/>
  <c r="CO56" i="40" s="1"/>
  <c r="DB42" i="40"/>
  <c r="CZ42" i="40"/>
  <c r="CY42" i="40"/>
  <c r="CM42" i="40"/>
  <c r="CO42" i="40" s="1"/>
  <c r="CY61" i="40"/>
  <c r="DB61" i="40"/>
  <c r="CZ61" i="40"/>
  <c r="CM61" i="40"/>
  <c r="CO61" i="40" s="1"/>
  <c r="DB34" i="40"/>
  <c r="CZ34" i="40"/>
  <c r="CY34" i="40"/>
  <c r="CM34" i="40"/>
  <c r="CO34" i="40" s="1"/>
  <c r="DB77" i="40"/>
  <c r="CZ77" i="40"/>
  <c r="CY77" i="40"/>
  <c r="CM77" i="40"/>
  <c r="CO77" i="40" s="1"/>
  <c r="DB50" i="40"/>
  <c r="CZ50" i="40"/>
  <c r="CY50" i="40"/>
  <c r="CM50" i="40"/>
  <c r="CO50" i="40" s="1"/>
  <c r="DB46" i="40"/>
  <c r="CZ46" i="40"/>
  <c r="CY46" i="40"/>
  <c r="CM46" i="40"/>
  <c r="CO46" i="40" s="1"/>
  <c r="DB80" i="40"/>
  <c r="CZ80" i="40"/>
  <c r="CY80" i="40"/>
  <c r="CM80" i="40"/>
  <c r="DB63" i="40"/>
  <c r="CZ63" i="40"/>
  <c r="CY63" i="40"/>
  <c r="CM63" i="40"/>
  <c r="CO63" i="40" s="1"/>
  <c r="DB51" i="40"/>
  <c r="CZ51" i="40"/>
  <c r="CY51" i="40"/>
  <c r="CM51" i="40"/>
  <c r="CO51" i="40" s="1"/>
  <c r="DB79" i="40"/>
  <c r="CZ79" i="40"/>
  <c r="CY79" i="40"/>
  <c r="CM79" i="40"/>
  <c r="DB43" i="40"/>
  <c r="CZ43" i="40"/>
  <c r="CY43" i="40"/>
  <c r="CM43" i="40"/>
  <c r="CO43" i="40" s="1"/>
  <c r="DB73" i="40"/>
  <c r="CZ73" i="40"/>
  <c r="CY73" i="40"/>
  <c r="CM73" i="40"/>
  <c r="DB76" i="40"/>
  <c r="CZ76" i="40"/>
  <c r="CY76" i="40"/>
  <c r="CM76" i="40"/>
  <c r="CO76" i="40" s="1"/>
  <c r="DB74" i="40"/>
  <c r="CZ74" i="40"/>
  <c r="CY74" i="40"/>
  <c r="CM74" i="40"/>
  <c r="CO74" i="40" s="1"/>
  <c r="DB81" i="40"/>
  <c r="CZ81" i="40"/>
  <c r="CY81" i="40"/>
  <c r="CM81" i="40"/>
  <c r="CO81" i="40" s="1"/>
  <c r="DB72" i="40"/>
  <c r="CZ72" i="40"/>
  <c r="CY72" i="40"/>
  <c r="CM72" i="40"/>
  <c r="DB67" i="40"/>
  <c r="CZ67" i="40"/>
  <c r="CY67" i="40"/>
  <c r="CM67" i="40"/>
  <c r="CO67" i="40" s="1"/>
  <c r="CY33" i="40"/>
  <c r="DB33" i="40"/>
  <c r="CZ33" i="40"/>
  <c r="CM33" i="40"/>
  <c r="CO33" i="40" s="1"/>
  <c r="CY53" i="40"/>
  <c r="DB53" i="40"/>
  <c r="CZ53" i="40"/>
  <c r="CM53" i="40"/>
  <c r="CO53" i="40" s="1"/>
  <c r="DB71" i="40"/>
  <c r="CZ71" i="40"/>
  <c r="CY71" i="40"/>
  <c r="CM71" i="40"/>
  <c r="CO71" i="40" s="1"/>
  <c r="DB62" i="40"/>
  <c r="CZ62" i="40"/>
  <c r="CY62" i="40"/>
  <c r="CM62" i="40"/>
  <c r="CO62" i="40" s="1"/>
  <c r="DB55" i="40"/>
  <c r="CZ55" i="40"/>
  <c r="CY55" i="40"/>
  <c r="CM55" i="40"/>
  <c r="CO55" i="40" s="1"/>
  <c r="CY44" i="40"/>
  <c r="DB44" i="40"/>
  <c r="CZ44" i="40"/>
  <c r="CM44" i="40"/>
  <c r="CO44" i="40" s="1"/>
  <c r="DB38" i="40"/>
  <c r="CZ38" i="40"/>
  <c r="CY38" i="40"/>
  <c r="CM38" i="40"/>
  <c r="CO38" i="40" s="1"/>
  <c r="DB26" i="40"/>
  <c r="CZ26" i="40"/>
  <c r="CY26" i="40"/>
  <c r="CM26" i="40"/>
  <c r="CO26" i="40" s="1"/>
  <c r="DB54" i="40"/>
  <c r="CZ54" i="40"/>
  <c r="CY54" i="40"/>
  <c r="CM54" i="40"/>
  <c r="CO54" i="40" s="1"/>
  <c r="DB75" i="40"/>
  <c r="CZ75" i="40"/>
  <c r="CY75" i="40"/>
  <c r="CM75" i="40"/>
  <c r="CO75" i="40" s="1"/>
  <c r="DB87" i="40"/>
  <c r="CZ87" i="40"/>
  <c r="CY87" i="40"/>
  <c r="CM87" i="40"/>
  <c r="CO87" i="40" s="1"/>
  <c r="DB83" i="40"/>
  <c r="CZ83" i="40"/>
  <c r="CY83" i="40"/>
  <c r="CM83" i="40"/>
  <c r="CO83" i="40" s="1"/>
  <c r="DB90" i="40"/>
  <c r="CZ90" i="40"/>
  <c r="CY90" i="40"/>
  <c r="CM90" i="40"/>
  <c r="CO90" i="40" s="1"/>
  <c r="CY65" i="40"/>
  <c r="DB65" i="40"/>
  <c r="CZ65" i="40"/>
  <c r="CM65" i="40"/>
  <c r="CO65" i="40" s="1"/>
  <c r="DB89" i="40"/>
  <c r="CZ89" i="40"/>
  <c r="CY89" i="40"/>
  <c r="CM89" i="40"/>
  <c r="CO89" i="40" s="1"/>
  <c r="CY49" i="40"/>
  <c r="DB49" i="40"/>
  <c r="CZ49" i="40"/>
  <c r="CM49" i="40"/>
  <c r="CO49" i="40" s="1"/>
  <c r="BO48" i="40"/>
  <c r="CY48" i="40"/>
  <c r="DB48" i="40"/>
  <c r="CZ48" i="40"/>
  <c r="CM48" i="40"/>
  <c r="DB35" i="40"/>
  <c r="CZ35" i="40"/>
  <c r="CY35" i="40"/>
  <c r="CM35" i="40"/>
  <c r="CY41" i="40"/>
  <c r="DB41" i="40"/>
  <c r="CZ41" i="40"/>
  <c r="CM41" i="40"/>
  <c r="DB58" i="40"/>
  <c r="CZ58" i="40"/>
  <c r="CY58" i="40"/>
  <c r="CM58" i="40"/>
  <c r="CO58" i="40" s="1"/>
  <c r="DB64" i="40"/>
  <c r="CZ64" i="40"/>
  <c r="CY64" i="40"/>
  <c r="CM64" i="40"/>
  <c r="DB47" i="40"/>
  <c r="CZ47" i="40"/>
  <c r="CY47" i="40"/>
  <c r="CM47" i="40"/>
  <c r="DB68" i="40"/>
  <c r="CZ68" i="40"/>
  <c r="CY68" i="40"/>
  <c r="CM68" i="40"/>
  <c r="DB31" i="40"/>
  <c r="CZ31" i="40"/>
  <c r="CY31" i="40"/>
  <c r="CM31" i="40"/>
  <c r="BO72" i="40"/>
  <c r="BO87" i="40"/>
  <c r="BR87" i="40" s="1"/>
  <c r="DA27" i="40"/>
  <c r="BO55" i="40"/>
  <c r="BO86" i="40"/>
  <c r="BO46" i="40"/>
  <c r="BO51" i="40"/>
  <c r="BR51" i="40" s="1"/>
  <c r="BO37" i="40"/>
  <c r="CA66" i="40"/>
  <c r="DR66" i="40" s="1"/>
  <c r="DT66" i="40" s="1"/>
  <c r="BW67" i="40"/>
  <c r="BW41" i="40"/>
  <c r="BO80" i="40"/>
  <c r="BS45" i="40"/>
  <c r="CA41" i="40"/>
  <c r="DR41" i="40" s="1"/>
  <c r="DT41" i="40" s="1"/>
  <c r="BS68" i="40"/>
  <c r="CO73" i="40"/>
  <c r="AW73" i="40"/>
  <c r="AZ73" i="40" s="1"/>
  <c r="BK73" i="40" s="1"/>
  <c r="BO43" i="40"/>
  <c r="BS78" i="40"/>
  <c r="AW39" i="40"/>
  <c r="AZ39" i="40" s="1"/>
  <c r="BK39" i="40" s="1"/>
  <c r="AW44" i="40"/>
  <c r="AZ44" i="40" s="1"/>
  <c r="BK44" i="40" s="1"/>
  <c r="AW85" i="40"/>
  <c r="AZ85" i="40" s="1"/>
  <c r="BK85" i="40" s="1"/>
  <c r="AW38" i="40"/>
  <c r="AZ38" i="40" s="1"/>
  <c r="BK38" i="40" s="1"/>
  <c r="AX36" i="40"/>
  <c r="AW52" i="40"/>
  <c r="AZ52" i="40" s="1"/>
  <c r="BK52" i="40" s="1"/>
  <c r="AW56" i="40"/>
  <c r="AZ56" i="40" s="1"/>
  <c r="BK56" i="40" s="1"/>
  <c r="AW42" i="40"/>
  <c r="AZ42" i="40" s="1"/>
  <c r="BK42" i="40" s="1"/>
  <c r="AW45" i="40"/>
  <c r="AZ45" i="40" s="1"/>
  <c r="BK45" i="40" s="1"/>
  <c r="BO79" i="40"/>
  <c r="BO40" i="40"/>
  <c r="BO49" i="40"/>
  <c r="DA84" i="40"/>
  <c r="DA28" i="40"/>
  <c r="AW67" i="40"/>
  <c r="AZ67" i="40" s="1"/>
  <c r="BK67" i="40" s="1"/>
  <c r="AW33" i="40"/>
  <c r="AZ33" i="40" s="1"/>
  <c r="BK33" i="40" s="1"/>
  <c r="AW53" i="40"/>
  <c r="AZ53" i="40" s="1"/>
  <c r="BK53" i="40" s="1"/>
  <c r="AW71" i="40"/>
  <c r="AZ71" i="40" s="1"/>
  <c r="BK71" i="40" s="1"/>
  <c r="AW62" i="40"/>
  <c r="AZ62" i="40" s="1"/>
  <c r="BK62" i="40" s="1"/>
  <c r="AW55" i="40"/>
  <c r="AZ55" i="40" s="1"/>
  <c r="BK55" i="40" s="1"/>
  <c r="BO29" i="40"/>
  <c r="BO53" i="40"/>
  <c r="BO69" i="40"/>
  <c r="BO60" i="40"/>
  <c r="BO62" i="40"/>
  <c r="BO42" i="40"/>
  <c r="BO50" i="40"/>
  <c r="BO58" i="40"/>
  <c r="BO59" i="40"/>
  <c r="AW74" i="40"/>
  <c r="AZ74" i="40" s="1"/>
  <c r="BK74" i="40" s="1"/>
  <c r="AX84" i="40"/>
  <c r="BO39" i="40"/>
  <c r="AX91" i="40"/>
  <c r="BS88" i="40"/>
  <c r="DA91" i="40"/>
  <c r="CO35" i="40"/>
  <c r="AW35" i="40"/>
  <c r="AZ35" i="40" s="1"/>
  <c r="BK35" i="40" s="1"/>
  <c r="BO35" i="40"/>
  <c r="CO41" i="40"/>
  <c r="AW41" i="40"/>
  <c r="AZ41" i="40" s="1"/>
  <c r="BK41" i="40" s="1"/>
  <c r="AW58" i="40"/>
  <c r="AZ58" i="40" s="1"/>
  <c r="BK58" i="40" s="1"/>
  <c r="CO64" i="40"/>
  <c r="AW64" i="40"/>
  <c r="AZ64" i="40" s="1"/>
  <c r="BK64" i="40" s="1"/>
  <c r="CO47" i="40"/>
  <c r="AW47" i="40"/>
  <c r="AZ47" i="40" s="1"/>
  <c r="BK47" i="40" s="1"/>
  <c r="CO68" i="40"/>
  <c r="AW68" i="40"/>
  <c r="AZ68" i="40" s="1"/>
  <c r="BK68" i="40" s="1"/>
  <c r="CO31" i="40"/>
  <c r="AW31" i="40"/>
  <c r="AZ31" i="40" s="1"/>
  <c r="BK31" i="40" s="1"/>
  <c r="BO44" i="40"/>
  <c r="BO70" i="40"/>
  <c r="BO89" i="40"/>
  <c r="BO63" i="40"/>
  <c r="AW43" i="40"/>
  <c r="AZ43" i="40" s="1"/>
  <c r="BK43" i="40" s="1"/>
  <c r="AW76" i="40"/>
  <c r="AZ76" i="40" s="1"/>
  <c r="BK76" i="40" s="1"/>
  <c r="AX28" i="40"/>
  <c r="AW75" i="40"/>
  <c r="AZ75" i="40" s="1"/>
  <c r="BK75" i="40" s="1"/>
  <c r="AW87" i="40"/>
  <c r="AZ87" i="40" s="1"/>
  <c r="BK87" i="40" s="1"/>
  <c r="AW83" i="40"/>
  <c r="AZ83" i="40" s="1"/>
  <c r="BK83" i="40" s="1"/>
  <c r="AW90" i="40"/>
  <c r="AZ90" i="40" s="1"/>
  <c r="BK90" i="40" s="1"/>
  <c r="BO90" i="40"/>
  <c r="AW65" i="40"/>
  <c r="AZ65" i="40" s="1"/>
  <c r="BK65" i="40" s="1"/>
  <c r="AW89" i="40"/>
  <c r="AZ89" i="40" s="1"/>
  <c r="BK89" i="40" s="1"/>
  <c r="AX27" i="40"/>
  <c r="AW27" i="40"/>
  <c r="AZ27" i="40" s="1"/>
  <c r="BK27" i="40" s="1"/>
  <c r="CO72" i="40"/>
  <c r="AW72" i="40"/>
  <c r="AZ72" i="40" s="1"/>
  <c r="BK72" i="40" s="1"/>
  <c r="BO56" i="40"/>
  <c r="BO47" i="40"/>
  <c r="BO81" i="40"/>
  <c r="AX30" i="40"/>
  <c r="DA30" i="40"/>
  <c r="AW57" i="40"/>
  <c r="AZ57" i="40" s="1"/>
  <c r="BK57" i="40" s="1"/>
  <c r="CO86" i="40"/>
  <c r="AW86" i="40"/>
  <c r="AZ86" i="40" s="1"/>
  <c r="BK86" i="40" s="1"/>
  <c r="AW59" i="40"/>
  <c r="AZ59" i="40" s="1"/>
  <c r="BK59" i="40" s="1"/>
  <c r="BO82" i="40"/>
  <c r="AW69" i="40"/>
  <c r="AZ69" i="40" s="1"/>
  <c r="BK69" i="40" s="1"/>
  <c r="AW66" i="40"/>
  <c r="AZ66" i="40" s="1"/>
  <c r="BK66" i="40" s="1"/>
  <c r="CO78" i="40"/>
  <c r="AW78" i="40"/>
  <c r="AZ78" i="40" s="1"/>
  <c r="BK78" i="40" s="1"/>
  <c r="AW88" i="40"/>
  <c r="AZ88" i="40" s="1"/>
  <c r="BK88" i="40" s="1"/>
  <c r="BO75" i="40"/>
  <c r="BO52" i="40"/>
  <c r="BO64" i="40"/>
  <c r="BO74" i="40"/>
  <c r="BO65" i="40"/>
  <c r="BO77" i="40"/>
  <c r="BO57" i="40"/>
  <c r="BO26" i="40"/>
  <c r="AW26" i="40"/>
  <c r="AZ26" i="40" s="1"/>
  <c r="BK26" i="40" s="1"/>
  <c r="BO73" i="40"/>
  <c r="AW81" i="40"/>
  <c r="AZ81" i="40" s="1"/>
  <c r="BK81" i="40" s="1"/>
  <c r="BO27" i="40"/>
  <c r="BO61" i="40"/>
  <c r="AW61" i="40"/>
  <c r="AZ61" i="40" s="1"/>
  <c r="BK61" i="40" s="1"/>
  <c r="AW54" i="40"/>
  <c r="AZ54" i="40" s="1"/>
  <c r="BK54" i="40" s="1"/>
  <c r="AW79" i="40"/>
  <c r="AZ79" i="40" s="1"/>
  <c r="BK79" i="40" s="1"/>
  <c r="AW40" i="40"/>
  <c r="AZ40" i="40" s="1"/>
  <c r="BK40" i="40" s="1"/>
  <c r="CO32" i="40"/>
  <c r="AW32" i="40"/>
  <c r="AZ32" i="40" s="1"/>
  <c r="BK32" i="40" s="1"/>
  <c r="CO82" i="40"/>
  <c r="AW82" i="40"/>
  <c r="AZ82" i="40" s="1"/>
  <c r="BK82" i="40" s="1"/>
  <c r="CO70" i="40"/>
  <c r="AW70" i="40"/>
  <c r="AZ70" i="40" s="1"/>
  <c r="BK70" i="40" s="1"/>
  <c r="CO45" i="40"/>
  <c r="BO85" i="40"/>
  <c r="BO38" i="40"/>
  <c r="AW29" i="40"/>
  <c r="AZ29" i="40" s="1"/>
  <c r="BK29" i="40" s="1"/>
  <c r="CO37" i="40"/>
  <c r="AW37" i="40"/>
  <c r="AZ37" i="40" s="1"/>
  <c r="BK37" i="40" s="1"/>
  <c r="CO60" i="40"/>
  <c r="AW60" i="40"/>
  <c r="AZ60" i="40" s="1"/>
  <c r="BK60" i="40" s="1"/>
  <c r="AW49" i="40"/>
  <c r="AZ49" i="40" s="1"/>
  <c r="BK49" i="40" s="1"/>
  <c r="CO48" i="40"/>
  <c r="AW48" i="40"/>
  <c r="AZ48" i="40" s="1"/>
  <c r="BK48" i="40" s="1"/>
  <c r="CA71" i="40"/>
  <c r="DR71" i="40" s="1"/>
  <c r="DT71" i="40" s="1"/>
  <c r="BS71" i="40"/>
  <c r="CO79" i="40"/>
  <c r="BO54" i="40"/>
  <c r="BO31" i="40"/>
  <c r="BO33" i="40"/>
  <c r="DA36" i="40"/>
  <c r="AW34" i="40"/>
  <c r="AZ34" i="40" s="1"/>
  <c r="BK34" i="40" s="1"/>
  <c r="AW77" i="40"/>
  <c r="AZ77" i="40" s="1"/>
  <c r="BK77" i="40" s="1"/>
  <c r="AW50" i="40"/>
  <c r="AZ50" i="40" s="1"/>
  <c r="BK50" i="40" s="1"/>
  <c r="AW46" i="40"/>
  <c r="AZ46" i="40" s="1"/>
  <c r="BK46" i="40" s="1"/>
  <c r="CO80" i="40"/>
  <c r="AW80" i="40"/>
  <c r="AZ80" i="40" s="1"/>
  <c r="BK80" i="40" s="1"/>
  <c r="AW63" i="40"/>
  <c r="AZ63" i="40" s="1"/>
  <c r="BK63" i="40" s="1"/>
  <c r="AW51" i="40"/>
  <c r="AZ51" i="40" s="1"/>
  <c r="BK51" i="40" s="1"/>
  <c r="BO32" i="40"/>
  <c r="CO69" i="40"/>
  <c r="BO76" i="40"/>
  <c r="BO83" i="40"/>
  <c r="BO34" i="40"/>
  <c r="EO14" i="40"/>
  <c r="EO15" i="40"/>
  <c r="EO16" i="40"/>
  <c r="EO17" i="40"/>
  <c r="EO18" i="40"/>
  <c r="EO19" i="40"/>
  <c r="EO20" i="40"/>
  <c r="EO21" i="40"/>
  <c r="GB18" i="40"/>
  <c r="EF14" i="40"/>
  <c r="EF15" i="40"/>
  <c r="EF16" i="40"/>
  <c r="EF17" i="40"/>
  <c r="FD17" i="40" s="1"/>
  <c r="EF18" i="40"/>
  <c r="FD18" i="40" s="1"/>
  <c r="EF19" i="40"/>
  <c r="FD19" i="40" s="1"/>
  <c r="EF20" i="40"/>
  <c r="FD20" i="40" s="1"/>
  <c r="EF21" i="40"/>
  <c r="FD21" i="40" s="1"/>
  <c r="GS20" i="40"/>
  <c r="GS21" i="40"/>
  <c r="GB20" i="40"/>
  <c r="GB15" i="40"/>
  <c r="GB16" i="40"/>
  <c r="GB17" i="40"/>
  <c r="GB19" i="40"/>
  <c r="GB21" i="40"/>
  <c r="EN18" i="40"/>
  <c r="EN19" i="40"/>
  <c r="EN20" i="40"/>
  <c r="EN21" i="40"/>
  <c r="ET18" i="40"/>
  <c r="ET19" i="40"/>
  <c r="ET20" i="40"/>
  <c r="ET21" i="40"/>
  <c r="EW18" i="40"/>
  <c r="EW19" i="40"/>
  <c r="EW20" i="40"/>
  <c r="EW21" i="40"/>
  <c r="EX18" i="40"/>
  <c r="EX19" i="40"/>
  <c r="EX20" i="40"/>
  <c r="EX21" i="40"/>
  <c r="EY18" i="40"/>
  <c r="EY19" i="40"/>
  <c r="EY20" i="40"/>
  <c r="EY21" i="40"/>
  <c r="FA18" i="40"/>
  <c r="FA19" i="40"/>
  <c r="EU19" i="40" s="1"/>
  <c r="GF19" i="40" s="1"/>
  <c r="HI19" i="40" s="1"/>
  <c r="FA20" i="40"/>
  <c r="EU20" i="40" s="1"/>
  <c r="GF20" i="40" s="1"/>
  <c r="HI20" i="40" s="1"/>
  <c r="FA21" i="40"/>
  <c r="EU21" i="40" s="1"/>
  <c r="GF21" i="40" s="1"/>
  <c r="HI21" i="40" s="1"/>
  <c r="FL17" i="40"/>
  <c r="FL18" i="40"/>
  <c r="FL19" i="40"/>
  <c r="FL20" i="40"/>
  <c r="FL21" i="40"/>
  <c r="FM17" i="40"/>
  <c r="FM18" i="40"/>
  <c r="FM19" i="40"/>
  <c r="FM20" i="40"/>
  <c r="FM21" i="40"/>
  <c r="FN17" i="40"/>
  <c r="FN18" i="40"/>
  <c r="FN19" i="40"/>
  <c r="FN20" i="40"/>
  <c r="FN21" i="40"/>
  <c r="FO17" i="40"/>
  <c r="FO18" i="40"/>
  <c r="FO19" i="40"/>
  <c r="FO20" i="40"/>
  <c r="FO21" i="40"/>
  <c r="GA17" i="40"/>
  <c r="GA18" i="40"/>
  <c r="GA19" i="40"/>
  <c r="GA20" i="40"/>
  <c r="GA21" i="40"/>
  <c r="GC17" i="40"/>
  <c r="GC18" i="40"/>
  <c r="GC19" i="40"/>
  <c r="GC20" i="40"/>
  <c r="GC21" i="40"/>
  <c r="GD17" i="40"/>
  <c r="GD18" i="40"/>
  <c r="GD19" i="40"/>
  <c r="GD20" i="40"/>
  <c r="GD21" i="40"/>
  <c r="GO17" i="40"/>
  <c r="GO18" i="40"/>
  <c r="GT18" i="40" s="1"/>
  <c r="GO19" i="40"/>
  <c r="GO20" i="40"/>
  <c r="GT20" i="40" s="1"/>
  <c r="GO21" i="40"/>
  <c r="GQ17" i="40"/>
  <c r="GT17" i="40" s="1"/>
  <c r="GQ18" i="40"/>
  <c r="GQ19" i="40"/>
  <c r="GT19" i="40" s="1"/>
  <c r="GQ20" i="40"/>
  <c r="GQ21" i="40"/>
  <c r="GT21" i="40" s="1"/>
  <c r="GR17" i="40"/>
  <c r="GR18" i="40"/>
  <c r="GR19" i="40"/>
  <c r="GR20" i="40"/>
  <c r="GR21" i="40"/>
  <c r="GS17" i="40"/>
  <c r="GS18" i="40"/>
  <c r="GS19" i="40"/>
  <c r="HB17" i="40"/>
  <c r="HB18" i="40"/>
  <c r="HB19" i="40"/>
  <c r="HG19" i="40" s="1"/>
  <c r="HB20" i="40"/>
  <c r="HB21" i="40"/>
  <c r="HG21" i="40" s="1"/>
  <c r="HD17" i="40"/>
  <c r="HD18" i="40"/>
  <c r="HG18" i="40" s="1"/>
  <c r="HD19" i="40"/>
  <c r="HD20" i="40"/>
  <c r="HG20" i="40" s="1"/>
  <c r="HD21" i="40"/>
  <c r="HE17" i="40"/>
  <c r="HE18" i="40"/>
  <c r="HE19" i="40"/>
  <c r="HE20" i="40"/>
  <c r="HE21" i="40"/>
  <c r="HF17" i="40"/>
  <c r="HF18" i="40"/>
  <c r="HF19" i="40"/>
  <c r="HF20" i="40"/>
  <c r="HF21" i="40"/>
  <c r="HG17" i="40"/>
  <c r="ET17" i="40"/>
  <c r="EW17" i="40"/>
  <c r="EX17" i="40"/>
  <c r="EY17" i="40"/>
  <c r="FA17" i="40"/>
  <c r="EN16" i="40"/>
  <c r="EN17" i="40"/>
  <c r="EN15" i="40"/>
  <c r="BS51" i="40" l="1"/>
  <c r="BW88" i="40"/>
  <c r="CA88" i="40"/>
  <c r="DR88" i="40" s="1"/>
  <c r="DT88" i="40" s="1"/>
  <c r="BW68" i="40"/>
  <c r="CA68" i="40"/>
  <c r="DR68" i="40" s="1"/>
  <c r="DT68" i="40" s="1"/>
  <c r="BW78" i="40"/>
  <c r="CA78" i="40"/>
  <c r="DR78" i="40" s="1"/>
  <c r="DT78" i="40" s="1"/>
  <c r="BW45" i="40"/>
  <c r="CA45" i="40"/>
  <c r="DR45" i="40" s="1"/>
  <c r="DT45" i="40" s="1"/>
  <c r="BA80" i="40"/>
  <c r="BA60" i="40"/>
  <c r="BA29" i="40"/>
  <c r="BA54" i="40"/>
  <c r="BA34" i="40"/>
  <c r="BA48" i="40"/>
  <c r="BA61" i="40"/>
  <c r="BA59" i="40"/>
  <c r="BA90" i="40"/>
  <c r="BA41" i="40"/>
  <c r="BA53" i="40"/>
  <c r="BA45" i="40"/>
  <c r="BA39" i="40"/>
  <c r="BA73" i="40"/>
  <c r="BA51" i="40"/>
  <c r="BA37" i="40"/>
  <c r="BA82" i="40"/>
  <c r="DO82" i="40"/>
  <c r="DQ82" i="40" s="1"/>
  <c r="BA40" i="40"/>
  <c r="DO40" i="40"/>
  <c r="DQ40" i="40" s="1"/>
  <c r="BA26" i="40"/>
  <c r="BA66" i="40"/>
  <c r="BA86" i="40"/>
  <c r="BA72" i="40"/>
  <c r="BA89" i="40"/>
  <c r="DO89" i="40"/>
  <c r="DQ89" i="40" s="1"/>
  <c r="BA83" i="40"/>
  <c r="BA76" i="40"/>
  <c r="BA68" i="40"/>
  <c r="BA64" i="40"/>
  <c r="BA55" i="40"/>
  <c r="BA33" i="40"/>
  <c r="BA42" i="40"/>
  <c r="BA38" i="40"/>
  <c r="BA46" i="40"/>
  <c r="DO46" i="40"/>
  <c r="DQ46" i="40" s="1"/>
  <c r="BA63" i="40"/>
  <c r="BA50" i="40"/>
  <c r="BA49" i="40"/>
  <c r="BA79" i="40"/>
  <c r="BA88" i="40"/>
  <c r="BA69" i="40"/>
  <c r="BA65" i="40"/>
  <c r="BA87" i="40"/>
  <c r="BA43" i="40"/>
  <c r="BA62" i="40"/>
  <c r="BA67" i="40"/>
  <c r="BA56" i="40"/>
  <c r="BA85" i="40"/>
  <c r="BA77" i="40"/>
  <c r="DO77" i="40"/>
  <c r="DQ77" i="40" s="1"/>
  <c r="BA70" i="40"/>
  <c r="BA32" i="40"/>
  <c r="BA81" i="40"/>
  <c r="BA78" i="40"/>
  <c r="BA57" i="40"/>
  <c r="BA27" i="40"/>
  <c r="BA75" i="40"/>
  <c r="DO75" i="40"/>
  <c r="DQ75" i="40" s="1"/>
  <c r="BA31" i="40"/>
  <c r="DO31" i="40"/>
  <c r="DQ31" i="40" s="1"/>
  <c r="BA47" i="40"/>
  <c r="DO47" i="40"/>
  <c r="DQ47" i="40" s="1"/>
  <c r="BA58" i="40"/>
  <c r="DO58" i="40"/>
  <c r="DQ58" i="40" s="1"/>
  <c r="BA35" i="40"/>
  <c r="DO35" i="40"/>
  <c r="DQ35" i="40" s="1"/>
  <c r="BA74" i="40"/>
  <c r="DO74" i="40"/>
  <c r="DQ74" i="40" s="1"/>
  <c r="BA71" i="40"/>
  <c r="DO71" i="40"/>
  <c r="DQ71" i="40" s="1"/>
  <c r="BA52" i="40"/>
  <c r="DO52" i="40"/>
  <c r="DQ52" i="40" s="1"/>
  <c r="BA44" i="40"/>
  <c r="DC42" i="40"/>
  <c r="DE42" i="40" s="1"/>
  <c r="DF42" i="40" s="1"/>
  <c r="DC40" i="40"/>
  <c r="DE40" i="40" s="1"/>
  <c r="DF40" i="40" s="1"/>
  <c r="EZ18" i="40"/>
  <c r="HH17" i="40"/>
  <c r="DC81" i="40"/>
  <c r="DE81" i="40" s="1"/>
  <c r="DF81" i="40" s="1"/>
  <c r="DC31" i="40"/>
  <c r="DE31" i="40" s="1"/>
  <c r="DF31" i="40" s="1"/>
  <c r="DC58" i="40"/>
  <c r="DE58" i="40" s="1"/>
  <c r="DF58" i="40" s="1"/>
  <c r="BR73" i="40"/>
  <c r="BR57" i="40"/>
  <c r="BR52" i="40"/>
  <c r="BR47" i="40"/>
  <c r="BR70" i="40"/>
  <c r="BR42" i="40"/>
  <c r="BR53" i="40"/>
  <c r="BR43" i="40"/>
  <c r="BR86" i="40"/>
  <c r="BR72" i="40"/>
  <c r="BR83" i="40"/>
  <c r="BR85" i="40"/>
  <c r="BR27" i="40"/>
  <c r="BR65" i="40"/>
  <c r="BR56" i="40"/>
  <c r="BR90" i="40"/>
  <c r="BR44" i="40"/>
  <c r="BR35" i="40"/>
  <c r="BR39" i="40"/>
  <c r="BR59" i="40"/>
  <c r="BR62" i="40"/>
  <c r="BR29" i="40"/>
  <c r="BR49" i="40"/>
  <c r="BR80" i="40"/>
  <c r="BR37" i="40"/>
  <c r="BR55" i="40"/>
  <c r="BR48" i="40"/>
  <c r="BR34" i="40"/>
  <c r="BR76" i="40"/>
  <c r="BR33" i="40"/>
  <c r="BR54" i="40"/>
  <c r="BR26" i="40"/>
  <c r="BR77" i="40"/>
  <c r="BR74" i="40"/>
  <c r="BR75" i="40"/>
  <c r="BR82" i="40"/>
  <c r="BR63" i="40"/>
  <c r="BR58" i="40"/>
  <c r="BR60" i="40"/>
  <c r="BR40" i="40"/>
  <c r="BR32" i="40"/>
  <c r="BR31" i="40"/>
  <c r="BR38" i="40"/>
  <c r="BR61" i="40"/>
  <c r="BR64" i="40"/>
  <c r="BR81" i="40"/>
  <c r="BR89" i="40"/>
  <c r="BR50" i="40"/>
  <c r="BR69" i="40"/>
  <c r="BR79" i="40"/>
  <c r="BR46" i="40"/>
  <c r="HH21" i="40"/>
  <c r="DC41" i="40"/>
  <c r="DE41" i="40" s="1"/>
  <c r="DF41" i="40" s="1"/>
  <c r="DC63" i="40"/>
  <c r="DE63" i="40" s="1"/>
  <c r="DF63" i="40" s="1"/>
  <c r="EZ20" i="40"/>
  <c r="GJ20" i="40" s="1"/>
  <c r="DC88" i="40"/>
  <c r="DE88" i="40" s="1"/>
  <c r="DF88" i="40" s="1"/>
  <c r="DC89" i="40"/>
  <c r="DE89" i="40" s="1"/>
  <c r="DF89" i="40" s="1"/>
  <c r="DC72" i="40"/>
  <c r="DE72" i="40" s="1"/>
  <c r="DF72" i="40" s="1"/>
  <c r="DC79" i="40"/>
  <c r="DE79" i="40" s="1"/>
  <c r="DF79" i="40" s="1"/>
  <c r="DC46" i="40"/>
  <c r="DE46" i="40" s="1"/>
  <c r="DF46" i="40" s="1"/>
  <c r="DC61" i="40"/>
  <c r="DE61" i="40" s="1"/>
  <c r="DF61" i="40" s="1"/>
  <c r="DC29" i="40"/>
  <c r="DE29" i="40" s="1"/>
  <c r="DF29" i="40" s="1"/>
  <c r="BS67" i="40"/>
  <c r="DC47" i="40"/>
  <c r="DE47" i="40" s="1"/>
  <c r="DF47" i="40" s="1"/>
  <c r="DC35" i="40"/>
  <c r="DE35" i="40" s="1"/>
  <c r="DF35" i="40" s="1"/>
  <c r="DC70" i="40"/>
  <c r="DE70" i="40" s="1"/>
  <c r="DF70" i="40" s="1"/>
  <c r="DH41" i="40"/>
  <c r="DI41" i="40"/>
  <c r="DI63" i="40"/>
  <c r="DH40" i="40"/>
  <c r="DI40" i="40"/>
  <c r="DH31" i="40"/>
  <c r="DI31" i="40"/>
  <c r="DI58" i="40"/>
  <c r="DI81" i="40"/>
  <c r="DH42" i="40"/>
  <c r="DI42" i="40"/>
  <c r="CV42" i="40" s="1"/>
  <c r="DI88" i="40"/>
  <c r="DH89" i="40"/>
  <c r="DI46" i="40"/>
  <c r="DH61" i="40"/>
  <c r="CR29" i="40"/>
  <c r="CQ29" i="40"/>
  <c r="CP29" i="40" s="1"/>
  <c r="CT29" i="40" s="1"/>
  <c r="CB63" i="40"/>
  <c r="DO63" i="40"/>
  <c r="DQ63" i="40" s="1"/>
  <c r="CR46" i="40"/>
  <c r="CQ46" i="40"/>
  <c r="CP46" i="40" s="1"/>
  <c r="CT46" i="40" s="1"/>
  <c r="CR77" i="40"/>
  <c r="CQ77" i="40"/>
  <c r="CP77" i="40" s="1"/>
  <c r="CB48" i="40"/>
  <c r="DO48" i="40"/>
  <c r="DQ48" i="40" s="1"/>
  <c r="CB60" i="40"/>
  <c r="DO60" i="40"/>
  <c r="DQ60" i="40" s="1"/>
  <c r="CB29" i="40"/>
  <c r="DO29" i="40"/>
  <c r="DQ29" i="40" s="1"/>
  <c r="CR45" i="40"/>
  <c r="CQ45" i="40"/>
  <c r="CP45" i="40" s="1"/>
  <c r="CT45" i="40" s="1"/>
  <c r="CR82" i="40"/>
  <c r="CQ82" i="40"/>
  <c r="CP82" i="40" s="1"/>
  <c r="CT82" i="40" s="1"/>
  <c r="CB79" i="40"/>
  <c r="DO79" i="40"/>
  <c r="DQ79" i="40" s="1"/>
  <c r="CB61" i="40"/>
  <c r="DO61" i="40"/>
  <c r="DQ61" i="40" s="1"/>
  <c r="CB26" i="40"/>
  <c r="DO26" i="40"/>
  <c r="DQ26" i="40" s="1"/>
  <c r="CR57" i="40"/>
  <c r="CQ57" i="40"/>
  <c r="CP57" i="40" s="1"/>
  <c r="CT57" i="40" s="1"/>
  <c r="CR53" i="40"/>
  <c r="CQ53" i="40"/>
  <c r="CP53" i="40" s="1"/>
  <c r="CT53" i="40" s="1"/>
  <c r="CB78" i="40"/>
  <c r="DO78" i="40"/>
  <c r="DQ78" i="40" s="1"/>
  <c r="CB69" i="40"/>
  <c r="DO69" i="40"/>
  <c r="DQ69" i="40" s="1"/>
  <c r="CB86" i="40"/>
  <c r="DO86" i="40"/>
  <c r="DQ86" i="40" s="1"/>
  <c r="CB27" i="40"/>
  <c r="DO27" i="40"/>
  <c r="DQ27" i="40" s="1"/>
  <c r="CB65" i="40"/>
  <c r="DO65" i="40"/>
  <c r="DQ65" i="40" s="1"/>
  <c r="CB83" i="40"/>
  <c r="DO83" i="40"/>
  <c r="DQ83" i="40" s="1"/>
  <c r="CR75" i="40"/>
  <c r="CQ75" i="40"/>
  <c r="CP75" i="40" s="1"/>
  <c r="CB76" i="40"/>
  <c r="DO76" i="40"/>
  <c r="DQ76" i="40" s="1"/>
  <c r="CR31" i="40"/>
  <c r="CQ31" i="40"/>
  <c r="CP31" i="40" s="1"/>
  <c r="CT31" i="40" s="1"/>
  <c r="CR47" i="40"/>
  <c r="CQ47" i="40"/>
  <c r="CP47" i="40" s="1"/>
  <c r="CT47" i="40" s="1"/>
  <c r="CB41" i="40"/>
  <c r="DO41" i="40"/>
  <c r="DQ41" i="40" s="1"/>
  <c r="CR35" i="40"/>
  <c r="CQ35" i="40"/>
  <c r="CP35" i="40" s="1"/>
  <c r="CT35" i="40" s="1"/>
  <c r="CR71" i="40"/>
  <c r="CQ71" i="40"/>
  <c r="CP71" i="40" s="1"/>
  <c r="CT71" i="40" s="1"/>
  <c r="CB67" i="40"/>
  <c r="DO67" i="40"/>
  <c r="DQ67" i="40" s="1"/>
  <c r="CB42" i="40"/>
  <c r="DO42" i="40"/>
  <c r="DQ42" i="40" s="1"/>
  <c r="CR52" i="40"/>
  <c r="CQ52" i="40"/>
  <c r="CP52" i="40" s="1"/>
  <c r="CT52" i="40" s="1"/>
  <c r="CB85" i="40"/>
  <c r="DO85" i="40"/>
  <c r="DQ85" i="40" s="1"/>
  <c r="CB39" i="40"/>
  <c r="DO39" i="40"/>
  <c r="DQ39" i="40" s="1"/>
  <c r="BS87" i="40"/>
  <c r="BW87" i="40"/>
  <c r="DC48" i="40"/>
  <c r="DE48" i="40" s="1"/>
  <c r="DF48" i="40" s="1"/>
  <c r="DC38" i="40"/>
  <c r="DE38" i="40" s="1"/>
  <c r="DF38" i="40" s="1"/>
  <c r="DC44" i="40"/>
  <c r="DE44" i="40" s="1"/>
  <c r="DF44" i="40" s="1"/>
  <c r="GU18" i="40"/>
  <c r="CR63" i="40"/>
  <c r="CQ63" i="40"/>
  <c r="CP63" i="40" s="1"/>
  <c r="CT63" i="40" s="1"/>
  <c r="CR65" i="40"/>
  <c r="CQ65" i="40"/>
  <c r="CP65" i="40" s="1"/>
  <c r="CT65" i="40" s="1"/>
  <c r="CB80" i="40"/>
  <c r="DO80" i="40"/>
  <c r="DQ80" i="40" s="1"/>
  <c r="CB50" i="40"/>
  <c r="DO50" i="40"/>
  <c r="DQ50" i="40" s="1"/>
  <c r="CB34" i="40"/>
  <c r="DO34" i="40"/>
  <c r="DQ34" i="40" s="1"/>
  <c r="CR79" i="40"/>
  <c r="CQ79" i="40"/>
  <c r="CP79" i="40" s="1"/>
  <c r="CT79" i="40" s="1"/>
  <c r="CR48" i="40"/>
  <c r="CQ48" i="40"/>
  <c r="CP48" i="40" s="1"/>
  <c r="CT48" i="40" s="1"/>
  <c r="CR60" i="40"/>
  <c r="CQ60" i="40"/>
  <c r="CP60" i="40" s="1"/>
  <c r="CT60" i="40" s="1"/>
  <c r="CB70" i="40"/>
  <c r="DO70" i="40"/>
  <c r="DQ70" i="40" s="1"/>
  <c r="CB32" i="40"/>
  <c r="DO32" i="40"/>
  <c r="DQ32" i="40" s="1"/>
  <c r="CB54" i="40"/>
  <c r="DO54" i="40"/>
  <c r="DQ54" i="40" s="1"/>
  <c r="CB81" i="40"/>
  <c r="DO81" i="40"/>
  <c r="DQ81" i="40" s="1"/>
  <c r="CR78" i="40"/>
  <c r="CQ78" i="40"/>
  <c r="CP78" i="40" s="1"/>
  <c r="CT78" i="40" s="1"/>
  <c r="CR86" i="40"/>
  <c r="CQ86" i="40"/>
  <c r="CP86" i="40" s="1"/>
  <c r="CT86" i="40" s="1"/>
  <c r="CR83" i="40"/>
  <c r="CQ83" i="40"/>
  <c r="CP83" i="40" s="1"/>
  <c r="CT83" i="40" s="1"/>
  <c r="CB43" i="40"/>
  <c r="DO43" i="40"/>
  <c r="DQ43" i="40" s="1"/>
  <c r="CB68" i="40"/>
  <c r="DO68" i="40"/>
  <c r="DQ68" i="40" s="1"/>
  <c r="CB64" i="40"/>
  <c r="DO64" i="40"/>
  <c r="DQ64" i="40" s="1"/>
  <c r="CR41" i="40"/>
  <c r="CQ41" i="40"/>
  <c r="CP41" i="40" s="1"/>
  <c r="CT41" i="40" s="1"/>
  <c r="DB91" i="40"/>
  <c r="CZ91" i="40"/>
  <c r="CY91" i="40"/>
  <c r="CM91" i="40"/>
  <c r="CO91" i="40" s="1"/>
  <c r="CB55" i="40"/>
  <c r="DO55" i="40"/>
  <c r="DQ55" i="40" s="1"/>
  <c r="CB53" i="40"/>
  <c r="DO53" i="40"/>
  <c r="DQ53" i="40" s="1"/>
  <c r="CR67" i="40"/>
  <c r="CQ67" i="40"/>
  <c r="CP67" i="40" s="1"/>
  <c r="CT67" i="40" s="1"/>
  <c r="CR42" i="40"/>
  <c r="CQ42" i="40"/>
  <c r="DG42" i="40" s="1"/>
  <c r="CR85" i="40"/>
  <c r="CQ85" i="40"/>
  <c r="CP85" i="40" s="1"/>
  <c r="CR39" i="40"/>
  <c r="CQ39" i="40"/>
  <c r="CP39" i="40" s="1"/>
  <c r="CT39" i="40" s="1"/>
  <c r="CB73" i="40"/>
  <c r="DO73" i="40"/>
  <c r="DQ73" i="40" s="1"/>
  <c r="BS66" i="40"/>
  <c r="BW66" i="40"/>
  <c r="DC83" i="40"/>
  <c r="DE83" i="40" s="1"/>
  <c r="DF83" i="40" s="1"/>
  <c r="DC75" i="40"/>
  <c r="DE75" i="40" s="1"/>
  <c r="DF75" i="40" s="1"/>
  <c r="DG75" i="40" s="1"/>
  <c r="DC26" i="40"/>
  <c r="DE26" i="40" s="1"/>
  <c r="DF26" i="40" s="1"/>
  <c r="DC62" i="40"/>
  <c r="DE62" i="40" s="1"/>
  <c r="DF62" i="40" s="1"/>
  <c r="DC33" i="40"/>
  <c r="DE33" i="40" s="1"/>
  <c r="DF33" i="40" s="1"/>
  <c r="DC67" i="40"/>
  <c r="DE67" i="40" s="1"/>
  <c r="DF67" i="40" s="1"/>
  <c r="DG67" i="40" s="1"/>
  <c r="DK67" i="40" s="1"/>
  <c r="DC74" i="40"/>
  <c r="DE74" i="40" s="1"/>
  <c r="DF74" i="40" s="1"/>
  <c r="DC76" i="40"/>
  <c r="DE76" i="40" s="1"/>
  <c r="DF76" i="40" s="1"/>
  <c r="DC80" i="40"/>
  <c r="DE80" i="40" s="1"/>
  <c r="DF80" i="40" s="1"/>
  <c r="DC56" i="40"/>
  <c r="DE56" i="40" s="1"/>
  <c r="DF56" i="40" s="1"/>
  <c r="DC66" i="40"/>
  <c r="DE66" i="40" s="1"/>
  <c r="DF66" i="40" s="1"/>
  <c r="DC69" i="40"/>
  <c r="DE69" i="40" s="1"/>
  <c r="DF69" i="40" s="1"/>
  <c r="DC59" i="40"/>
  <c r="DE59" i="40" s="1"/>
  <c r="DF59" i="40" s="1"/>
  <c r="DC60" i="40"/>
  <c r="DE60" i="40" s="1"/>
  <c r="DF60" i="40" s="1"/>
  <c r="DG60" i="40" s="1"/>
  <c r="DK60" i="40" s="1"/>
  <c r="CR89" i="40"/>
  <c r="CQ89" i="40"/>
  <c r="CP89" i="40" s="1"/>
  <c r="CT89" i="40" s="1"/>
  <c r="CR69" i="40"/>
  <c r="CQ69" i="40"/>
  <c r="CP69" i="40" s="1"/>
  <c r="CT69" i="40" s="1"/>
  <c r="CB51" i="40"/>
  <c r="DO51" i="40"/>
  <c r="DQ51" i="40" s="1"/>
  <c r="CR80" i="40"/>
  <c r="CQ80" i="40"/>
  <c r="CP80" i="40" s="1"/>
  <c r="CR50" i="40"/>
  <c r="CQ50" i="40"/>
  <c r="CP50" i="40" s="1"/>
  <c r="CT50" i="40" s="1"/>
  <c r="CR34" i="40"/>
  <c r="CQ34" i="40"/>
  <c r="CP34" i="40" s="1"/>
  <c r="CT34" i="40" s="1"/>
  <c r="CR55" i="40"/>
  <c r="CQ55" i="40"/>
  <c r="CP55" i="40" s="1"/>
  <c r="CT55" i="40" s="1"/>
  <c r="CB49" i="40"/>
  <c r="DO49" i="40"/>
  <c r="DQ49" i="40" s="1"/>
  <c r="CB37" i="40"/>
  <c r="DO37" i="40"/>
  <c r="DQ37" i="40" s="1"/>
  <c r="CR87" i="40"/>
  <c r="CQ87" i="40"/>
  <c r="CP87" i="40" s="1"/>
  <c r="CT87" i="40" s="1"/>
  <c r="CR70" i="40"/>
  <c r="CQ70" i="40"/>
  <c r="CP70" i="40" s="1"/>
  <c r="CR32" i="40"/>
  <c r="CQ32" i="40"/>
  <c r="CP32" i="40" s="1"/>
  <c r="CT32" i="40" s="1"/>
  <c r="CR54" i="40"/>
  <c r="CQ54" i="40"/>
  <c r="CP54" i="40" s="1"/>
  <c r="CT54" i="40" s="1"/>
  <c r="CR61" i="40"/>
  <c r="CQ61" i="40"/>
  <c r="CP61" i="40" s="1"/>
  <c r="CT61" i="40" s="1"/>
  <c r="CR81" i="40"/>
  <c r="CQ81" i="40"/>
  <c r="CP81" i="40" s="1"/>
  <c r="CT81" i="40" s="1"/>
  <c r="CR26" i="40"/>
  <c r="CQ26" i="40"/>
  <c r="CP26" i="40" s="1"/>
  <c r="CT26" i="40" s="1"/>
  <c r="CR62" i="40"/>
  <c r="CQ62" i="40"/>
  <c r="CP62" i="40" s="1"/>
  <c r="CT62" i="40" s="1"/>
  <c r="CB88" i="40"/>
  <c r="DO88" i="40"/>
  <c r="DQ88" i="40" s="1"/>
  <c r="CB66" i="40"/>
  <c r="DO66" i="40"/>
  <c r="DQ66" i="40" s="1"/>
  <c r="CB59" i="40"/>
  <c r="DO59" i="40"/>
  <c r="DQ59" i="40" s="1"/>
  <c r="CB57" i="40"/>
  <c r="DO57" i="40"/>
  <c r="DQ57" i="40" s="1"/>
  <c r="CB72" i="40"/>
  <c r="DO72" i="40"/>
  <c r="DQ72" i="40" s="1"/>
  <c r="CB90" i="40"/>
  <c r="DO90" i="40"/>
  <c r="DQ90" i="40" s="1"/>
  <c r="CB87" i="40"/>
  <c r="DO87" i="40"/>
  <c r="DQ87" i="40" s="1"/>
  <c r="CR43" i="40"/>
  <c r="CQ43" i="40"/>
  <c r="CP43" i="40" s="1"/>
  <c r="CR68" i="40"/>
  <c r="CQ68" i="40"/>
  <c r="CP68" i="40" s="1"/>
  <c r="CT68" i="40" s="1"/>
  <c r="CR64" i="40"/>
  <c r="CQ64" i="40"/>
  <c r="CP64" i="40" s="1"/>
  <c r="CT64" i="40" s="1"/>
  <c r="CB62" i="40"/>
  <c r="DO62" i="40"/>
  <c r="DQ62" i="40" s="1"/>
  <c r="CB33" i="40"/>
  <c r="DO33" i="40"/>
  <c r="DQ33" i="40" s="1"/>
  <c r="CY28" i="40"/>
  <c r="DB28" i="40"/>
  <c r="CZ28" i="40"/>
  <c r="CM28" i="40"/>
  <c r="CO28" i="40" s="1"/>
  <c r="CB56" i="40"/>
  <c r="DO56" i="40"/>
  <c r="DQ56" i="40" s="1"/>
  <c r="CB38" i="40"/>
  <c r="DO38" i="40"/>
  <c r="DQ38" i="40" s="1"/>
  <c r="CB44" i="40"/>
  <c r="DO44" i="40"/>
  <c r="DQ44" i="40" s="1"/>
  <c r="CR73" i="40"/>
  <c r="CQ73" i="40"/>
  <c r="CP73" i="40" s="1"/>
  <c r="DC43" i="40"/>
  <c r="DE43" i="40" s="1"/>
  <c r="DF43" i="40" s="1"/>
  <c r="DC51" i="40"/>
  <c r="DE51" i="40" s="1"/>
  <c r="DF51" i="40" s="1"/>
  <c r="DG51" i="40" s="1"/>
  <c r="DK51" i="40" s="1"/>
  <c r="DC50" i="40"/>
  <c r="DE50" i="40" s="1"/>
  <c r="DF50" i="40" s="1"/>
  <c r="DC34" i="40"/>
  <c r="DE34" i="40" s="1"/>
  <c r="DF34" i="40" s="1"/>
  <c r="DG34" i="40" s="1"/>
  <c r="DK34" i="40" s="1"/>
  <c r="DC39" i="40"/>
  <c r="DE39" i="40" s="1"/>
  <c r="DF39" i="40" s="1"/>
  <c r="DC45" i="40"/>
  <c r="DE45" i="40" s="1"/>
  <c r="DF45" i="40" s="1"/>
  <c r="DG45" i="40" s="1"/>
  <c r="DK45" i="40" s="1"/>
  <c r="DC37" i="40"/>
  <c r="DE37" i="40" s="1"/>
  <c r="DF37" i="40" s="1"/>
  <c r="DC82" i="40"/>
  <c r="DE82" i="40" s="1"/>
  <c r="DF82" i="40" s="1"/>
  <c r="DG82" i="40" s="1"/>
  <c r="DK82" i="40" s="1"/>
  <c r="DC32" i="40"/>
  <c r="DE32" i="40" s="1"/>
  <c r="DF32" i="40" s="1"/>
  <c r="CR58" i="40"/>
  <c r="CQ58" i="40"/>
  <c r="CP58" i="40" s="1"/>
  <c r="CT58" i="40" s="1"/>
  <c r="CR74" i="40"/>
  <c r="CQ74" i="40"/>
  <c r="CP74" i="40" s="1"/>
  <c r="CT74" i="40" s="1"/>
  <c r="CR51" i="40"/>
  <c r="CQ51" i="40"/>
  <c r="CP51" i="40" s="1"/>
  <c r="CT51" i="40" s="1"/>
  <c r="CB46" i="40"/>
  <c r="CB77" i="40"/>
  <c r="CY36" i="40"/>
  <c r="DB36" i="40"/>
  <c r="CZ36" i="40"/>
  <c r="CM36" i="40"/>
  <c r="CR40" i="40"/>
  <c r="CQ40" i="40"/>
  <c r="CP40" i="40" s="1"/>
  <c r="CT40" i="40" s="1"/>
  <c r="CR49" i="40"/>
  <c r="CQ49" i="40"/>
  <c r="CP49" i="40" s="1"/>
  <c r="CT49" i="40" s="1"/>
  <c r="CR37" i="40"/>
  <c r="CQ37" i="40"/>
  <c r="CP37" i="40" s="1"/>
  <c r="CT37" i="40" s="1"/>
  <c r="CB82" i="40"/>
  <c r="CB40" i="40"/>
  <c r="CR56" i="40"/>
  <c r="CQ56" i="40"/>
  <c r="CP56" i="40" s="1"/>
  <c r="CT56" i="40" s="1"/>
  <c r="CR76" i="40"/>
  <c r="CQ76" i="40"/>
  <c r="CP76" i="40" s="1"/>
  <c r="CT76" i="40" s="1"/>
  <c r="CR88" i="40"/>
  <c r="CQ88" i="40"/>
  <c r="CP88" i="40" s="1"/>
  <c r="CT88" i="40" s="1"/>
  <c r="CR66" i="40"/>
  <c r="CQ66" i="40"/>
  <c r="CP66" i="40" s="1"/>
  <c r="CT66" i="40" s="1"/>
  <c r="CR59" i="40"/>
  <c r="CQ59" i="40"/>
  <c r="CP59" i="40" s="1"/>
  <c r="CT59" i="40" s="1"/>
  <c r="DB30" i="40"/>
  <c r="CZ30" i="40"/>
  <c r="CY30" i="40"/>
  <c r="CM30" i="40"/>
  <c r="CR72" i="40"/>
  <c r="CQ72" i="40"/>
  <c r="CP72" i="40" s="1"/>
  <c r="CT72" i="40" s="1"/>
  <c r="CB89" i="40"/>
  <c r="CR90" i="40"/>
  <c r="CQ90" i="40"/>
  <c r="CP90" i="40" s="1"/>
  <c r="CT90" i="40" s="1"/>
  <c r="CB75" i="40"/>
  <c r="CB31" i="40"/>
  <c r="CB47" i="40"/>
  <c r="CB58" i="40"/>
  <c r="CB35" i="40"/>
  <c r="CB74" i="40"/>
  <c r="CB71" i="40"/>
  <c r="CR33" i="40"/>
  <c r="CQ33" i="40"/>
  <c r="CP33" i="40" s="1"/>
  <c r="CT33" i="40" s="1"/>
  <c r="DB84" i="40"/>
  <c r="CZ84" i="40"/>
  <c r="CY84" i="40"/>
  <c r="CM84" i="40"/>
  <c r="CO84" i="40" s="1"/>
  <c r="CB45" i="40"/>
  <c r="DO45" i="40"/>
  <c r="DQ45" i="40" s="1"/>
  <c r="CB52" i="40"/>
  <c r="CR38" i="40"/>
  <c r="CQ38" i="40"/>
  <c r="CP38" i="40" s="1"/>
  <c r="CT38" i="40" s="1"/>
  <c r="CR44" i="40"/>
  <c r="CQ44" i="40"/>
  <c r="CP44" i="40" s="1"/>
  <c r="CT44" i="40" s="1"/>
  <c r="CA67" i="40"/>
  <c r="DR67" i="40" s="1"/>
  <c r="DT67" i="40" s="1"/>
  <c r="CA51" i="40"/>
  <c r="DR51" i="40" s="1"/>
  <c r="DT51" i="40" s="1"/>
  <c r="BW51" i="40"/>
  <c r="DB27" i="40"/>
  <c r="CZ27" i="40"/>
  <c r="CY27" i="40"/>
  <c r="CM27" i="40"/>
  <c r="CO27" i="40" s="1"/>
  <c r="DC68" i="40"/>
  <c r="DE68" i="40" s="1"/>
  <c r="DF68" i="40" s="1"/>
  <c r="DC64" i="40"/>
  <c r="DE64" i="40" s="1"/>
  <c r="DF64" i="40" s="1"/>
  <c r="DG64" i="40" s="1"/>
  <c r="DK64" i="40" s="1"/>
  <c r="DC49" i="40"/>
  <c r="DE49" i="40" s="1"/>
  <c r="DF49" i="40" s="1"/>
  <c r="DG49" i="40" s="1"/>
  <c r="DK49" i="40" s="1"/>
  <c r="DC65" i="40"/>
  <c r="DE65" i="40" s="1"/>
  <c r="DF65" i="40" s="1"/>
  <c r="DG65" i="40" s="1"/>
  <c r="DK65" i="40" s="1"/>
  <c r="DC90" i="40"/>
  <c r="DE90" i="40" s="1"/>
  <c r="DF90" i="40" s="1"/>
  <c r="DG90" i="40" s="1"/>
  <c r="DK90" i="40" s="1"/>
  <c r="DC87" i="40"/>
  <c r="DE87" i="40" s="1"/>
  <c r="DF87" i="40" s="1"/>
  <c r="DG87" i="40" s="1"/>
  <c r="DK87" i="40" s="1"/>
  <c r="DC54" i="40"/>
  <c r="DE54" i="40" s="1"/>
  <c r="DF54" i="40" s="1"/>
  <c r="DG54" i="40" s="1"/>
  <c r="DK54" i="40" s="1"/>
  <c r="DC55" i="40"/>
  <c r="DE55" i="40" s="1"/>
  <c r="DF55" i="40" s="1"/>
  <c r="DG55" i="40" s="1"/>
  <c r="DK55" i="40" s="1"/>
  <c r="DC71" i="40"/>
  <c r="DE71" i="40" s="1"/>
  <c r="DF71" i="40" s="1"/>
  <c r="DG71" i="40" s="1"/>
  <c r="DK71" i="40" s="1"/>
  <c r="DC53" i="40"/>
  <c r="DE53" i="40" s="1"/>
  <c r="DF53" i="40" s="1"/>
  <c r="DG53" i="40" s="1"/>
  <c r="DK53" i="40" s="1"/>
  <c r="DC73" i="40"/>
  <c r="DE73" i="40" s="1"/>
  <c r="DF73" i="40" s="1"/>
  <c r="DC77" i="40"/>
  <c r="DE77" i="40" s="1"/>
  <c r="DF77" i="40" s="1"/>
  <c r="DG77" i="40" s="1"/>
  <c r="DC52" i="40"/>
  <c r="DE52" i="40" s="1"/>
  <c r="DF52" i="40" s="1"/>
  <c r="DG52" i="40" s="1"/>
  <c r="DK52" i="40" s="1"/>
  <c r="DC85" i="40"/>
  <c r="DE85" i="40" s="1"/>
  <c r="DF85" i="40" s="1"/>
  <c r="DG85" i="40" s="1"/>
  <c r="DC78" i="40"/>
  <c r="DE78" i="40" s="1"/>
  <c r="DF78" i="40" s="1"/>
  <c r="DG78" i="40" s="1"/>
  <c r="DK78" i="40" s="1"/>
  <c r="DC86" i="40"/>
  <c r="DE86" i="40" s="1"/>
  <c r="DF86" i="40" s="1"/>
  <c r="DG86" i="40" s="1"/>
  <c r="DK86" i="40" s="1"/>
  <c r="DC57" i="40"/>
  <c r="DE57" i="40" s="1"/>
  <c r="DF57" i="40" s="1"/>
  <c r="DG57" i="40" s="1"/>
  <c r="DK57" i="40" s="1"/>
  <c r="BS41" i="40"/>
  <c r="BS86" i="40"/>
  <c r="BS80" i="40"/>
  <c r="BS37" i="40"/>
  <c r="BS46" i="40"/>
  <c r="CA87" i="40"/>
  <c r="DR87" i="40" s="1"/>
  <c r="DT87" i="40" s="1"/>
  <c r="BO28" i="40"/>
  <c r="BS38" i="40"/>
  <c r="BS60" i="40"/>
  <c r="BS54" i="40"/>
  <c r="BS73" i="40"/>
  <c r="BS49" i="40"/>
  <c r="BS63" i="40"/>
  <c r="BS40" i="40"/>
  <c r="BS89" i="40"/>
  <c r="BS85" i="40"/>
  <c r="BS70" i="40"/>
  <c r="BS76" i="40"/>
  <c r="BB37" i="40"/>
  <c r="BG37" i="40"/>
  <c r="BS83" i="40"/>
  <c r="BG51" i="40"/>
  <c r="BB51" i="40"/>
  <c r="BG80" i="40"/>
  <c r="BB80" i="40"/>
  <c r="BG50" i="40"/>
  <c r="BB50" i="40"/>
  <c r="BG34" i="40"/>
  <c r="BB34" i="40"/>
  <c r="BG61" i="40"/>
  <c r="BB61" i="40"/>
  <c r="BG27" i="40"/>
  <c r="BB27" i="40"/>
  <c r="BS77" i="40"/>
  <c r="BS75" i="40"/>
  <c r="BG78" i="40"/>
  <c r="BB78" i="40"/>
  <c r="BG69" i="40"/>
  <c r="BB69" i="40"/>
  <c r="BG72" i="40"/>
  <c r="BB72" i="40"/>
  <c r="BG89" i="40"/>
  <c r="BB89" i="40"/>
  <c r="BS90" i="40"/>
  <c r="BG43" i="40"/>
  <c r="BB43" i="40"/>
  <c r="BB68" i="40"/>
  <c r="CC68" i="40" s="1"/>
  <c r="BG68" i="40"/>
  <c r="BG64" i="40"/>
  <c r="BB64" i="40"/>
  <c r="BB35" i="40"/>
  <c r="BG35" i="40"/>
  <c r="BG55" i="40"/>
  <c r="BB55" i="40"/>
  <c r="BG71" i="40"/>
  <c r="BB71" i="40"/>
  <c r="BG33" i="40"/>
  <c r="BB33" i="40"/>
  <c r="AW28" i="40"/>
  <c r="AZ28" i="40" s="1"/>
  <c r="BK28" i="40" s="1"/>
  <c r="BG85" i="40"/>
  <c r="BB85" i="40"/>
  <c r="CC85" i="40" s="1"/>
  <c r="BG39" i="40"/>
  <c r="BB39" i="40"/>
  <c r="BG40" i="40"/>
  <c r="BB40" i="40"/>
  <c r="BS61" i="40"/>
  <c r="BS64" i="40"/>
  <c r="BG86" i="40"/>
  <c r="BB86" i="40"/>
  <c r="AW30" i="40"/>
  <c r="AZ30" i="40" s="1"/>
  <c r="BK30" i="40" s="1"/>
  <c r="BO30" i="40"/>
  <c r="BB90" i="40"/>
  <c r="BG90" i="40"/>
  <c r="BG87" i="40"/>
  <c r="BB87" i="40"/>
  <c r="BS44" i="40"/>
  <c r="BB41" i="40"/>
  <c r="BG41" i="40"/>
  <c r="BS59" i="40"/>
  <c r="BS62" i="40"/>
  <c r="BS69" i="40"/>
  <c r="AW84" i="40"/>
  <c r="AZ84" i="40" s="1"/>
  <c r="BK84" i="40" s="1"/>
  <c r="BG45" i="40"/>
  <c r="BB45" i="40"/>
  <c r="CC45" i="40" s="1"/>
  <c r="BG56" i="40"/>
  <c r="BB56" i="40"/>
  <c r="BO36" i="40"/>
  <c r="BS50" i="40"/>
  <c r="BS34" i="40"/>
  <c r="BG49" i="40"/>
  <c r="BB49" i="40"/>
  <c r="BG54" i="40"/>
  <c r="BB54" i="40"/>
  <c r="BG63" i="40"/>
  <c r="BB63" i="40"/>
  <c r="BG46" i="40"/>
  <c r="BB46" i="40"/>
  <c r="BG77" i="40"/>
  <c r="BB77" i="40"/>
  <c r="CC77" i="40" s="1"/>
  <c r="CO36" i="40"/>
  <c r="AW36" i="40"/>
  <c r="AZ36" i="40" s="1"/>
  <c r="BK36" i="40" s="1"/>
  <c r="BG81" i="40"/>
  <c r="BB81" i="40"/>
  <c r="BB26" i="40"/>
  <c r="BG26" i="40"/>
  <c r="BS52" i="40"/>
  <c r="BG88" i="40"/>
  <c r="BB88" i="40"/>
  <c r="CC88" i="40" s="1"/>
  <c r="BG66" i="40"/>
  <c r="BB66" i="40"/>
  <c r="CC66" i="40" s="1"/>
  <c r="BS82" i="40"/>
  <c r="BS47" i="40"/>
  <c r="BG65" i="40"/>
  <c r="BB65" i="40"/>
  <c r="BG76" i="40"/>
  <c r="BB76" i="40"/>
  <c r="BG31" i="40"/>
  <c r="BB31" i="40"/>
  <c r="BG47" i="40"/>
  <c r="BB47" i="40"/>
  <c r="AW91" i="40"/>
  <c r="AZ91" i="40" s="1"/>
  <c r="BK91" i="40" s="1"/>
  <c r="BO91" i="40"/>
  <c r="BO84" i="40"/>
  <c r="BB62" i="40"/>
  <c r="BG62" i="40"/>
  <c r="BB53" i="40"/>
  <c r="BG53" i="40"/>
  <c r="BG67" i="40"/>
  <c r="BB67" i="40"/>
  <c r="BG38" i="40"/>
  <c r="BB38" i="40"/>
  <c r="BG44" i="40"/>
  <c r="BB44" i="40"/>
  <c r="BS43" i="40"/>
  <c r="BG82" i="40"/>
  <c r="BB82" i="40"/>
  <c r="BS27" i="40"/>
  <c r="BS32" i="40"/>
  <c r="BG48" i="40"/>
  <c r="BB48" i="40"/>
  <c r="BG60" i="40"/>
  <c r="BB60" i="40"/>
  <c r="BG29" i="40"/>
  <c r="BB29" i="40"/>
  <c r="BG70" i="40"/>
  <c r="BB70" i="40"/>
  <c r="CC70" i="40" s="1"/>
  <c r="BG32" i="40"/>
  <c r="BB32" i="40"/>
  <c r="BG79" i="40"/>
  <c r="BB79" i="40"/>
  <c r="BS26" i="40"/>
  <c r="BG59" i="40"/>
  <c r="BB59" i="40"/>
  <c r="BG57" i="40"/>
  <c r="BB57" i="40"/>
  <c r="CO30" i="40"/>
  <c r="BS56" i="40"/>
  <c r="BG83" i="40"/>
  <c r="BB83" i="40"/>
  <c r="BB75" i="40"/>
  <c r="CC75" i="40" s="1"/>
  <c r="BG75" i="40"/>
  <c r="BG58" i="40"/>
  <c r="BB58" i="40"/>
  <c r="BS39" i="40"/>
  <c r="BG74" i="40"/>
  <c r="BB74" i="40"/>
  <c r="BS53" i="40"/>
  <c r="BG42" i="40"/>
  <c r="BB42" i="40"/>
  <c r="BG52" i="40"/>
  <c r="BB52" i="40"/>
  <c r="BG73" i="40"/>
  <c r="BB73" i="40"/>
  <c r="EU17" i="40"/>
  <c r="HK17" i="40" s="1"/>
  <c r="HO17" i="40" s="1"/>
  <c r="HP17" i="40" s="1"/>
  <c r="EV17" i="40"/>
  <c r="FQ17" i="40" s="1"/>
  <c r="GV17" i="40" s="1"/>
  <c r="EZ21" i="40"/>
  <c r="FB21" i="40" s="1"/>
  <c r="GE21" i="40"/>
  <c r="GH21" i="40" s="1"/>
  <c r="GE17" i="40"/>
  <c r="GH17" i="40" s="1"/>
  <c r="EZ17" i="40"/>
  <c r="FB17" i="40" s="1"/>
  <c r="GE20" i="40"/>
  <c r="GH20" i="40" s="1"/>
  <c r="GE18" i="40"/>
  <c r="GE19" i="40"/>
  <c r="GH19" i="40" s="1"/>
  <c r="FP19" i="40"/>
  <c r="FP17" i="40"/>
  <c r="HH20" i="40"/>
  <c r="HK20" i="40" s="1"/>
  <c r="HO20" i="40" s="1"/>
  <c r="HP20" i="40" s="1"/>
  <c r="GU20" i="40"/>
  <c r="FP18" i="40"/>
  <c r="FB18" i="40"/>
  <c r="GJ18" i="40"/>
  <c r="EU18" i="40"/>
  <c r="GF18" i="40" s="1"/>
  <c r="HI18" i="40" s="1"/>
  <c r="FP21" i="40"/>
  <c r="GU21" i="40"/>
  <c r="FB20" i="40"/>
  <c r="GU19" i="40"/>
  <c r="FP20" i="40"/>
  <c r="GU17" i="40"/>
  <c r="EZ19" i="40"/>
  <c r="GJ19" i="40" s="1"/>
  <c r="EV18" i="40"/>
  <c r="FQ18" i="40" s="1"/>
  <c r="GV18" i="40" s="1"/>
  <c r="EV21" i="40"/>
  <c r="FQ21" i="40" s="1"/>
  <c r="GV21" i="40" s="1"/>
  <c r="EV20" i="40"/>
  <c r="FQ20" i="40" s="1"/>
  <c r="GV20" i="40" s="1"/>
  <c r="EV19" i="40"/>
  <c r="FQ19" i="40" s="1"/>
  <c r="GV19" i="40" s="1"/>
  <c r="HK21" i="40"/>
  <c r="HO21" i="40" s="1"/>
  <c r="HP21" i="40" s="1"/>
  <c r="HH18" i="40"/>
  <c r="HH19" i="40"/>
  <c r="HK19" i="40" s="1"/>
  <c r="HO19" i="40" s="1"/>
  <c r="HP19" i="40" s="1"/>
  <c r="FL14" i="40"/>
  <c r="FL15" i="40"/>
  <c r="FL16" i="40"/>
  <c r="FM14" i="40"/>
  <c r="GC14" i="40"/>
  <c r="GB14" i="40"/>
  <c r="GA14" i="40"/>
  <c r="GA15" i="40"/>
  <c r="GA16" i="40"/>
  <c r="Z43" i="40"/>
  <c r="Z88" i="40"/>
  <c r="Z67" i="40"/>
  <c r="Z79" i="40"/>
  <c r="Z37" i="40"/>
  <c r="Z87" i="40"/>
  <c r="Z71" i="40"/>
  <c r="Z32" i="40"/>
  <c r="Z46" i="40"/>
  <c r="Z51" i="40"/>
  <c r="Z72" i="40"/>
  <c r="Z81" i="40"/>
  <c r="Z41" i="40"/>
  <c r="Z80" i="40"/>
  <c r="Z64" i="40"/>
  <c r="Z27" i="40"/>
  <c r="Z66" i="40"/>
  <c r="Z68" i="40"/>
  <c r="Z78" i="40"/>
  <c r="Z45" i="40"/>
  <c r="Z48" i="40"/>
  <c r="Z33" i="40"/>
  <c r="BW46" i="40" l="1"/>
  <c r="CA46" i="40"/>
  <c r="DR46" i="40" s="1"/>
  <c r="DT46" i="40" s="1"/>
  <c r="BW89" i="40"/>
  <c r="CA89" i="40"/>
  <c r="DR89" i="40" s="1"/>
  <c r="DT89" i="40" s="1"/>
  <c r="BW38" i="40"/>
  <c r="CA38" i="40"/>
  <c r="DR38" i="40" s="1"/>
  <c r="DT38" i="40" s="1"/>
  <c r="BW60" i="40"/>
  <c r="CA60" i="40"/>
  <c r="DR60" i="40" s="1"/>
  <c r="DT60" i="40" s="1"/>
  <c r="BW75" i="40"/>
  <c r="CA75" i="40"/>
  <c r="DR75" i="40" s="1"/>
  <c r="DT75" i="40" s="1"/>
  <c r="BW54" i="40"/>
  <c r="CA54" i="40"/>
  <c r="DR54" i="40" s="1"/>
  <c r="DT54" i="40" s="1"/>
  <c r="BW49" i="40"/>
  <c r="CA49" i="40"/>
  <c r="DR49" i="40" s="1"/>
  <c r="DT49" i="40" s="1"/>
  <c r="BW39" i="40"/>
  <c r="CA39" i="40"/>
  <c r="DR39" i="40" s="1"/>
  <c r="DT39" i="40" s="1"/>
  <c r="BW56" i="40"/>
  <c r="CA56" i="40"/>
  <c r="DR56" i="40" s="1"/>
  <c r="DT56" i="40" s="1"/>
  <c r="BW83" i="40"/>
  <c r="CA83" i="40"/>
  <c r="DR83" i="40" s="1"/>
  <c r="DT83" i="40" s="1"/>
  <c r="BW53" i="40"/>
  <c r="CA53" i="40"/>
  <c r="DR53" i="40" s="1"/>
  <c r="DT53" i="40" s="1"/>
  <c r="BW52" i="40"/>
  <c r="CA52" i="40"/>
  <c r="DR52" i="40" s="1"/>
  <c r="DT52" i="40" s="1"/>
  <c r="BW79" i="40"/>
  <c r="BW81" i="40"/>
  <c r="BW31" i="40"/>
  <c r="BW58" i="40"/>
  <c r="BW74" i="40"/>
  <c r="BW33" i="40"/>
  <c r="BW55" i="40"/>
  <c r="BW29" i="40"/>
  <c r="BW35" i="40"/>
  <c r="BW65" i="40"/>
  <c r="CA65" i="40"/>
  <c r="DR65" i="40" s="1"/>
  <c r="DT65" i="40" s="1"/>
  <c r="BW72" i="40"/>
  <c r="BW42" i="40"/>
  <c r="BW57" i="40"/>
  <c r="BW69" i="40"/>
  <c r="CA69" i="40"/>
  <c r="DR69" i="40" s="1"/>
  <c r="DT69" i="40" s="1"/>
  <c r="BW64" i="40"/>
  <c r="CA64" i="40"/>
  <c r="DR64" i="40" s="1"/>
  <c r="DT64" i="40" s="1"/>
  <c r="BW32" i="40"/>
  <c r="CA32" i="40"/>
  <c r="DR32" i="40" s="1"/>
  <c r="DT32" i="40" s="1"/>
  <c r="BW63" i="40"/>
  <c r="CA63" i="40"/>
  <c r="DR63" i="40" s="1"/>
  <c r="DT63" i="40" s="1"/>
  <c r="BW77" i="40"/>
  <c r="CA77" i="40"/>
  <c r="DR77" i="40" s="1"/>
  <c r="DT77" i="40" s="1"/>
  <c r="BW76" i="40"/>
  <c r="CA76" i="40"/>
  <c r="DR76" i="40" s="1"/>
  <c r="DT76" i="40" s="1"/>
  <c r="BW37" i="40"/>
  <c r="CA37" i="40"/>
  <c r="DR37" i="40" s="1"/>
  <c r="DT37" i="40" s="1"/>
  <c r="BW62" i="40"/>
  <c r="CA62" i="40"/>
  <c r="DR62" i="40" s="1"/>
  <c r="DT62" i="40" s="1"/>
  <c r="BW44" i="40"/>
  <c r="CA44" i="40"/>
  <c r="DR44" i="40" s="1"/>
  <c r="DT44" i="40" s="1"/>
  <c r="BW27" i="40"/>
  <c r="CA27" i="40"/>
  <c r="DR27" i="40" s="1"/>
  <c r="DT27" i="40" s="1"/>
  <c r="BW86" i="40"/>
  <c r="CA86" i="40"/>
  <c r="DR86" i="40" s="1"/>
  <c r="DT86" i="40" s="1"/>
  <c r="BW70" i="40"/>
  <c r="CA70" i="40"/>
  <c r="DR70" i="40" s="1"/>
  <c r="DT70" i="40" s="1"/>
  <c r="BW73" i="40"/>
  <c r="CA73" i="40"/>
  <c r="DR73" i="40" s="1"/>
  <c r="DT73" i="40" s="1"/>
  <c r="BW50" i="40"/>
  <c r="CA50" i="40"/>
  <c r="DR50" i="40" s="1"/>
  <c r="DT50" i="40" s="1"/>
  <c r="BW61" i="40"/>
  <c r="CA61" i="40"/>
  <c r="DR61" i="40" s="1"/>
  <c r="DT61" i="40" s="1"/>
  <c r="BW40" i="40"/>
  <c r="CA40" i="40"/>
  <c r="DR40" i="40" s="1"/>
  <c r="DT40" i="40" s="1"/>
  <c r="BW82" i="40"/>
  <c r="CA82" i="40"/>
  <c r="DR82" i="40" s="1"/>
  <c r="DT82" i="40" s="1"/>
  <c r="BW26" i="40"/>
  <c r="CA26" i="40"/>
  <c r="DR26" i="40" s="1"/>
  <c r="DT26" i="40" s="1"/>
  <c r="BW34" i="40"/>
  <c r="CA34" i="40"/>
  <c r="DR34" i="40" s="1"/>
  <c r="DT34" i="40" s="1"/>
  <c r="BW80" i="40"/>
  <c r="CA80" i="40"/>
  <c r="DR80" i="40" s="1"/>
  <c r="DT80" i="40" s="1"/>
  <c r="BW59" i="40"/>
  <c r="CA59" i="40"/>
  <c r="DR59" i="40" s="1"/>
  <c r="DT59" i="40" s="1"/>
  <c r="BW90" i="40"/>
  <c r="CA90" i="40"/>
  <c r="DR90" i="40" s="1"/>
  <c r="DT90" i="40" s="1"/>
  <c r="BW85" i="40"/>
  <c r="CA85" i="40"/>
  <c r="DR85" i="40" s="1"/>
  <c r="DT85" i="40" s="1"/>
  <c r="BW43" i="40"/>
  <c r="CA43" i="40"/>
  <c r="DR43" i="40" s="1"/>
  <c r="DT43" i="40" s="1"/>
  <c r="BW47" i="40"/>
  <c r="CA47" i="40"/>
  <c r="DR47" i="40" s="1"/>
  <c r="DT47" i="40" s="1"/>
  <c r="CC67" i="40"/>
  <c r="CC71" i="40"/>
  <c r="CC78" i="40"/>
  <c r="BA36" i="40"/>
  <c r="BA91" i="40"/>
  <c r="BA84" i="40"/>
  <c r="BA30" i="40"/>
  <c r="BA28" i="40"/>
  <c r="CC51" i="40"/>
  <c r="DG73" i="40"/>
  <c r="DG46" i="40"/>
  <c r="DK46" i="40" s="1"/>
  <c r="CV46" i="40" s="1"/>
  <c r="DG68" i="40"/>
  <c r="DK68" i="40" s="1"/>
  <c r="DG39" i="40"/>
  <c r="DK39" i="40" s="1"/>
  <c r="CC41" i="40"/>
  <c r="DG32" i="40"/>
  <c r="DK32" i="40" s="1"/>
  <c r="DG43" i="40"/>
  <c r="DG59" i="40"/>
  <c r="DK59" i="40" s="1"/>
  <c r="DG80" i="40"/>
  <c r="DG83" i="40"/>
  <c r="DK83" i="40" s="1"/>
  <c r="DG69" i="40"/>
  <c r="DK69" i="40" s="1"/>
  <c r="DG56" i="40"/>
  <c r="DK56" i="40" s="1"/>
  <c r="DH46" i="40"/>
  <c r="DH35" i="40"/>
  <c r="DG35" i="40"/>
  <c r="DK35" i="40" s="1"/>
  <c r="DI61" i="40"/>
  <c r="DG61" i="40"/>
  <c r="DK61" i="40" s="1"/>
  <c r="DI89" i="40"/>
  <c r="DG89" i="40"/>
  <c r="DK89" i="40" s="1"/>
  <c r="DG41" i="40"/>
  <c r="DK41" i="40" s="1"/>
  <c r="CV41" i="40" s="1"/>
  <c r="DG33" i="40"/>
  <c r="DK33" i="40" s="1"/>
  <c r="DG44" i="40"/>
  <c r="DK44" i="40" s="1"/>
  <c r="DH47" i="40"/>
  <c r="DG47" i="40"/>
  <c r="DK47" i="40" s="1"/>
  <c r="DH88" i="40"/>
  <c r="DG88" i="40"/>
  <c r="DK88" i="40" s="1"/>
  <c r="CV88" i="40" s="1"/>
  <c r="DG58" i="40"/>
  <c r="DK58" i="40" s="1"/>
  <c r="CV58" i="40" s="1"/>
  <c r="CP42" i="40"/>
  <c r="DG76" i="40"/>
  <c r="DK76" i="40" s="1"/>
  <c r="DG62" i="40"/>
  <c r="DK62" i="40" s="1"/>
  <c r="DG38" i="40"/>
  <c r="DK38" i="40" s="1"/>
  <c r="DH79" i="40"/>
  <c r="DG79" i="40"/>
  <c r="DK79" i="40" s="1"/>
  <c r="DG31" i="40"/>
  <c r="DK31" i="40" s="1"/>
  <c r="CV31" i="40" s="1"/>
  <c r="DG40" i="40"/>
  <c r="DK40" i="40" s="1"/>
  <c r="CV40" i="40" s="1"/>
  <c r="DG37" i="40"/>
  <c r="DK37" i="40" s="1"/>
  <c r="DG50" i="40"/>
  <c r="DK50" i="40" s="1"/>
  <c r="DG66" i="40"/>
  <c r="DK66" i="40" s="1"/>
  <c r="DG74" i="40"/>
  <c r="DK74" i="40" s="1"/>
  <c r="DG26" i="40"/>
  <c r="DK26" i="40" s="1"/>
  <c r="DG48" i="40"/>
  <c r="DK48" i="40" s="1"/>
  <c r="DH58" i="40"/>
  <c r="DI70" i="40"/>
  <c r="CV70" i="40" s="1"/>
  <c r="DG70" i="40"/>
  <c r="DI29" i="40"/>
  <c r="DG29" i="40"/>
  <c r="DK29" i="40" s="1"/>
  <c r="DH72" i="40"/>
  <c r="DG72" i="40"/>
  <c r="DK72" i="40" s="1"/>
  <c r="DH63" i="40"/>
  <c r="DG63" i="40"/>
  <c r="DK63" i="40" s="1"/>
  <c r="CV63" i="40" s="1"/>
  <c r="DH81" i="40"/>
  <c r="DG81" i="40"/>
  <c r="DK81" i="40" s="1"/>
  <c r="CV81" i="40" s="1"/>
  <c r="CA42" i="40"/>
  <c r="DR42" i="40" s="1"/>
  <c r="DT42" i="40" s="1"/>
  <c r="BS31" i="40"/>
  <c r="BS55" i="40"/>
  <c r="CC73" i="40"/>
  <c r="CA35" i="40"/>
  <c r="DR35" i="40" s="1"/>
  <c r="DT35" i="40" s="1"/>
  <c r="BS33" i="40"/>
  <c r="CA29" i="40"/>
  <c r="DR29" i="40" s="1"/>
  <c r="DT29" i="40" s="1"/>
  <c r="DH70" i="40"/>
  <c r="DI79" i="40"/>
  <c r="CV79" i="40" s="1"/>
  <c r="HK18" i="40"/>
  <c r="HO18" i="40" s="1"/>
  <c r="HP18" i="40" s="1"/>
  <c r="CA33" i="40"/>
  <c r="DR33" i="40" s="1"/>
  <c r="DT33" i="40" s="1"/>
  <c r="CA31" i="40"/>
  <c r="DR31" i="40" s="1"/>
  <c r="DT31" i="40" s="1"/>
  <c r="BS74" i="40"/>
  <c r="CC80" i="40"/>
  <c r="CA72" i="40"/>
  <c r="DR72" i="40" s="1"/>
  <c r="DT72" i="40" s="1"/>
  <c r="BS72" i="40"/>
  <c r="GJ21" i="40"/>
  <c r="BS58" i="40"/>
  <c r="BS57" i="40"/>
  <c r="BS79" i="40"/>
  <c r="CC87" i="40"/>
  <c r="BS81" i="40"/>
  <c r="CA74" i="40"/>
  <c r="DR74" i="40" s="1"/>
  <c r="DT74" i="40" s="1"/>
  <c r="DI47" i="40"/>
  <c r="BS35" i="40"/>
  <c r="CC35" i="40" s="1"/>
  <c r="CA58" i="40"/>
  <c r="DR58" i="40" s="1"/>
  <c r="DT58" i="40" s="1"/>
  <c r="CA57" i="40"/>
  <c r="DR57" i="40" s="1"/>
  <c r="DT57" i="40" s="1"/>
  <c r="CA79" i="40"/>
  <c r="DR79" i="40" s="1"/>
  <c r="DT79" i="40" s="1"/>
  <c r="CA81" i="40"/>
  <c r="DR81" i="40" s="1"/>
  <c r="DT81" i="40" s="1"/>
  <c r="BS42" i="40"/>
  <c r="CC42" i="40" s="1"/>
  <c r="BS65" i="40"/>
  <c r="CC65" i="40" s="1"/>
  <c r="BS29" i="40"/>
  <c r="CA55" i="40"/>
  <c r="DR55" i="40" s="1"/>
  <c r="DT55" i="40" s="1"/>
  <c r="GJ17" i="40"/>
  <c r="GK17" i="40" s="1"/>
  <c r="DI35" i="40"/>
  <c r="GX17" i="40"/>
  <c r="FS17" i="40"/>
  <c r="DH29" i="40"/>
  <c r="GF17" i="40"/>
  <c r="HI17" i="40" s="1"/>
  <c r="DC84" i="40"/>
  <c r="DE84" i="40" s="1"/>
  <c r="DF84" i="40" s="1"/>
  <c r="DI72" i="40"/>
  <c r="CV72" i="40" s="1"/>
  <c r="BR28" i="40"/>
  <c r="BR84" i="40"/>
  <c r="BR30" i="40"/>
  <c r="CA48" i="40"/>
  <c r="DR48" i="40" s="1"/>
  <c r="DT48" i="40" s="1"/>
  <c r="BS48" i="40"/>
  <c r="BR91" i="40"/>
  <c r="BR36" i="40"/>
  <c r="BW48" i="40"/>
  <c r="CC62" i="40"/>
  <c r="CC89" i="40"/>
  <c r="DC91" i="40"/>
  <c r="DE91" i="40" s="1"/>
  <c r="DF91" i="40" s="1"/>
  <c r="CB30" i="40"/>
  <c r="DO30" i="40"/>
  <c r="DQ30" i="40" s="1"/>
  <c r="DH78" i="40"/>
  <c r="DI78" i="40"/>
  <c r="CV78" i="40" s="1"/>
  <c r="DH73" i="40"/>
  <c r="DI73" i="40"/>
  <c r="CV73" i="40" s="1"/>
  <c r="DH54" i="40"/>
  <c r="DI54" i="40"/>
  <c r="CV54" i="40" s="1"/>
  <c r="DH49" i="40"/>
  <c r="DI49" i="40"/>
  <c r="CV49" i="40" s="1"/>
  <c r="DH82" i="40"/>
  <c r="DI82" i="40"/>
  <c r="CV82" i="40" s="1"/>
  <c r="DH34" i="40"/>
  <c r="DI34" i="40"/>
  <c r="CV34" i="40" s="1"/>
  <c r="DH60" i="40"/>
  <c r="DI60" i="40"/>
  <c r="CV60" i="40" s="1"/>
  <c r="DH56" i="40"/>
  <c r="DI56" i="40"/>
  <c r="CV56" i="40" s="1"/>
  <c r="DH67" i="40"/>
  <c r="DI67" i="40"/>
  <c r="CV67" i="40" s="1"/>
  <c r="DH75" i="40"/>
  <c r="DI75" i="40"/>
  <c r="CV75" i="40" s="1"/>
  <c r="DH44" i="40"/>
  <c r="DI44" i="40"/>
  <c r="CV44" i="40" s="1"/>
  <c r="DL29" i="40"/>
  <c r="DJ29" i="40"/>
  <c r="CU29" i="40"/>
  <c r="CS29" i="40"/>
  <c r="DM29" i="40"/>
  <c r="DJ46" i="40"/>
  <c r="DL46" i="40"/>
  <c r="CU46" i="40"/>
  <c r="CS46" i="40"/>
  <c r="DM46" i="40"/>
  <c r="DL89" i="40"/>
  <c r="DJ89" i="40"/>
  <c r="CU89" i="40"/>
  <c r="CS89" i="40"/>
  <c r="DM89" i="40"/>
  <c r="DJ42" i="40"/>
  <c r="DL42" i="40"/>
  <c r="CU42" i="40"/>
  <c r="CS42" i="40"/>
  <c r="DM42" i="40"/>
  <c r="DJ58" i="40"/>
  <c r="DL58" i="40"/>
  <c r="CU58" i="40"/>
  <c r="CS58" i="40"/>
  <c r="DM58" i="40"/>
  <c r="DL40" i="40"/>
  <c r="DJ40" i="40"/>
  <c r="CS40" i="40"/>
  <c r="CU40" i="40"/>
  <c r="DM40" i="40"/>
  <c r="DL79" i="40"/>
  <c r="DJ79" i="40"/>
  <c r="CS79" i="40"/>
  <c r="CU79" i="40"/>
  <c r="DM79" i="40"/>
  <c r="CB91" i="40"/>
  <c r="DO91" i="40"/>
  <c r="DQ91" i="40" s="1"/>
  <c r="CB84" i="40"/>
  <c r="DO84" i="40"/>
  <c r="DQ84" i="40" s="1"/>
  <c r="CB28" i="40"/>
  <c r="DO28" i="40"/>
  <c r="DQ28" i="40" s="1"/>
  <c r="CC27" i="40"/>
  <c r="DH85" i="40"/>
  <c r="DI85" i="40"/>
  <c r="CV85" i="40" s="1"/>
  <c r="DH53" i="40"/>
  <c r="DI53" i="40"/>
  <c r="CV53" i="40" s="1"/>
  <c r="DH87" i="40"/>
  <c r="DI87" i="40"/>
  <c r="CV87" i="40" s="1"/>
  <c r="DH64" i="40"/>
  <c r="DI64" i="40"/>
  <c r="CV64" i="40" s="1"/>
  <c r="DC30" i="40"/>
  <c r="DE30" i="40" s="1"/>
  <c r="DF30" i="40" s="1"/>
  <c r="DC36" i="40"/>
  <c r="DE36" i="40" s="1"/>
  <c r="DF36" i="40" s="1"/>
  <c r="DH37" i="40"/>
  <c r="DI37" i="40"/>
  <c r="CV37" i="40" s="1"/>
  <c r="DH50" i="40"/>
  <c r="DI50" i="40"/>
  <c r="CV50" i="40" s="1"/>
  <c r="DH59" i="40"/>
  <c r="DI59" i="40"/>
  <c r="CV59" i="40" s="1"/>
  <c r="DH80" i="40"/>
  <c r="DI80" i="40"/>
  <c r="CV80" i="40" s="1"/>
  <c r="DH33" i="40"/>
  <c r="DI33" i="40"/>
  <c r="CV33" i="40" s="1"/>
  <c r="DH83" i="40"/>
  <c r="DI83" i="40"/>
  <c r="CV83" i="40" s="1"/>
  <c r="DH38" i="40"/>
  <c r="DI38" i="40"/>
  <c r="CV38" i="40" s="1"/>
  <c r="CB36" i="40"/>
  <c r="DO36" i="40"/>
  <c r="DQ36" i="40" s="1"/>
  <c r="CR84" i="40"/>
  <c r="CQ84" i="40"/>
  <c r="CP84" i="40" s="1"/>
  <c r="CT84" i="40" s="1"/>
  <c r="CR28" i="40"/>
  <c r="CQ28" i="40"/>
  <c r="CP28" i="40" s="1"/>
  <c r="CT28" i="40" s="1"/>
  <c r="DH57" i="40"/>
  <c r="DI57" i="40"/>
  <c r="CV57" i="40" s="1"/>
  <c r="DH52" i="40"/>
  <c r="DI52" i="40"/>
  <c r="CV52" i="40" s="1"/>
  <c r="DH71" i="40"/>
  <c r="DI71" i="40"/>
  <c r="CV71" i="40" s="1"/>
  <c r="DH90" i="40"/>
  <c r="DI90" i="40"/>
  <c r="CV90" i="40" s="1"/>
  <c r="DH68" i="40"/>
  <c r="DI68" i="40"/>
  <c r="CV68" i="40" s="1"/>
  <c r="DH45" i="40"/>
  <c r="DI45" i="40"/>
  <c r="CV45" i="40" s="1"/>
  <c r="DH51" i="40"/>
  <c r="DI51" i="40"/>
  <c r="CV51" i="40" s="1"/>
  <c r="DC28" i="40"/>
  <c r="DE28" i="40" s="1"/>
  <c r="DF28" i="40" s="1"/>
  <c r="DH69" i="40"/>
  <c r="DI69" i="40"/>
  <c r="CV69" i="40" s="1"/>
  <c r="DH76" i="40"/>
  <c r="DI76" i="40"/>
  <c r="CV76" i="40" s="1"/>
  <c r="DH62" i="40"/>
  <c r="DI62" i="40"/>
  <c r="CV62" i="40" s="1"/>
  <c r="DH48" i="40"/>
  <c r="DI48" i="40"/>
  <c r="CV48" i="40" s="1"/>
  <c r="DJ70" i="40"/>
  <c r="DL70" i="40"/>
  <c r="CU70" i="40"/>
  <c r="CS70" i="40"/>
  <c r="DM70" i="40"/>
  <c r="DJ47" i="40"/>
  <c r="CU47" i="40"/>
  <c r="DL61" i="40"/>
  <c r="DJ61" i="40"/>
  <c r="CU61" i="40"/>
  <c r="CS61" i="40"/>
  <c r="DM61" i="40"/>
  <c r="DL72" i="40"/>
  <c r="DJ72" i="40"/>
  <c r="CS72" i="40"/>
  <c r="CU72" i="40"/>
  <c r="DM72" i="40"/>
  <c r="DL88" i="40"/>
  <c r="DJ88" i="40"/>
  <c r="CS88" i="40"/>
  <c r="CU88" i="40"/>
  <c r="DM88" i="40"/>
  <c r="DL81" i="40"/>
  <c r="DJ81" i="40"/>
  <c r="CU81" i="40"/>
  <c r="CS81" i="40"/>
  <c r="DM81" i="40"/>
  <c r="DJ31" i="40"/>
  <c r="DL31" i="40"/>
  <c r="CS31" i="40"/>
  <c r="CU31" i="40"/>
  <c r="DM31" i="40"/>
  <c r="DL63" i="40"/>
  <c r="DJ63" i="40"/>
  <c r="CS63" i="40"/>
  <c r="CU63" i="40"/>
  <c r="DM63" i="40"/>
  <c r="DL41" i="40"/>
  <c r="DJ41" i="40"/>
  <c r="CU41" i="40"/>
  <c r="CS41" i="40"/>
  <c r="DM41" i="40"/>
  <c r="CR30" i="40"/>
  <c r="CQ30" i="40"/>
  <c r="CP30" i="40" s="1"/>
  <c r="CT30" i="40" s="1"/>
  <c r="CR91" i="40"/>
  <c r="CQ91" i="40"/>
  <c r="CP91" i="40" s="1"/>
  <c r="CC26" i="40"/>
  <c r="CR36" i="40"/>
  <c r="CQ36" i="40"/>
  <c r="CP36" i="40" s="1"/>
  <c r="CT36" i="40" s="1"/>
  <c r="CC64" i="40"/>
  <c r="CC43" i="40"/>
  <c r="CC50" i="40"/>
  <c r="DH86" i="40"/>
  <c r="DI86" i="40"/>
  <c r="CV86" i="40" s="1"/>
  <c r="DH77" i="40"/>
  <c r="DI77" i="40"/>
  <c r="CV77" i="40" s="1"/>
  <c r="DH55" i="40"/>
  <c r="DI55" i="40"/>
  <c r="CV55" i="40" s="1"/>
  <c r="DH65" i="40"/>
  <c r="DI65" i="40"/>
  <c r="CV65" i="40" s="1"/>
  <c r="CR27" i="40"/>
  <c r="CQ27" i="40"/>
  <c r="CP27" i="40" s="1"/>
  <c r="CT27" i="40" s="1"/>
  <c r="DC27" i="40"/>
  <c r="DE27" i="40" s="1"/>
  <c r="DF27" i="40" s="1"/>
  <c r="DH32" i="40"/>
  <c r="DI32" i="40"/>
  <c r="CV32" i="40" s="1"/>
  <c r="DH39" i="40"/>
  <c r="DI39" i="40"/>
  <c r="CV39" i="40" s="1"/>
  <c r="DH43" i="40"/>
  <c r="DI43" i="40"/>
  <c r="CV43" i="40" s="1"/>
  <c r="DH66" i="40"/>
  <c r="DI66" i="40"/>
  <c r="CV66" i="40" s="1"/>
  <c r="DH74" i="40"/>
  <c r="DI74" i="40"/>
  <c r="CV74" i="40" s="1"/>
  <c r="DH26" i="40"/>
  <c r="DI26" i="40"/>
  <c r="CV26" i="40" s="1"/>
  <c r="BS84" i="40"/>
  <c r="BG36" i="40"/>
  <c r="BB36" i="40"/>
  <c r="BS30" i="40"/>
  <c r="BG30" i="40"/>
  <c r="BB30" i="40"/>
  <c r="BS91" i="40"/>
  <c r="BG84" i="40"/>
  <c r="BB84" i="40"/>
  <c r="BG28" i="40"/>
  <c r="BB28" i="40"/>
  <c r="BG91" i="40"/>
  <c r="BB91" i="40"/>
  <c r="GH18" i="40"/>
  <c r="GK19" i="40"/>
  <c r="GX20" i="40"/>
  <c r="GX19" i="40"/>
  <c r="FS21" i="40"/>
  <c r="FS19" i="40"/>
  <c r="FB19" i="40"/>
  <c r="GX21" i="40"/>
  <c r="FS18" i="40"/>
  <c r="GK21" i="40"/>
  <c r="GX18" i="40"/>
  <c r="FS20" i="40"/>
  <c r="GK20" i="40"/>
  <c r="GK18" i="40"/>
  <c r="HF14" i="40"/>
  <c r="HF15" i="40"/>
  <c r="HF16" i="40"/>
  <c r="HE14" i="40"/>
  <c r="HE15" i="40"/>
  <c r="HE16" i="40"/>
  <c r="GR14" i="40"/>
  <c r="GR15" i="40"/>
  <c r="GR16" i="40"/>
  <c r="H25" i="109"/>
  <c r="H24" i="109"/>
  <c r="F10" i="109"/>
  <c r="C10" i="109"/>
  <c r="F21" i="109" s="1"/>
  <c r="F9" i="109"/>
  <c r="C9" i="109"/>
  <c r="F20" i="109" s="1"/>
  <c r="F8" i="109"/>
  <c r="C8" i="109"/>
  <c r="E21" i="109" s="1"/>
  <c r="F7" i="109"/>
  <c r="C7" i="109"/>
  <c r="E19" i="109" s="1"/>
  <c r="F4" i="109"/>
  <c r="E4" i="109"/>
  <c r="F3" i="109"/>
  <c r="E3" i="109"/>
  <c r="H25" i="108"/>
  <c r="H24" i="108"/>
  <c r="F10" i="108"/>
  <c r="C10" i="108"/>
  <c r="F21" i="108" s="1"/>
  <c r="F9" i="108"/>
  <c r="C9" i="108"/>
  <c r="F18" i="108" s="1"/>
  <c r="F8" i="108"/>
  <c r="C8" i="108"/>
  <c r="F7" i="108"/>
  <c r="C7" i="108"/>
  <c r="E19" i="108" s="1"/>
  <c r="F4" i="108"/>
  <c r="E4" i="108"/>
  <c r="F3" i="108"/>
  <c r="E3" i="108"/>
  <c r="GS14" i="40"/>
  <c r="HB14" i="40"/>
  <c r="HB15" i="40"/>
  <c r="HG15" i="40" s="1"/>
  <c r="HB16" i="40"/>
  <c r="H25" i="106"/>
  <c r="H24" i="106"/>
  <c r="F10" i="106"/>
  <c r="C10" i="106"/>
  <c r="F21" i="106" s="1"/>
  <c r="F9" i="106"/>
  <c r="C9" i="106"/>
  <c r="F18" i="106" s="1"/>
  <c r="F8" i="106"/>
  <c r="C8" i="106"/>
  <c r="F7" i="106"/>
  <c r="C7" i="106"/>
  <c r="E19" i="106" s="1"/>
  <c r="F4" i="106"/>
  <c r="E4" i="106"/>
  <c r="F3" i="106"/>
  <c r="E3" i="106"/>
  <c r="GO14" i="40"/>
  <c r="GT14" i="40" s="1"/>
  <c r="GO15" i="40"/>
  <c r="GO16" i="40"/>
  <c r="GS15" i="40"/>
  <c r="GS16" i="40"/>
  <c r="C15" i="95"/>
  <c r="GC15" i="40"/>
  <c r="GC16" i="40"/>
  <c r="FO14" i="40"/>
  <c r="FD14" i="40"/>
  <c r="FD15" i="40"/>
  <c r="FD16" i="40"/>
  <c r="H25" i="105"/>
  <c r="H24" i="105"/>
  <c r="F10" i="105"/>
  <c r="C10" i="105"/>
  <c r="F21" i="105" s="1"/>
  <c r="F9" i="105"/>
  <c r="C9" i="105"/>
  <c r="F20" i="105" s="1"/>
  <c r="F8" i="105"/>
  <c r="C8" i="105"/>
  <c r="E21" i="105" s="1"/>
  <c r="F7" i="105"/>
  <c r="C7" i="105"/>
  <c r="E18" i="105" s="1"/>
  <c r="F4" i="105"/>
  <c r="E4" i="105"/>
  <c r="F3" i="105"/>
  <c r="E3" i="105"/>
  <c r="H25" i="104"/>
  <c r="H24" i="104"/>
  <c r="F10" i="104"/>
  <c r="C10" i="104"/>
  <c r="F19" i="104" s="1"/>
  <c r="F9" i="104"/>
  <c r="C9" i="104"/>
  <c r="F20" i="104" s="1"/>
  <c r="F8" i="104"/>
  <c r="C8" i="104"/>
  <c r="F7" i="104"/>
  <c r="C7" i="104"/>
  <c r="F4" i="104"/>
  <c r="E4" i="104"/>
  <c r="F3" i="104"/>
  <c r="E3" i="104"/>
  <c r="Z73" i="40"/>
  <c r="Z35" i="40"/>
  <c r="Z40" i="40"/>
  <c r="Z42" i="40"/>
  <c r="Z55" i="40"/>
  <c r="Z44" i="40"/>
  <c r="Z65" i="40"/>
  <c r="Z58" i="40"/>
  <c r="Z82" i="40"/>
  <c r="Z60" i="40"/>
  <c r="Z29" i="40"/>
  <c r="Z26" i="40"/>
  <c r="Z77" i="40"/>
  <c r="Z56" i="40"/>
  <c r="Z75" i="40"/>
  <c r="Z47" i="40"/>
  <c r="Z49" i="40"/>
  <c r="Z61" i="40"/>
  <c r="Z39" i="40"/>
  <c r="Z62" i="40"/>
  <c r="Z50" i="40"/>
  <c r="Z54" i="40"/>
  <c r="Z38" i="40"/>
  <c r="Z70" i="40"/>
  <c r="Z89" i="40"/>
  <c r="Z63" i="40"/>
  <c r="Z57" i="40"/>
  <c r="Z90" i="40"/>
  <c r="Z31" i="40"/>
  <c r="Z52" i="40"/>
  <c r="Z74" i="40"/>
  <c r="Z85" i="40"/>
  <c r="Z76" i="40"/>
  <c r="Z86" i="40"/>
  <c r="Z53" i="40"/>
  <c r="Z59" i="40"/>
  <c r="Z36" i="40"/>
  <c r="Z83" i="40"/>
  <c r="Z69" i="40"/>
  <c r="Z34" i="40"/>
  <c r="CC37" i="40" l="1"/>
  <c r="CC69" i="40"/>
  <c r="CC39" i="40"/>
  <c r="CC90" i="40"/>
  <c r="CC52" i="40"/>
  <c r="CC60" i="40"/>
  <c r="CC32" i="40"/>
  <c r="CC54" i="40"/>
  <c r="CC86" i="40"/>
  <c r="CC49" i="40"/>
  <c r="CC56" i="40"/>
  <c r="CC34" i="40"/>
  <c r="CC59" i="40"/>
  <c r="CC61" i="40"/>
  <c r="CC53" i="40"/>
  <c r="CC31" i="40"/>
  <c r="CC38" i="40"/>
  <c r="CC46" i="40"/>
  <c r="BS36" i="40"/>
  <c r="BW28" i="40"/>
  <c r="CC40" i="40"/>
  <c r="CC82" i="40"/>
  <c r="CC83" i="40"/>
  <c r="BW30" i="40"/>
  <c r="CA30" i="40"/>
  <c r="DR30" i="40" s="1"/>
  <c r="DT30" i="40" s="1"/>
  <c r="CC76" i="40"/>
  <c r="BW36" i="40"/>
  <c r="CA36" i="40"/>
  <c r="DR36" i="40" s="1"/>
  <c r="DT36" i="40" s="1"/>
  <c r="BW91" i="40"/>
  <c r="BW84" i="40"/>
  <c r="CC44" i="40"/>
  <c r="CC63" i="40"/>
  <c r="CC47" i="40"/>
  <c r="CV61" i="40"/>
  <c r="CC81" i="40"/>
  <c r="DJ35" i="40"/>
  <c r="CV35" i="40"/>
  <c r="CV29" i="40"/>
  <c r="CS47" i="40"/>
  <c r="CV47" i="40"/>
  <c r="CV89" i="40"/>
  <c r="CC33" i="40"/>
  <c r="CC29" i="40"/>
  <c r="CC57" i="40"/>
  <c r="CC48" i="40"/>
  <c r="CC79" i="40"/>
  <c r="CC72" i="40"/>
  <c r="CC58" i="40"/>
  <c r="CC55" i="40"/>
  <c r="CC74" i="40"/>
  <c r="DG28" i="40"/>
  <c r="DK28" i="40" s="1"/>
  <c r="DL35" i="40"/>
  <c r="DM35" i="40"/>
  <c r="CS35" i="40"/>
  <c r="CU35" i="40"/>
  <c r="DG36" i="40"/>
  <c r="DK36" i="40" s="1"/>
  <c r="DG30" i="40"/>
  <c r="DK30" i="40" s="1"/>
  <c r="DI84" i="40"/>
  <c r="DG84" i="40"/>
  <c r="DK84" i="40" s="1"/>
  <c r="DH91" i="40"/>
  <c r="DG91" i="40"/>
  <c r="DG27" i="40"/>
  <c r="DK27" i="40" s="1"/>
  <c r="BS28" i="40"/>
  <c r="CC28" i="40" s="1"/>
  <c r="CA28" i="40"/>
  <c r="DR28" i="40" s="1"/>
  <c r="DT28" i="40" s="1"/>
  <c r="DH84" i="40"/>
  <c r="DM47" i="40"/>
  <c r="DL47" i="40"/>
  <c r="CC36" i="40"/>
  <c r="CA91" i="40"/>
  <c r="DR91" i="40" s="1"/>
  <c r="DT91" i="40" s="1"/>
  <c r="CA84" i="40"/>
  <c r="DR84" i="40" s="1"/>
  <c r="DT84" i="40" s="1"/>
  <c r="CC84" i="40"/>
  <c r="DI91" i="40"/>
  <c r="CV91" i="40" s="1"/>
  <c r="CC91" i="40"/>
  <c r="DJ26" i="40"/>
  <c r="DL26" i="40"/>
  <c r="CU26" i="40"/>
  <c r="CS26" i="40"/>
  <c r="DM26" i="40"/>
  <c r="DL66" i="40"/>
  <c r="DJ66" i="40"/>
  <c r="CU66" i="40"/>
  <c r="CS66" i="40"/>
  <c r="DM66" i="40"/>
  <c r="DJ39" i="40"/>
  <c r="DL39" i="40"/>
  <c r="CS39" i="40"/>
  <c r="CU39" i="40"/>
  <c r="DM39" i="40"/>
  <c r="DH27" i="40"/>
  <c r="DI27" i="40"/>
  <c r="CV27" i="40" s="1"/>
  <c r="DL62" i="40"/>
  <c r="DJ62" i="40"/>
  <c r="CU62" i="40"/>
  <c r="CS62" i="40"/>
  <c r="DM62" i="40"/>
  <c r="DL69" i="40"/>
  <c r="DJ69" i="40"/>
  <c r="CU69" i="40"/>
  <c r="CS69" i="40"/>
  <c r="DM69" i="40"/>
  <c r="DJ38" i="40"/>
  <c r="DL38" i="40"/>
  <c r="CU38" i="40"/>
  <c r="CS38" i="40"/>
  <c r="DM38" i="40"/>
  <c r="DL33" i="40"/>
  <c r="DJ33" i="40"/>
  <c r="CU33" i="40"/>
  <c r="CS33" i="40"/>
  <c r="DM33" i="40"/>
  <c r="DJ59" i="40"/>
  <c r="DL59" i="40"/>
  <c r="CS59" i="40"/>
  <c r="CU59" i="40"/>
  <c r="DM59" i="40"/>
  <c r="DL37" i="40"/>
  <c r="DJ37" i="40"/>
  <c r="CU37" i="40"/>
  <c r="CS37" i="40"/>
  <c r="DM37" i="40"/>
  <c r="DL64" i="40"/>
  <c r="DJ64" i="40"/>
  <c r="CS64" i="40"/>
  <c r="CU64" i="40"/>
  <c r="DM64" i="40"/>
  <c r="DL53" i="40"/>
  <c r="DJ53" i="40"/>
  <c r="CU53" i="40"/>
  <c r="CS53" i="40"/>
  <c r="DM53" i="40"/>
  <c r="DL84" i="40"/>
  <c r="DJ84" i="40"/>
  <c r="CS84" i="40"/>
  <c r="CU84" i="40"/>
  <c r="DM84" i="40"/>
  <c r="DJ55" i="40"/>
  <c r="DL55" i="40"/>
  <c r="CS55" i="40"/>
  <c r="CU55" i="40"/>
  <c r="DM55" i="40"/>
  <c r="DJ86" i="40"/>
  <c r="DL86" i="40"/>
  <c r="CU86" i="40"/>
  <c r="CS86" i="40"/>
  <c r="DM86" i="40"/>
  <c r="DL45" i="40"/>
  <c r="DJ45" i="40"/>
  <c r="CU45" i="40"/>
  <c r="CS45" i="40"/>
  <c r="DM45" i="40"/>
  <c r="DJ90" i="40"/>
  <c r="DL90" i="40"/>
  <c r="CU90" i="40"/>
  <c r="CS90" i="40"/>
  <c r="DM90" i="40"/>
  <c r="DL52" i="40"/>
  <c r="DJ52" i="40"/>
  <c r="CS52" i="40"/>
  <c r="CU52" i="40"/>
  <c r="DM52" i="40"/>
  <c r="DL75" i="40"/>
  <c r="DJ75" i="40"/>
  <c r="CS75" i="40"/>
  <c r="CU75" i="40"/>
  <c r="DM75" i="40"/>
  <c r="DL56" i="40"/>
  <c r="DJ56" i="40"/>
  <c r="CS56" i="40"/>
  <c r="CU56" i="40"/>
  <c r="DM56" i="40"/>
  <c r="DJ34" i="40"/>
  <c r="DL34" i="40"/>
  <c r="CU34" i="40"/>
  <c r="CS34" i="40"/>
  <c r="DM34" i="40"/>
  <c r="DL49" i="40"/>
  <c r="DJ49" i="40"/>
  <c r="CU49" i="40"/>
  <c r="CS49" i="40"/>
  <c r="DM49" i="40"/>
  <c r="DL73" i="40"/>
  <c r="DJ73" i="40"/>
  <c r="CU73" i="40"/>
  <c r="CS73" i="40"/>
  <c r="DM73" i="40"/>
  <c r="DJ74" i="40"/>
  <c r="DL74" i="40"/>
  <c r="CU74" i="40"/>
  <c r="CS74" i="40"/>
  <c r="DM74" i="40"/>
  <c r="DJ43" i="40"/>
  <c r="DL43" i="40"/>
  <c r="CS43" i="40"/>
  <c r="CU43" i="40"/>
  <c r="DM43" i="40"/>
  <c r="DL32" i="40"/>
  <c r="DJ32" i="40"/>
  <c r="CS32" i="40"/>
  <c r="CU32" i="40"/>
  <c r="DM32" i="40"/>
  <c r="DL48" i="40"/>
  <c r="DJ48" i="40"/>
  <c r="CS48" i="40"/>
  <c r="CU48" i="40"/>
  <c r="DM48" i="40"/>
  <c r="DL76" i="40"/>
  <c r="DJ76" i="40"/>
  <c r="CS76" i="40"/>
  <c r="CU76" i="40"/>
  <c r="DM76" i="40"/>
  <c r="DH28" i="40"/>
  <c r="DI28" i="40"/>
  <c r="CV28" i="40" s="1"/>
  <c r="DL83" i="40"/>
  <c r="DJ83" i="40"/>
  <c r="CS83" i="40"/>
  <c r="CU83" i="40"/>
  <c r="DM83" i="40"/>
  <c r="DL80" i="40"/>
  <c r="DJ80" i="40"/>
  <c r="CS80" i="40"/>
  <c r="CU80" i="40"/>
  <c r="DM80" i="40"/>
  <c r="DJ50" i="40"/>
  <c r="DL50" i="40"/>
  <c r="CU50" i="40"/>
  <c r="CS50" i="40"/>
  <c r="DM50" i="40"/>
  <c r="DH36" i="40"/>
  <c r="DI36" i="40"/>
  <c r="CV36" i="40" s="1"/>
  <c r="DL87" i="40"/>
  <c r="DJ87" i="40"/>
  <c r="CS87" i="40"/>
  <c r="CU87" i="40"/>
  <c r="DM87" i="40"/>
  <c r="DL85" i="40"/>
  <c r="DJ85" i="40"/>
  <c r="CU85" i="40"/>
  <c r="CS85" i="40"/>
  <c r="DM85" i="40"/>
  <c r="DL91" i="40"/>
  <c r="DJ91" i="40"/>
  <c r="CS91" i="40"/>
  <c r="CU91" i="40"/>
  <c r="DM91" i="40"/>
  <c r="DL65" i="40"/>
  <c r="DJ65" i="40"/>
  <c r="CU65" i="40"/>
  <c r="CS65" i="40"/>
  <c r="DM65" i="40"/>
  <c r="DL77" i="40"/>
  <c r="DJ77" i="40"/>
  <c r="CU77" i="40"/>
  <c r="CS77" i="40"/>
  <c r="DM77" i="40"/>
  <c r="DJ51" i="40"/>
  <c r="DL51" i="40"/>
  <c r="CS51" i="40"/>
  <c r="CU51" i="40"/>
  <c r="DM51" i="40"/>
  <c r="DL68" i="40"/>
  <c r="DJ68" i="40"/>
  <c r="CS68" i="40"/>
  <c r="CU68" i="40"/>
  <c r="DM68" i="40"/>
  <c r="DL71" i="40"/>
  <c r="DJ71" i="40"/>
  <c r="CS71" i="40"/>
  <c r="CU71" i="40"/>
  <c r="DM71" i="40"/>
  <c r="DL57" i="40"/>
  <c r="DJ57" i="40"/>
  <c r="CU57" i="40"/>
  <c r="CS57" i="40"/>
  <c r="DM57" i="40"/>
  <c r="DH30" i="40"/>
  <c r="DI30" i="40"/>
  <c r="CV30" i="40" s="1"/>
  <c r="DL44" i="40"/>
  <c r="DJ44" i="40"/>
  <c r="CS44" i="40"/>
  <c r="CU44" i="40"/>
  <c r="DM44" i="40"/>
  <c r="DL67" i="40"/>
  <c r="DJ67" i="40"/>
  <c r="CS67" i="40"/>
  <c r="CU67" i="40"/>
  <c r="DM67" i="40"/>
  <c r="DL60" i="40"/>
  <c r="DJ60" i="40"/>
  <c r="CS60" i="40"/>
  <c r="CU60" i="40"/>
  <c r="DM60" i="40"/>
  <c r="DL82" i="40"/>
  <c r="DJ82" i="40"/>
  <c r="CU82" i="40"/>
  <c r="CS82" i="40"/>
  <c r="DM82" i="40"/>
  <c r="DJ54" i="40"/>
  <c r="DL54" i="40"/>
  <c r="CU54" i="40"/>
  <c r="CS54" i="40"/>
  <c r="DM54" i="40"/>
  <c r="DL78" i="40"/>
  <c r="DJ78" i="40"/>
  <c r="CU78" i="40"/>
  <c r="CS78" i="40"/>
  <c r="DM78" i="40"/>
  <c r="GU14" i="40"/>
  <c r="G21" i="109"/>
  <c r="H26" i="108"/>
  <c r="C14" i="108"/>
  <c r="I21" i="108" s="1"/>
  <c r="E20" i="109"/>
  <c r="G20" i="109" s="1"/>
  <c r="H26" i="109"/>
  <c r="C14" i="109"/>
  <c r="I21" i="109" s="1"/>
  <c r="F19" i="109"/>
  <c r="G19" i="109" s="1"/>
  <c r="C11" i="109"/>
  <c r="I18" i="109" s="1"/>
  <c r="C12" i="109"/>
  <c r="I19" i="109" s="1"/>
  <c r="F18" i="109"/>
  <c r="E18" i="109"/>
  <c r="C13" i="109"/>
  <c r="I20" i="109" s="1"/>
  <c r="F20" i="108"/>
  <c r="C11" i="108"/>
  <c r="I18" i="108" s="1"/>
  <c r="E18" i="108"/>
  <c r="E20" i="108"/>
  <c r="E21" i="108"/>
  <c r="G21" i="108" s="1"/>
  <c r="C12" i="108"/>
  <c r="I19" i="108" s="1"/>
  <c r="F19" i="108"/>
  <c r="G19" i="108" s="1"/>
  <c r="C13" i="108"/>
  <c r="I20" i="108" s="1"/>
  <c r="C14" i="106"/>
  <c r="I21" i="106" s="1"/>
  <c r="H26" i="106"/>
  <c r="F19" i="106"/>
  <c r="G19" i="106" s="1"/>
  <c r="F20" i="106"/>
  <c r="C12" i="106"/>
  <c r="I19" i="106" s="1"/>
  <c r="C11" i="106"/>
  <c r="I18" i="106" s="1"/>
  <c r="E18" i="106"/>
  <c r="E20" i="106"/>
  <c r="E21" i="106"/>
  <c r="G21" i="106" s="1"/>
  <c r="C13" i="106"/>
  <c r="I20" i="106" s="1"/>
  <c r="F19" i="105"/>
  <c r="H26" i="105"/>
  <c r="H26" i="104"/>
  <c r="C13" i="104"/>
  <c r="I20" i="104" s="1"/>
  <c r="F18" i="105"/>
  <c r="G18" i="105" s="1"/>
  <c r="E21" i="104"/>
  <c r="C12" i="104"/>
  <c r="I19" i="104" s="1"/>
  <c r="C14" i="104"/>
  <c r="I21" i="104" s="1"/>
  <c r="F21" i="104"/>
  <c r="E20" i="104"/>
  <c r="G20" i="104" s="1"/>
  <c r="E19" i="105"/>
  <c r="C14" i="105"/>
  <c r="I21" i="105" s="1"/>
  <c r="E20" i="105"/>
  <c r="G20" i="105" s="1"/>
  <c r="C12" i="105"/>
  <c r="I19" i="105" s="1"/>
  <c r="C11" i="105"/>
  <c r="I18" i="105" s="1"/>
  <c r="C13" i="105"/>
  <c r="I20" i="105" s="1"/>
  <c r="G21" i="105"/>
  <c r="C11" i="104"/>
  <c r="I18" i="104" s="1"/>
  <c r="E18" i="104"/>
  <c r="E19" i="104"/>
  <c r="G19" i="104" s="1"/>
  <c r="F18" i="104"/>
  <c r="FN15" i="40"/>
  <c r="FN16" i="40"/>
  <c r="FM15" i="40"/>
  <c r="FM16" i="40"/>
  <c r="FO15" i="40"/>
  <c r="FO16" i="40"/>
  <c r="GD14" i="40"/>
  <c r="GE14" i="40" s="1"/>
  <c r="GD15" i="40"/>
  <c r="GE15" i="40" s="1"/>
  <c r="GD16" i="40"/>
  <c r="GE16" i="40" s="1"/>
  <c r="EW14" i="40"/>
  <c r="EW15" i="40"/>
  <c r="EW16" i="40"/>
  <c r="Z84" i="40"/>
  <c r="Z28" i="40"/>
  <c r="Z91" i="40"/>
  <c r="Z30" i="40"/>
  <c r="CC30" i="40" l="1"/>
  <c r="CV84" i="40"/>
  <c r="DJ30" i="40"/>
  <c r="DL30" i="40"/>
  <c r="CU30" i="40"/>
  <c r="CS30" i="40"/>
  <c r="DM30" i="40"/>
  <c r="DL36" i="40"/>
  <c r="DJ36" i="40"/>
  <c r="CS36" i="40"/>
  <c r="CU36" i="40"/>
  <c r="DM36" i="40"/>
  <c r="DL28" i="40"/>
  <c r="DJ28" i="40"/>
  <c r="CS28" i="40"/>
  <c r="CU28" i="40"/>
  <c r="DM28" i="40"/>
  <c r="DJ27" i="40"/>
  <c r="DL27" i="40"/>
  <c r="CS27" i="40"/>
  <c r="CU27" i="40"/>
  <c r="DM27" i="40"/>
  <c r="G18" i="109"/>
  <c r="D23" i="109" s="1" a="1"/>
  <c r="G20" i="108"/>
  <c r="G18" i="108"/>
  <c r="G20" i="106"/>
  <c r="G18" i="106"/>
  <c r="G19" i="105"/>
  <c r="D23" i="105" s="1" a="1"/>
  <c r="D26" i="105" s="1"/>
  <c r="G21" i="104"/>
  <c r="G18" i="104"/>
  <c r="FP16" i="40"/>
  <c r="FP15" i="40"/>
  <c r="ET14" i="40"/>
  <c r="ET15" i="40"/>
  <c r="ET16" i="40"/>
  <c r="GQ14" i="40"/>
  <c r="GQ15" i="40"/>
  <c r="GT15" i="40" s="1"/>
  <c r="GU15" i="40" s="1"/>
  <c r="GQ16" i="40"/>
  <c r="GT16" i="40" s="1"/>
  <c r="GU16" i="40" s="1"/>
  <c r="HD14" i="40"/>
  <c r="HG14" i="40" s="1"/>
  <c r="HH14" i="40" s="1"/>
  <c r="HD15" i="40"/>
  <c r="HD16" i="40"/>
  <c r="HG16" i="40" s="1"/>
  <c r="EY14" i="40"/>
  <c r="EY15" i="40"/>
  <c r="EY16" i="40"/>
  <c r="FA14" i="40"/>
  <c r="FA15" i="40"/>
  <c r="FA16" i="40"/>
  <c r="EV16" i="40" s="1"/>
  <c r="EN14" i="40"/>
  <c r="D23" i="108" l="1" a="1"/>
  <c r="D25" i="108" s="1"/>
  <c r="FS16" i="40"/>
  <c r="GX16" i="40"/>
  <c r="D23" i="109"/>
  <c r="D26" i="109"/>
  <c r="D25" i="109"/>
  <c r="D24" i="109"/>
  <c r="D23" i="106" a="1"/>
  <c r="D26" i="106" s="1"/>
  <c r="HH16" i="40"/>
  <c r="HH15" i="40"/>
  <c r="D23" i="104" a="1"/>
  <c r="D23" i="104" s="1"/>
  <c r="D24" i="105"/>
  <c r="D23" i="105"/>
  <c r="D25" i="105"/>
  <c r="FQ16" i="40"/>
  <c r="GV16" i="40" s="1"/>
  <c r="EU15" i="40"/>
  <c r="GH15" i="40" s="1"/>
  <c r="EU16" i="40"/>
  <c r="EV14" i="40"/>
  <c r="GX14" i="40" s="1"/>
  <c r="EU14" i="40"/>
  <c r="GF14" i="40" s="1"/>
  <c r="EV15" i="40"/>
  <c r="FS15" i="40" s="1"/>
  <c r="D26" i="108" l="1"/>
  <c r="D23" i="108"/>
  <c r="D24" i="108"/>
  <c r="HK14" i="40"/>
  <c r="HO14" i="40" s="1"/>
  <c r="HP14" i="40" s="1"/>
  <c r="GH14" i="40"/>
  <c r="GF16" i="40"/>
  <c r="HI16" i="40" s="1"/>
  <c r="GH16" i="40"/>
  <c r="HI14" i="40"/>
  <c r="D23" i="106"/>
  <c r="D24" i="106"/>
  <c r="D25" i="106"/>
  <c r="HK16" i="40"/>
  <c r="HO16" i="40" s="1"/>
  <c r="HP16" i="40" s="1"/>
  <c r="HK15" i="40"/>
  <c r="HO15" i="40" s="1"/>
  <c r="HP15" i="40" s="1"/>
  <c r="FQ15" i="40"/>
  <c r="GV15" i="40" s="1"/>
  <c r="GX15" i="40"/>
  <c r="H3" i="109"/>
  <c r="FQ14" i="40"/>
  <c r="GV14" i="40" s="1"/>
  <c r="GF15" i="40"/>
  <c r="HI15" i="40" s="1"/>
  <c r="D24" i="104"/>
  <c r="D26" i="104"/>
  <c r="D25" i="104"/>
  <c r="H3" i="105"/>
  <c r="FN14" i="40"/>
  <c r="FP14" i="40" s="1"/>
  <c r="FS14" i="40" s="1"/>
  <c r="H3" i="108" l="1"/>
  <c r="H3" i="106"/>
  <c r="H3" i="104"/>
  <c r="E12" i="102" l="1"/>
  <c r="C12" i="102" s="1"/>
  <c r="E11" i="102"/>
  <c r="E13" i="102" s="1"/>
  <c r="J7" i="102"/>
  <c r="J4" i="102"/>
  <c r="I4" i="102"/>
  <c r="J13" i="102"/>
  <c r="I13" i="102"/>
  <c r="J12" i="102"/>
  <c r="I12" i="102"/>
  <c r="J11" i="102"/>
  <c r="I11" i="102"/>
  <c r="J10" i="102"/>
  <c r="I10" i="102"/>
  <c r="J9" i="102"/>
  <c r="I9" i="102"/>
  <c r="J8" i="102"/>
  <c r="I8" i="102"/>
  <c r="I7" i="102"/>
  <c r="J6" i="102"/>
  <c r="I6" i="102"/>
  <c r="J5" i="102"/>
  <c r="I5" i="102"/>
  <c r="H25" i="101"/>
  <c r="H24" i="101"/>
  <c r="F10" i="101"/>
  <c r="C10" i="101"/>
  <c r="F21" i="101" s="1"/>
  <c r="F9" i="101"/>
  <c r="C9" i="101"/>
  <c r="F18" i="101" s="1"/>
  <c r="F8" i="101"/>
  <c r="C8" i="101"/>
  <c r="F7" i="101"/>
  <c r="C7" i="101"/>
  <c r="E19" i="101" s="1"/>
  <c r="F4" i="101"/>
  <c r="E4" i="101"/>
  <c r="F3" i="101"/>
  <c r="E3" i="101"/>
  <c r="D49" i="100"/>
  <c r="D48" i="100"/>
  <c r="D47" i="100"/>
  <c r="C16" i="100"/>
  <c r="H32" i="100" s="1"/>
  <c r="C15" i="100"/>
  <c r="H28" i="100" s="1"/>
  <c r="C14" i="100"/>
  <c r="G35" i="100" s="1"/>
  <c r="C13" i="100"/>
  <c r="G32" i="100" s="1"/>
  <c r="C12" i="100"/>
  <c r="F18" i="100" s="1" a="1"/>
  <c r="F18" i="100" s="1"/>
  <c r="C18" i="100" s="1"/>
  <c r="N29" i="100" s="1"/>
  <c r="C11" i="100"/>
  <c r="F34" i="100" s="1"/>
  <c r="G5" i="100"/>
  <c r="F5" i="100"/>
  <c r="G4" i="100"/>
  <c r="F4" i="100"/>
  <c r="G3" i="100"/>
  <c r="F3" i="100"/>
  <c r="D49" i="99"/>
  <c r="D48" i="99"/>
  <c r="D47" i="99"/>
  <c r="C16" i="99"/>
  <c r="H35" i="99" s="1"/>
  <c r="C15" i="99"/>
  <c r="H31" i="99" s="1"/>
  <c r="C14" i="99"/>
  <c r="G34" i="99" s="1"/>
  <c r="C13" i="99"/>
  <c r="G32" i="99" s="1"/>
  <c r="C12" i="99"/>
  <c r="F33" i="99" s="1"/>
  <c r="C11" i="99"/>
  <c r="F34" i="99" s="1"/>
  <c r="G5" i="99"/>
  <c r="F5" i="99"/>
  <c r="G4" i="99"/>
  <c r="F4" i="99"/>
  <c r="G3" i="99"/>
  <c r="F3" i="99"/>
  <c r="D49" i="98"/>
  <c r="D48" i="98"/>
  <c r="D47" i="98"/>
  <c r="C16" i="98"/>
  <c r="H32" i="98" s="1"/>
  <c r="C15" i="98"/>
  <c r="H28" i="98" s="1"/>
  <c r="C14" i="98"/>
  <c r="G35" i="98" s="1"/>
  <c r="C13" i="98"/>
  <c r="G32" i="98" s="1"/>
  <c r="C12" i="98"/>
  <c r="F35" i="98" s="1"/>
  <c r="C11" i="98"/>
  <c r="F34" i="98" s="1"/>
  <c r="G5" i="98"/>
  <c r="F5" i="98"/>
  <c r="G4" i="98"/>
  <c r="F4" i="98"/>
  <c r="G3" i="98"/>
  <c r="F3" i="98"/>
  <c r="C14" i="101" l="1"/>
  <c r="I21" i="101" s="1"/>
  <c r="I34" i="99"/>
  <c r="F19" i="100" a="1"/>
  <c r="F17" i="100" a="1"/>
  <c r="F17" i="100" s="1"/>
  <c r="C17" i="100" s="1"/>
  <c r="N28" i="100" s="1"/>
  <c r="D51" i="100"/>
  <c r="D50" i="100"/>
  <c r="D52" i="100"/>
  <c r="D53" i="100"/>
  <c r="F18" i="98" a="1"/>
  <c r="F18" i="98" s="1"/>
  <c r="C18" i="98" s="1"/>
  <c r="N29" i="98" s="1"/>
  <c r="D52" i="98"/>
  <c r="F22" i="98" a="1"/>
  <c r="C11" i="102"/>
  <c r="C17" i="102" s="1"/>
  <c r="C13" i="102"/>
  <c r="E15" i="102"/>
  <c r="C15" i="102" s="1"/>
  <c r="E14" i="102"/>
  <c r="F20" i="101"/>
  <c r="H26" i="101"/>
  <c r="F20" i="98" a="1"/>
  <c r="F20" i="98" s="1"/>
  <c r="C20" i="98" s="1"/>
  <c r="N31" i="98" s="1"/>
  <c r="F24" i="98" a="1"/>
  <c r="F24" i="98" s="1"/>
  <c r="C24" i="98" s="1"/>
  <c r="N35" i="98" s="1"/>
  <c r="F17" i="99" a="1"/>
  <c r="F17" i="99" s="1"/>
  <c r="C17" i="99" s="1"/>
  <c r="N28" i="99" s="1"/>
  <c r="F21" i="99" a="1"/>
  <c r="F21" i="100" a="1"/>
  <c r="C11" i="101"/>
  <c r="I18" i="101" s="1"/>
  <c r="E18" i="101"/>
  <c r="E20" i="101"/>
  <c r="E21" i="101"/>
  <c r="G21" i="101" s="1"/>
  <c r="F19" i="99" a="1"/>
  <c r="F19" i="99" s="1"/>
  <c r="C19" i="99" s="1"/>
  <c r="N30" i="99" s="1"/>
  <c r="F23" i="99" a="1"/>
  <c r="F19" i="98" a="1"/>
  <c r="F19" i="98" s="1"/>
  <c r="C19" i="98" s="1"/>
  <c r="N30" i="98" s="1"/>
  <c r="F23" i="98" a="1"/>
  <c r="F20" i="99" a="1"/>
  <c r="F20" i="99" s="1"/>
  <c r="C20" i="99" s="1"/>
  <c r="N31" i="99" s="1"/>
  <c r="F24" i="99" a="1"/>
  <c r="F24" i="99" s="1"/>
  <c r="C24" i="99" s="1"/>
  <c r="N35" i="99" s="1"/>
  <c r="F17" i="98" a="1"/>
  <c r="F21" i="98" a="1"/>
  <c r="F21" i="98" s="1"/>
  <c r="C21" i="98" s="1"/>
  <c r="N32" i="98" s="1"/>
  <c r="F18" i="99" a="1"/>
  <c r="F18" i="99" s="1"/>
  <c r="C18" i="99" s="1"/>
  <c r="N29" i="99" s="1"/>
  <c r="F22" i="99" a="1"/>
  <c r="F22" i="99" s="1"/>
  <c r="C22" i="99" s="1"/>
  <c r="N33" i="99" s="1"/>
  <c r="F22" i="100" a="1"/>
  <c r="F22" i="100" s="1"/>
  <c r="C22" i="100" s="1"/>
  <c r="N33" i="100" s="1"/>
  <c r="C12" i="101"/>
  <c r="I19" i="101" s="1"/>
  <c r="F19" i="101"/>
  <c r="G19" i="101" s="1"/>
  <c r="F23" i="100" a="1"/>
  <c r="F23" i="100" s="1"/>
  <c r="C23" i="100" s="1"/>
  <c r="N34" i="100" s="1"/>
  <c r="C13" i="101"/>
  <c r="I20" i="101" s="1"/>
  <c r="F20" i="100" a="1"/>
  <c r="F20" i="100" s="1"/>
  <c r="C20" i="100" s="1"/>
  <c r="N31" i="100" s="1"/>
  <c r="F24" i="100" a="1"/>
  <c r="F24" i="100" s="1"/>
  <c r="C24" i="100" s="1"/>
  <c r="N35" i="100" s="1"/>
  <c r="K32" i="100"/>
  <c r="F19" i="100"/>
  <c r="C19" i="100" s="1"/>
  <c r="N30" i="100" s="1"/>
  <c r="F29" i="100"/>
  <c r="G30" i="100"/>
  <c r="H31" i="100"/>
  <c r="F33" i="100"/>
  <c r="G34" i="100"/>
  <c r="I34" i="100" s="1"/>
  <c r="H35" i="100"/>
  <c r="K35" i="100" s="1"/>
  <c r="F21" i="100"/>
  <c r="C21" i="100" s="1"/>
  <c r="N32" i="100" s="1"/>
  <c r="F28" i="100"/>
  <c r="G29" i="100"/>
  <c r="H30" i="100"/>
  <c r="F32" i="100"/>
  <c r="I32" i="100" s="1"/>
  <c r="G33" i="100"/>
  <c r="H34" i="100"/>
  <c r="J34" i="100" s="1"/>
  <c r="G28" i="100"/>
  <c r="K28" i="100" s="1"/>
  <c r="H29" i="100"/>
  <c r="F31" i="100"/>
  <c r="H33" i="100"/>
  <c r="F35" i="100"/>
  <c r="I35" i="100" s="1"/>
  <c r="F30" i="100"/>
  <c r="G31" i="100"/>
  <c r="D52" i="99"/>
  <c r="D53" i="99"/>
  <c r="D50" i="99"/>
  <c r="D51" i="99"/>
  <c r="F23" i="99"/>
  <c r="C23" i="99" s="1"/>
  <c r="N34" i="99" s="1"/>
  <c r="F28" i="99"/>
  <c r="G29" i="99"/>
  <c r="H30" i="99"/>
  <c r="F32" i="99"/>
  <c r="I32" i="99" s="1"/>
  <c r="G33" i="99"/>
  <c r="H34" i="99"/>
  <c r="K34" i="99" s="1"/>
  <c r="G28" i="99"/>
  <c r="H29" i="99"/>
  <c r="F31" i="99"/>
  <c r="J31" i="99" s="1"/>
  <c r="H33" i="99"/>
  <c r="J33" i="99" s="1"/>
  <c r="F35" i="99"/>
  <c r="F21" i="99"/>
  <c r="C21" i="99" s="1"/>
  <c r="N32" i="99" s="1"/>
  <c r="H28" i="99"/>
  <c r="F30" i="99"/>
  <c r="G31" i="99"/>
  <c r="K31" i="99" s="1"/>
  <c r="H32" i="99"/>
  <c r="K32" i="99" s="1"/>
  <c r="G35" i="99"/>
  <c r="K35" i="99" s="1"/>
  <c r="F29" i="99"/>
  <c r="G30" i="99"/>
  <c r="D51" i="98"/>
  <c r="D53" i="98"/>
  <c r="D50" i="98"/>
  <c r="I35" i="98"/>
  <c r="F29" i="98"/>
  <c r="G30" i="98"/>
  <c r="H31" i="98"/>
  <c r="F33" i="98"/>
  <c r="G34" i="98"/>
  <c r="I34" i="98" s="1"/>
  <c r="H35" i="98"/>
  <c r="J35" i="98" s="1"/>
  <c r="F28" i="98"/>
  <c r="J28" i="98" s="1"/>
  <c r="G29" i="98"/>
  <c r="H30" i="98"/>
  <c r="F32" i="98"/>
  <c r="J32" i="98" s="1"/>
  <c r="G33" i="98"/>
  <c r="H34" i="98"/>
  <c r="J34" i="98" s="1"/>
  <c r="F22" i="98"/>
  <c r="C22" i="98" s="1"/>
  <c r="N33" i="98" s="1"/>
  <c r="G28" i="98"/>
  <c r="K28" i="98" s="1"/>
  <c r="H29" i="98"/>
  <c r="F31" i="98"/>
  <c r="H33" i="98"/>
  <c r="F17" i="98"/>
  <c r="C17" i="98" s="1"/>
  <c r="N28" i="98" s="1"/>
  <c r="F23" i="98"/>
  <c r="C23" i="98" s="1"/>
  <c r="N34" i="98" s="1"/>
  <c r="F30" i="98"/>
  <c r="G31" i="98"/>
  <c r="K32" i="98"/>
  <c r="D49" i="97"/>
  <c r="D48" i="97"/>
  <c r="D47" i="97"/>
  <c r="C16" i="97"/>
  <c r="H35" i="97" s="1"/>
  <c r="C15" i="97"/>
  <c r="H31" i="97" s="1"/>
  <c r="C14" i="97"/>
  <c r="G35" i="97" s="1"/>
  <c r="C13" i="97"/>
  <c r="G33" i="97" s="1"/>
  <c r="C12" i="97"/>
  <c r="F31" i="97" s="1"/>
  <c r="C11" i="97"/>
  <c r="F32" i="97" s="1"/>
  <c r="G5" i="97"/>
  <c r="F5" i="97"/>
  <c r="G4" i="97"/>
  <c r="F4" i="97"/>
  <c r="G3" i="97"/>
  <c r="F3" i="97"/>
  <c r="D49" i="96"/>
  <c r="D48" i="96"/>
  <c r="D47" i="96"/>
  <c r="C16" i="96"/>
  <c r="H35" i="96" s="1"/>
  <c r="C15" i="96"/>
  <c r="H29" i="96" s="1"/>
  <c r="C14" i="96"/>
  <c r="G31" i="96" s="1"/>
  <c r="C13" i="96"/>
  <c r="G33" i="96" s="1"/>
  <c r="C12" i="96"/>
  <c r="F29" i="96" s="1"/>
  <c r="C11" i="96"/>
  <c r="F28" i="96" s="1"/>
  <c r="G5" i="96"/>
  <c r="F5" i="96"/>
  <c r="G4" i="96"/>
  <c r="F4" i="96"/>
  <c r="G3" i="96"/>
  <c r="F3" i="96"/>
  <c r="D49" i="95"/>
  <c r="D48" i="95"/>
  <c r="D47" i="95"/>
  <c r="C16" i="95"/>
  <c r="H35" i="95" s="1"/>
  <c r="H29" i="95"/>
  <c r="C14" i="95"/>
  <c r="G34" i="95" s="1"/>
  <c r="C13" i="95"/>
  <c r="G29" i="95" s="1"/>
  <c r="C12" i="95"/>
  <c r="C11" i="95"/>
  <c r="F32" i="95" s="1"/>
  <c r="G5" i="95"/>
  <c r="F5" i="95"/>
  <c r="G4" i="95"/>
  <c r="F4" i="95"/>
  <c r="G3" i="95"/>
  <c r="F3" i="95"/>
  <c r="D49" i="94"/>
  <c r="D48" i="94"/>
  <c r="D47" i="94"/>
  <c r="C16" i="94"/>
  <c r="H35" i="94" s="1"/>
  <c r="C15" i="94"/>
  <c r="H31" i="94" s="1"/>
  <c r="C14" i="94"/>
  <c r="G35" i="94" s="1"/>
  <c r="C13" i="94"/>
  <c r="C12" i="94"/>
  <c r="C11" i="94"/>
  <c r="G5" i="94"/>
  <c r="F5" i="94"/>
  <c r="G4" i="94"/>
  <c r="F4" i="94"/>
  <c r="G3" i="94"/>
  <c r="F3" i="94"/>
  <c r="M67" i="92"/>
  <c r="N67" i="92" s="1"/>
  <c r="O67" i="92" s="1"/>
  <c r="P67" i="92" s="1"/>
  <c r="Q67" i="92" s="1"/>
  <c r="R67" i="92" s="1"/>
  <c r="S67" i="92" s="1"/>
  <c r="T67" i="92" s="1"/>
  <c r="U67" i="92" s="1"/>
  <c r="V67" i="92" s="1"/>
  <c r="Q70" i="92"/>
  <c r="M68" i="92" s="1"/>
  <c r="I93" i="92"/>
  <c r="K93" i="92"/>
  <c r="L93" i="92"/>
  <c r="M93" i="92"/>
  <c r="N93" i="92"/>
  <c r="O93" i="92"/>
  <c r="I94" i="92"/>
  <c r="K94" i="92"/>
  <c r="L94" i="92"/>
  <c r="M94" i="92"/>
  <c r="N94" i="92"/>
  <c r="O94" i="92"/>
  <c r="I96" i="92"/>
  <c r="K96" i="92"/>
  <c r="L96" i="92"/>
  <c r="M96" i="92"/>
  <c r="N96" i="92"/>
  <c r="O96" i="92"/>
  <c r="I97" i="92"/>
  <c r="K97" i="92"/>
  <c r="L97" i="92"/>
  <c r="M97" i="92"/>
  <c r="N97" i="92"/>
  <c r="O97" i="92"/>
  <c r="I99" i="92"/>
  <c r="K99" i="92"/>
  <c r="L99" i="92"/>
  <c r="M99" i="92"/>
  <c r="N99" i="92"/>
  <c r="O99" i="92"/>
  <c r="I100" i="92"/>
  <c r="K100" i="92"/>
  <c r="L100" i="92"/>
  <c r="M100" i="92"/>
  <c r="N100" i="92"/>
  <c r="O100" i="92"/>
  <c r="K113" i="92"/>
  <c r="L113" i="92"/>
  <c r="M113" i="92"/>
  <c r="N113" i="92"/>
  <c r="O113" i="92"/>
  <c r="K114" i="92"/>
  <c r="L114" i="92"/>
  <c r="M114" i="92"/>
  <c r="N114" i="92"/>
  <c r="O114" i="92"/>
  <c r="K116" i="92"/>
  <c r="L116" i="92"/>
  <c r="M116" i="92"/>
  <c r="N116" i="92"/>
  <c r="O116" i="92"/>
  <c r="K117" i="92"/>
  <c r="L117" i="92"/>
  <c r="M117" i="92"/>
  <c r="N117" i="92"/>
  <c r="O117" i="92"/>
  <c r="K119" i="92"/>
  <c r="L119" i="92"/>
  <c r="M119" i="92"/>
  <c r="N119" i="92"/>
  <c r="O119" i="92"/>
  <c r="K120" i="92"/>
  <c r="L120" i="92"/>
  <c r="M120" i="92"/>
  <c r="N120" i="92"/>
  <c r="O120" i="92"/>
  <c r="D133" i="92"/>
  <c r="E133" i="92" s="1"/>
  <c r="F133" i="92" s="1"/>
  <c r="G133" i="92" s="1"/>
  <c r="H133" i="92" s="1"/>
  <c r="I133" i="92" s="1"/>
  <c r="J133" i="92" s="1"/>
  <c r="K133" i="92" s="1"/>
  <c r="L133" i="92" s="1"/>
  <c r="M133" i="92" s="1"/>
  <c r="N133" i="92" s="1"/>
  <c r="B135" i="92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529" i="92"/>
  <c r="C529" i="92"/>
  <c r="B530" i="92"/>
  <c r="C530" i="92"/>
  <c r="B531" i="92"/>
  <c r="C531" i="92"/>
  <c r="B532" i="92"/>
  <c r="C532" i="92"/>
  <c r="B533" i="92"/>
  <c r="C533" i="92"/>
  <c r="B534" i="92"/>
  <c r="C534" i="92"/>
  <c r="B535" i="92"/>
  <c r="C535" i="92"/>
  <c r="B536" i="92"/>
  <c r="C536" i="92"/>
  <c r="C552" i="92"/>
  <c r="D552" i="92"/>
  <c r="C553" i="92"/>
  <c r="D553" i="92"/>
  <c r="C554" i="92"/>
  <c r="D554" i="92"/>
  <c r="C555" i="92"/>
  <c r="D555" i="92"/>
  <c r="C556" i="92"/>
  <c r="D556" i="92"/>
  <c r="C557" i="92"/>
  <c r="D557" i="92"/>
  <c r="C558" i="92"/>
  <c r="D558" i="92"/>
  <c r="C559" i="92"/>
  <c r="D559" i="92"/>
  <c r="C560" i="92"/>
  <c r="D560" i="92"/>
  <c r="C561" i="92"/>
  <c r="D561" i="92"/>
  <c r="C562" i="92"/>
  <c r="D562" i="92"/>
  <c r="C564" i="92"/>
  <c r="D564" i="92"/>
  <c r="C565" i="92"/>
  <c r="D565" i="92"/>
  <c r="C566" i="92"/>
  <c r="D566" i="92"/>
  <c r="C567" i="92"/>
  <c r="D567" i="92"/>
  <c r="C568" i="92"/>
  <c r="D568" i="92"/>
  <c r="C570" i="92"/>
  <c r="D570" i="92"/>
  <c r="C571" i="92"/>
  <c r="D571" i="92"/>
  <c r="C572" i="92"/>
  <c r="D572" i="92"/>
  <c r="C573" i="92"/>
  <c r="D573" i="92"/>
  <c r="C574" i="92"/>
  <c r="D574" i="92"/>
  <c r="C576" i="92"/>
  <c r="D576" i="92"/>
  <c r="C577" i="92"/>
  <c r="D577" i="92"/>
  <c r="C578" i="92"/>
  <c r="D578" i="92"/>
  <c r="C579" i="92"/>
  <c r="D579" i="92"/>
  <c r="C580" i="92"/>
  <c r="D580" i="92"/>
  <c r="C582" i="92"/>
  <c r="D582" i="92"/>
  <c r="C583" i="92"/>
  <c r="D583" i="92"/>
  <c r="C584" i="92"/>
  <c r="D584" i="92"/>
  <c r="C585" i="92"/>
  <c r="D585" i="92"/>
  <c r="C586" i="92"/>
  <c r="D586" i="92"/>
  <c r="P626" i="92"/>
  <c r="P627" i="92"/>
  <c r="P628" i="92"/>
  <c r="Q628" i="92"/>
  <c r="P630" i="92"/>
  <c r="Q630" i="92"/>
  <c r="Q632" i="92"/>
  <c r="F33" i="95" l="1"/>
  <c r="F17" i="95" a="1"/>
  <c r="F17" i="95" s="1"/>
  <c r="C17" i="95" s="1"/>
  <c r="N28" i="95" s="1"/>
  <c r="I33" i="98"/>
  <c r="I29" i="98"/>
  <c r="F18" i="94" a="1"/>
  <c r="W67" i="92"/>
  <c r="X67" i="92" s="1"/>
  <c r="Y67" i="92" s="1"/>
  <c r="Z67" i="92" s="1"/>
  <c r="AA67" i="92" s="1"/>
  <c r="AB67" i="92" s="1"/>
  <c r="AC67" i="92" s="1"/>
  <c r="AD67" i="92" s="1"/>
  <c r="AE67" i="92" s="1"/>
  <c r="F19" i="94" a="1"/>
  <c r="I30" i="99"/>
  <c r="L68" i="92"/>
  <c r="L33" i="99"/>
  <c r="L32" i="100"/>
  <c r="K35" i="98"/>
  <c r="L30" i="98"/>
  <c r="J34" i="99"/>
  <c r="I35" i="99"/>
  <c r="K28" i="99"/>
  <c r="D50" i="96"/>
  <c r="D50" i="95"/>
  <c r="P70" i="92"/>
  <c r="D53" i="95"/>
  <c r="D50" i="97"/>
  <c r="N69" i="92"/>
  <c r="D51" i="94"/>
  <c r="D52" i="95"/>
  <c r="J30" i="100"/>
  <c r="I28" i="100"/>
  <c r="J33" i="100"/>
  <c r="L69" i="92"/>
  <c r="D52" i="94"/>
  <c r="K30" i="98"/>
  <c r="N70" i="92"/>
  <c r="D51" i="95"/>
  <c r="L34" i="98"/>
  <c r="L70" i="92"/>
  <c r="P68" i="92"/>
  <c r="D52" i="96"/>
  <c r="L29" i="100"/>
  <c r="P629" i="92"/>
  <c r="P69" i="92"/>
  <c r="N68" i="92"/>
  <c r="L35" i="98"/>
  <c r="J33" i="98"/>
  <c r="E16" i="102"/>
  <c r="C16" i="102" s="1"/>
  <c r="C8" i="102" s="1"/>
  <c r="C14" i="102"/>
  <c r="C7" i="102" s="1"/>
  <c r="G20" i="101"/>
  <c r="G18" i="101"/>
  <c r="K29" i="98"/>
  <c r="L34" i="100"/>
  <c r="J29" i="100"/>
  <c r="L33" i="100"/>
  <c r="F17" i="96" a="1"/>
  <c r="J31" i="100"/>
  <c r="K34" i="98"/>
  <c r="I31" i="98"/>
  <c r="L34" i="99"/>
  <c r="I29" i="99"/>
  <c r="L30" i="100"/>
  <c r="K33" i="100"/>
  <c r="J32" i="100"/>
  <c r="I30" i="100"/>
  <c r="L35" i="100"/>
  <c r="L31" i="100"/>
  <c r="J35" i="100"/>
  <c r="K31" i="100"/>
  <c r="I31" i="100"/>
  <c r="K29" i="100"/>
  <c r="K34" i="100"/>
  <c r="I29" i="100"/>
  <c r="I33" i="100"/>
  <c r="L28" i="100"/>
  <c r="J28" i="100"/>
  <c r="K30" i="100"/>
  <c r="L30" i="99"/>
  <c r="K33" i="99"/>
  <c r="J28" i="99"/>
  <c r="K30" i="99"/>
  <c r="L29" i="99"/>
  <c r="J35" i="99"/>
  <c r="J30" i="99"/>
  <c r="L32" i="99"/>
  <c r="L28" i="99"/>
  <c r="J29" i="99"/>
  <c r="L35" i="99"/>
  <c r="L31" i="99"/>
  <c r="J32" i="99"/>
  <c r="I31" i="99"/>
  <c r="K29" i="99"/>
  <c r="I28" i="99"/>
  <c r="I33" i="99"/>
  <c r="L32" i="98"/>
  <c r="L31" i="98"/>
  <c r="F24" i="94" a="1"/>
  <c r="F24" i="94" s="1"/>
  <c r="C24" i="94" s="1"/>
  <c r="N35" i="94" s="1"/>
  <c r="L28" i="98"/>
  <c r="K31" i="98"/>
  <c r="J30" i="98"/>
  <c r="F18" i="95" a="1"/>
  <c r="I28" i="98"/>
  <c r="I30" i="98"/>
  <c r="I32" i="98"/>
  <c r="L33" i="98"/>
  <c r="L29" i="98"/>
  <c r="K33" i="98"/>
  <c r="J31" i="98"/>
  <c r="J29" i="98"/>
  <c r="F20" i="96" a="1"/>
  <c r="F18" i="97" a="1"/>
  <c r="F21" i="97" a="1"/>
  <c r="F21" i="97" s="1"/>
  <c r="C21" i="97" s="1"/>
  <c r="N32" i="97" s="1"/>
  <c r="F22" i="95" a="1"/>
  <c r="F22" i="95" s="1"/>
  <c r="C22" i="95" s="1"/>
  <c r="N33" i="95" s="1"/>
  <c r="F18" i="96" a="1"/>
  <c r="F21" i="96" a="1"/>
  <c r="F24" i="96" a="1"/>
  <c r="F24" i="96" s="1"/>
  <c r="C24" i="96" s="1"/>
  <c r="N35" i="96" s="1"/>
  <c r="F19" i="97" a="1"/>
  <c r="F19" i="97" s="1"/>
  <c r="C19" i="97" s="1"/>
  <c r="N30" i="97" s="1"/>
  <c r="F24" i="97" a="1"/>
  <c r="F24" i="95" a="1"/>
  <c r="F24" i="95" s="1"/>
  <c r="C24" i="95" s="1"/>
  <c r="N35" i="95" s="1"/>
  <c r="K35" i="94"/>
  <c r="F20" i="94" a="1"/>
  <c r="F20" i="94" s="1"/>
  <c r="C20" i="94" s="1"/>
  <c r="N31" i="94" s="1"/>
  <c r="F19" i="95" a="1"/>
  <c r="F19" i="95" s="1"/>
  <c r="C19" i="95" s="1"/>
  <c r="N30" i="95" s="1"/>
  <c r="F23" i="94" a="1"/>
  <c r="F23" i="94" s="1"/>
  <c r="C23" i="94" s="1"/>
  <c r="N34" i="94" s="1"/>
  <c r="F20" i="95" a="1"/>
  <c r="F20" i="95" s="1"/>
  <c r="C20" i="95" s="1"/>
  <c r="N31" i="95" s="1"/>
  <c r="F19" i="96" a="1"/>
  <c r="F19" i="96" s="1"/>
  <c r="C19" i="96" s="1"/>
  <c r="N30" i="96" s="1"/>
  <c r="F22" i="96" a="1"/>
  <c r="F22" i="96" s="1"/>
  <c r="C22" i="96" s="1"/>
  <c r="N33" i="96" s="1"/>
  <c r="F22" i="97" a="1"/>
  <c r="F22" i="97" s="1"/>
  <c r="C22" i="97" s="1"/>
  <c r="N33" i="97" s="1"/>
  <c r="F21" i="95" a="1"/>
  <c r="F21" i="95" s="1"/>
  <c r="C21" i="95" s="1"/>
  <c r="N32" i="95" s="1"/>
  <c r="F23" i="95" a="1"/>
  <c r="F23" i="95" s="1"/>
  <c r="C23" i="95" s="1"/>
  <c r="N34" i="95" s="1"/>
  <c r="F23" i="96" a="1"/>
  <c r="F23" i="96" s="1"/>
  <c r="C23" i="96" s="1"/>
  <c r="N34" i="96" s="1"/>
  <c r="F17" i="97" a="1"/>
  <c r="F17" i="97" s="1"/>
  <c r="C17" i="97" s="1"/>
  <c r="N28" i="97" s="1"/>
  <c r="F20" i="97" a="1"/>
  <c r="F20" i="97" s="1"/>
  <c r="C20" i="97" s="1"/>
  <c r="N31" i="97" s="1"/>
  <c r="F23" i="97" a="1"/>
  <c r="F23" i="97" s="1"/>
  <c r="C23" i="97" s="1"/>
  <c r="N34" i="97" s="1"/>
  <c r="D53" i="97"/>
  <c r="D51" i="97"/>
  <c r="D52" i="97"/>
  <c r="J31" i="97"/>
  <c r="K35" i="97"/>
  <c r="G28" i="97"/>
  <c r="G29" i="97"/>
  <c r="G30" i="97"/>
  <c r="G31" i="97"/>
  <c r="L31" i="97" s="1"/>
  <c r="G32" i="97"/>
  <c r="F33" i="97"/>
  <c r="F34" i="97"/>
  <c r="F35" i="97"/>
  <c r="F18" i="97"/>
  <c r="C18" i="97" s="1"/>
  <c r="N29" i="97" s="1"/>
  <c r="H28" i="97"/>
  <c r="H29" i="97"/>
  <c r="H30" i="97"/>
  <c r="H32" i="97"/>
  <c r="J32" i="97" s="1"/>
  <c r="G34" i="97"/>
  <c r="F24" i="97"/>
  <c r="C24" i="97" s="1"/>
  <c r="N35" i="97" s="1"/>
  <c r="H33" i="97"/>
  <c r="K33" i="97" s="1"/>
  <c r="H34" i="97"/>
  <c r="F28" i="97"/>
  <c r="F29" i="97"/>
  <c r="F30" i="97"/>
  <c r="D53" i="96"/>
  <c r="D51" i="96"/>
  <c r="J29" i="96"/>
  <c r="F18" i="96"/>
  <c r="C18" i="96" s="1"/>
  <c r="N29" i="96" s="1"/>
  <c r="G28" i="96"/>
  <c r="G29" i="96"/>
  <c r="K29" i="96" s="1"/>
  <c r="H30" i="96"/>
  <c r="H31" i="96"/>
  <c r="K31" i="96" s="1"/>
  <c r="H32" i="96"/>
  <c r="H33" i="96"/>
  <c r="K33" i="96" s="1"/>
  <c r="F20" i="96"/>
  <c r="C20" i="96" s="1"/>
  <c r="N31" i="96" s="1"/>
  <c r="F17" i="96"/>
  <c r="C17" i="96" s="1"/>
  <c r="N28" i="96" s="1"/>
  <c r="F21" i="96"/>
  <c r="C21" i="96" s="1"/>
  <c r="N32" i="96" s="1"/>
  <c r="H28" i="96"/>
  <c r="J28" i="96" s="1"/>
  <c r="F34" i="96"/>
  <c r="F35" i="96"/>
  <c r="F30" i="96"/>
  <c r="F31" i="96"/>
  <c r="F32" i="96"/>
  <c r="F33" i="96"/>
  <c r="G34" i="96"/>
  <c r="G35" i="96"/>
  <c r="K35" i="96" s="1"/>
  <c r="G30" i="96"/>
  <c r="K30" i="96" s="1"/>
  <c r="G32" i="96"/>
  <c r="H34" i="96"/>
  <c r="F18" i="95"/>
  <c r="C18" i="95" s="1"/>
  <c r="N29" i="95" s="1"/>
  <c r="K29" i="95"/>
  <c r="F30" i="95"/>
  <c r="G31" i="95"/>
  <c r="G32" i="95"/>
  <c r="G33" i="95"/>
  <c r="H34" i="95"/>
  <c r="K34" i="95" s="1"/>
  <c r="F28" i="95"/>
  <c r="F29" i="95"/>
  <c r="G30" i="95"/>
  <c r="H31" i="95"/>
  <c r="H32" i="95"/>
  <c r="J32" i="95" s="1"/>
  <c r="H33" i="95"/>
  <c r="J33" i="95" s="1"/>
  <c r="F35" i="95"/>
  <c r="G28" i="95"/>
  <c r="H30" i="95"/>
  <c r="F34" i="95"/>
  <c r="G35" i="95"/>
  <c r="K35" i="95" s="1"/>
  <c r="H28" i="95"/>
  <c r="F31" i="95"/>
  <c r="F19" i="94"/>
  <c r="C19" i="94" s="1"/>
  <c r="N30" i="94" s="1"/>
  <c r="D53" i="94"/>
  <c r="F18" i="94"/>
  <c r="C18" i="94" s="1"/>
  <c r="N29" i="94" s="1"/>
  <c r="G33" i="94"/>
  <c r="G32" i="94"/>
  <c r="G29" i="94"/>
  <c r="G28" i="94"/>
  <c r="F17" i="94" a="1"/>
  <c r="F17" i="94" s="1"/>
  <c r="C17" i="94" s="1"/>
  <c r="N28" i="94" s="1"/>
  <c r="F22" i="94" a="1"/>
  <c r="F22" i="94" s="1"/>
  <c r="C22" i="94" s="1"/>
  <c r="N33" i="94" s="1"/>
  <c r="F28" i="94"/>
  <c r="F29" i="94"/>
  <c r="F30" i="94"/>
  <c r="F31" i="94"/>
  <c r="F32" i="94"/>
  <c r="F33" i="94"/>
  <c r="F34" i="94"/>
  <c r="F35" i="94"/>
  <c r="D50" i="94"/>
  <c r="F21" i="94" a="1"/>
  <c r="F21" i="94" s="1"/>
  <c r="C21" i="94" s="1"/>
  <c r="N32" i="94" s="1"/>
  <c r="G30" i="94"/>
  <c r="G31" i="94"/>
  <c r="K31" i="94" s="1"/>
  <c r="G34" i="94"/>
  <c r="H28" i="94"/>
  <c r="H29" i="94"/>
  <c r="H30" i="94"/>
  <c r="H32" i="94"/>
  <c r="H33" i="94"/>
  <c r="H34" i="94"/>
  <c r="Q629" i="92"/>
  <c r="O70" i="92"/>
  <c r="Q69" i="92"/>
  <c r="M69" i="92"/>
  <c r="O68" i="92"/>
  <c r="M70" i="92"/>
  <c r="O69" i="92"/>
  <c r="Q68" i="92"/>
  <c r="EX16" i="40" l="1"/>
  <c r="EZ16" i="40" s="1"/>
  <c r="EX15" i="40"/>
  <c r="EZ15" i="40" s="1"/>
  <c r="EX14" i="40"/>
  <c r="EZ14" i="40" s="1"/>
  <c r="GJ14" i="40" s="1"/>
  <c r="GK14" i="40" s="1"/>
  <c r="D23" i="101" a="1"/>
  <c r="D23" i="101" s="1"/>
  <c r="K28" i="97"/>
  <c r="K29" i="97"/>
  <c r="D37" i="100" a="1"/>
  <c r="D43" i="100" s="1"/>
  <c r="K31" i="97"/>
  <c r="K30" i="97"/>
  <c r="D37" i="99" a="1"/>
  <c r="D42" i="99" s="1"/>
  <c r="D37" i="98" a="1"/>
  <c r="D43" i="98" s="1"/>
  <c r="K34" i="97"/>
  <c r="L33" i="97"/>
  <c r="K32" i="97"/>
  <c r="L34" i="97"/>
  <c r="L32" i="97"/>
  <c r="L28" i="97"/>
  <c r="J28" i="97"/>
  <c r="I28" i="97"/>
  <c r="J35" i="97"/>
  <c r="I35" i="97"/>
  <c r="L35" i="97"/>
  <c r="J34" i="97"/>
  <c r="I34" i="97"/>
  <c r="L30" i="97"/>
  <c r="I32" i="97"/>
  <c r="I31" i="97"/>
  <c r="J30" i="97"/>
  <c r="I30" i="97"/>
  <c r="J29" i="97"/>
  <c r="I29" i="97"/>
  <c r="J33" i="97"/>
  <c r="I33" i="97"/>
  <c r="L29" i="97"/>
  <c r="K32" i="96"/>
  <c r="L28" i="96"/>
  <c r="I28" i="96"/>
  <c r="J31" i="96"/>
  <c r="I31" i="96"/>
  <c r="L31" i="96"/>
  <c r="L29" i="96"/>
  <c r="J33" i="96"/>
  <c r="I33" i="96"/>
  <c r="L33" i="96"/>
  <c r="L35" i="96"/>
  <c r="J35" i="96"/>
  <c r="I35" i="96"/>
  <c r="J32" i="96"/>
  <c r="I32" i="96"/>
  <c r="L32" i="96"/>
  <c r="L34" i="96"/>
  <c r="J34" i="96"/>
  <c r="I34" i="96"/>
  <c r="K34" i="96"/>
  <c r="J30" i="96"/>
  <c r="I30" i="96"/>
  <c r="L30" i="96"/>
  <c r="K28" i="96"/>
  <c r="I29" i="96"/>
  <c r="K33" i="95"/>
  <c r="L32" i="95"/>
  <c r="K31" i="95"/>
  <c r="J31" i="95"/>
  <c r="I31" i="95"/>
  <c r="L31" i="95"/>
  <c r="L28" i="95"/>
  <c r="J28" i="95"/>
  <c r="I28" i="95"/>
  <c r="K28" i="95"/>
  <c r="K32" i="95"/>
  <c r="L35" i="95"/>
  <c r="J35" i="95"/>
  <c r="I35" i="95"/>
  <c r="K30" i="95"/>
  <c r="J34" i="95"/>
  <c r="I34" i="95"/>
  <c r="L34" i="95"/>
  <c r="L29" i="95"/>
  <c r="J29" i="95"/>
  <c r="I29" i="95"/>
  <c r="I30" i="95"/>
  <c r="L30" i="95"/>
  <c r="J30" i="95"/>
  <c r="L33" i="95"/>
  <c r="I32" i="95"/>
  <c r="I33" i="95"/>
  <c r="I33" i="94"/>
  <c r="L33" i="94"/>
  <c r="J33" i="94"/>
  <c r="I29" i="94"/>
  <c r="L29" i="94"/>
  <c r="J29" i="94"/>
  <c r="K28" i="94"/>
  <c r="I35" i="94"/>
  <c r="L35" i="94"/>
  <c r="J35" i="94"/>
  <c r="I31" i="94"/>
  <c r="L31" i="94"/>
  <c r="J31" i="94"/>
  <c r="K30" i="94"/>
  <c r="I34" i="94"/>
  <c r="L34" i="94"/>
  <c r="J34" i="94"/>
  <c r="I30" i="94"/>
  <c r="L30" i="94"/>
  <c r="J30" i="94"/>
  <c r="K34" i="94"/>
  <c r="I32" i="94"/>
  <c r="L32" i="94"/>
  <c r="J32" i="94"/>
  <c r="I28" i="94"/>
  <c r="L28" i="94"/>
  <c r="J28" i="94"/>
  <c r="K29" i="94"/>
  <c r="K32" i="94"/>
  <c r="K33" i="94"/>
  <c r="FB14" i="40" l="1"/>
  <c r="GJ15" i="40"/>
  <c r="GK15" i="40" s="1"/>
  <c r="FB15" i="40"/>
  <c r="GJ16" i="40"/>
  <c r="GK16" i="40" s="1"/>
  <c r="FB16" i="40"/>
  <c r="D24" i="101"/>
  <c r="D25" i="101"/>
  <c r="D26" i="101"/>
  <c r="D39" i="100"/>
  <c r="D41" i="100"/>
  <c r="D37" i="100"/>
  <c r="D38" i="100"/>
  <c r="D42" i="100"/>
  <c r="D40" i="100"/>
  <c r="D44" i="100"/>
  <c r="D43" i="99"/>
  <c r="D37" i="99"/>
  <c r="D41" i="99"/>
  <c r="D38" i="99"/>
  <c r="D44" i="99"/>
  <c r="D40" i="99"/>
  <c r="D39" i="99"/>
  <c r="D40" i="98"/>
  <c r="D44" i="98"/>
  <c r="D37" i="98"/>
  <c r="D42" i="98"/>
  <c r="D39" i="98"/>
  <c r="D41" i="98"/>
  <c r="D38" i="98"/>
  <c r="D37" i="97" a="1"/>
  <c r="D44" i="97" s="1"/>
  <c r="D37" i="96" a="1"/>
  <c r="D40" i="96" s="1"/>
  <c r="D37" i="95" a="1"/>
  <c r="D42" i="95" s="1"/>
  <c r="D37" i="94" a="1"/>
  <c r="D43" i="94" s="1"/>
  <c r="H3" i="101" l="1"/>
  <c r="C8" i="100"/>
  <c r="C8" i="99"/>
  <c r="C8" i="98"/>
  <c r="D39" i="97"/>
  <c r="D37" i="97"/>
  <c r="D38" i="97"/>
  <c r="D42" i="97"/>
  <c r="D43" i="97"/>
  <c r="D41" i="97"/>
  <c r="D40" i="97"/>
  <c r="D43" i="96"/>
  <c r="D38" i="96"/>
  <c r="D37" i="96"/>
  <c r="D44" i="96"/>
  <c r="D39" i="96"/>
  <c r="D42" i="96"/>
  <c r="D41" i="96"/>
  <c r="D40" i="94"/>
  <c r="D38" i="94"/>
  <c r="D44" i="95"/>
  <c r="D41" i="95"/>
  <c r="D38" i="95"/>
  <c r="D37" i="95"/>
  <c r="D40" i="95"/>
  <c r="D39" i="95"/>
  <c r="D43" i="95"/>
  <c r="D44" i="94"/>
  <c r="D42" i="94"/>
  <c r="D37" i="94"/>
  <c r="D39" i="94"/>
  <c r="D41" i="94"/>
  <c r="C8" i="96" l="1"/>
  <c r="C8" i="97"/>
  <c r="C8" i="94"/>
  <c r="C8" i="95"/>
  <c r="I34" i="91"/>
  <c r="I35" i="91" s="1"/>
  <c r="I36" i="91" s="1"/>
  <c r="I37" i="91" s="1"/>
  <c r="I38" i="91" s="1"/>
  <c r="I39" i="91" s="1"/>
  <c r="I40" i="91" s="1"/>
  <c r="I41" i="91" s="1"/>
  <c r="J43" i="91" l="1"/>
  <c r="D586" i="91"/>
  <c r="C586" i="91"/>
  <c r="D585" i="91"/>
  <c r="C585" i="91"/>
  <c r="D584" i="91"/>
  <c r="C584" i="91"/>
  <c r="D583" i="91"/>
  <c r="C583" i="91"/>
  <c r="D582" i="91"/>
  <c r="C582" i="91"/>
  <c r="D580" i="91"/>
  <c r="C580" i="91"/>
  <c r="D579" i="91"/>
  <c r="C579" i="91"/>
  <c r="D578" i="91"/>
  <c r="C578" i="91"/>
  <c r="D577" i="91"/>
  <c r="C577" i="91"/>
  <c r="D576" i="91"/>
  <c r="C576" i="91"/>
  <c r="D574" i="91"/>
  <c r="C574" i="91"/>
  <c r="D573" i="91"/>
  <c r="C573" i="91"/>
  <c r="D572" i="91"/>
  <c r="C572" i="91"/>
  <c r="D571" i="91"/>
  <c r="C571" i="91"/>
  <c r="D570" i="91"/>
  <c r="C570" i="91"/>
  <c r="D568" i="91"/>
  <c r="C568" i="91"/>
  <c r="D567" i="91"/>
  <c r="C567" i="91"/>
  <c r="D566" i="91"/>
  <c r="C566" i="91"/>
  <c r="D565" i="91"/>
  <c r="C565" i="91"/>
  <c r="D564" i="91"/>
  <c r="C564" i="91"/>
  <c r="D562" i="91"/>
  <c r="C562" i="91"/>
  <c r="D561" i="91"/>
  <c r="C561" i="91"/>
  <c r="D560" i="91"/>
  <c r="C560" i="91"/>
  <c r="D559" i="91"/>
  <c r="C559" i="91"/>
  <c r="D558" i="91"/>
  <c r="C558" i="91"/>
  <c r="D557" i="91"/>
  <c r="C557" i="91"/>
  <c r="D556" i="91"/>
  <c r="C556" i="91"/>
  <c r="D555" i="91"/>
  <c r="C555" i="91"/>
  <c r="D554" i="91"/>
  <c r="C554" i="91"/>
  <c r="D553" i="91"/>
  <c r="C553" i="91"/>
  <c r="D552" i="91"/>
  <c r="C552" i="91"/>
  <c r="C536" i="91"/>
  <c r="B536" i="91"/>
  <c r="C535" i="91"/>
  <c r="B535" i="91"/>
  <c r="C534" i="91"/>
  <c r="B534" i="91"/>
  <c r="C533" i="91"/>
  <c r="B533" i="91"/>
  <c r="C532" i="91"/>
  <c r="B532" i="91"/>
  <c r="C531" i="91"/>
  <c r="B531" i="91"/>
  <c r="C530" i="91"/>
  <c r="B530" i="91"/>
  <c r="C529" i="91"/>
  <c r="B529" i="91"/>
  <c r="B135" i="91"/>
  <c r="B136" i="91" s="1"/>
  <c r="B137" i="91" s="1"/>
  <c r="B138" i="91" s="1"/>
  <c r="B139" i="91" s="1"/>
  <c r="B140" i="91" s="1"/>
  <c r="B141" i="91" s="1"/>
  <c r="B142" i="91" s="1"/>
  <c r="B143" i="91" s="1"/>
  <c r="B144" i="91" s="1"/>
  <c r="B145" i="91" s="1"/>
  <c r="B146" i="91" s="1"/>
  <c r="B147" i="91" s="1"/>
  <c r="B148" i="91" s="1"/>
  <c r="B149" i="91" s="1"/>
  <c r="B150" i="91" s="1"/>
  <c r="B151" i="91" s="1"/>
  <c r="B152" i="91" s="1"/>
  <c r="B153" i="91" s="1"/>
  <c r="B154" i="91" s="1"/>
  <c r="D133" i="91"/>
  <c r="E133" i="91" s="1"/>
  <c r="F133" i="91" s="1"/>
  <c r="G133" i="91" s="1"/>
  <c r="H133" i="91" s="1"/>
  <c r="I133" i="91" s="1"/>
  <c r="J133" i="91" s="1"/>
  <c r="K133" i="91" s="1"/>
  <c r="L133" i="91" s="1"/>
  <c r="M133" i="91" s="1"/>
  <c r="N133" i="91" s="1"/>
  <c r="O120" i="91"/>
  <c r="N120" i="91"/>
  <c r="M120" i="91"/>
  <c r="L120" i="91"/>
  <c r="K120" i="91"/>
  <c r="O119" i="91"/>
  <c r="N119" i="91"/>
  <c r="M119" i="91"/>
  <c r="L119" i="91"/>
  <c r="K119" i="91"/>
  <c r="O117" i="91"/>
  <c r="N117" i="91"/>
  <c r="M117" i="91"/>
  <c r="L117" i="91"/>
  <c r="K117" i="91"/>
  <c r="O116" i="91"/>
  <c r="N116" i="91"/>
  <c r="M116" i="91"/>
  <c r="L116" i="91"/>
  <c r="K116" i="91"/>
  <c r="O114" i="91"/>
  <c r="N114" i="91"/>
  <c r="M114" i="91"/>
  <c r="L114" i="91"/>
  <c r="K114" i="91"/>
  <c r="O113" i="91"/>
  <c r="N113" i="91"/>
  <c r="M113" i="91"/>
  <c r="L113" i="91"/>
  <c r="K113" i="91"/>
  <c r="O100" i="91"/>
  <c r="N100" i="91"/>
  <c r="M100" i="91"/>
  <c r="L100" i="91"/>
  <c r="K100" i="91"/>
  <c r="I100" i="91"/>
  <c r="O99" i="91"/>
  <c r="N99" i="91"/>
  <c r="M99" i="91"/>
  <c r="L99" i="91"/>
  <c r="K99" i="91"/>
  <c r="I99" i="91"/>
  <c r="O97" i="91"/>
  <c r="N97" i="91"/>
  <c r="M97" i="91"/>
  <c r="L97" i="91"/>
  <c r="K97" i="91"/>
  <c r="I97" i="91"/>
  <c r="O96" i="91"/>
  <c r="N96" i="91"/>
  <c r="M96" i="91"/>
  <c r="L96" i="91"/>
  <c r="K96" i="91"/>
  <c r="I96" i="91"/>
  <c r="O94" i="91"/>
  <c r="N94" i="91"/>
  <c r="M94" i="91"/>
  <c r="L94" i="91"/>
  <c r="K94" i="91"/>
  <c r="I94" i="91"/>
  <c r="O93" i="91"/>
  <c r="N93" i="91"/>
  <c r="M93" i="91"/>
  <c r="L93" i="91"/>
  <c r="K93" i="91"/>
  <c r="I93" i="91"/>
  <c r="Q70" i="91"/>
  <c r="N70" i="91" s="1"/>
  <c r="M67" i="91"/>
  <c r="N67" i="91" s="1"/>
  <c r="O67" i="91" s="1"/>
  <c r="P67" i="91" s="1"/>
  <c r="Q67" i="91" s="1"/>
  <c r="R67" i="91" s="1"/>
  <c r="S67" i="91" s="1"/>
  <c r="T67" i="91" s="1"/>
  <c r="U67" i="91" s="1"/>
  <c r="V67" i="91" s="1"/>
  <c r="W67" i="91" s="1"/>
  <c r="X67" i="91" s="1"/>
  <c r="Y67" i="91" s="1"/>
  <c r="Z67" i="91" s="1"/>
  <c r="AA67" i="91" s="1"/>
  <c r="AB67" i="91" s="1"/>
  <c r="AC67" i="91" s="1"/>
  <c r="AD67" i="91" s="1"/>
  <c r="AE67" i="91" s="1"/>
  <c r="AF67" i="91" s="1"/>
  <c r="M68" i="91" l="1"/>
  <c r="L68" i="91"/>
  <c r="P68" i="91"/>
  <c r="O68" i="91"/>
  <c r="M69" i="91"/>
  <c r="Q68" i="91"/>
  <c r="O69" i="91"/>
  <c r="N69" i="91"/>
  <c r="Q69" i="91"/>
  <c r="L70" i="91"/>
  <c r="M70" i="91"/>
  <c r="O70" i="91"/>
  <c r="P70" i="91"/>
  <c r="N68" i="91"/>
  <c r="L69" i="91"/>
  <c r="P69" i="91"/>
  <c r="D49" i="90" l="1"/>
  <c r="D48" i="90"/>
  <c r="D47" i="90"/>
  <c r="F19" i="90" a="1"/>
  <c r="F17" i="90" a="1"/>
  <c r="C16" i="90"/>
  <c r="C15" i="90"/>
  <c r="C14" i="90"/>
  <c r="C13" i="90"/>
  <c r="C12" i="90"/>
  <c r="C11" i="90"/>
  <c r="G5" i="90"/>
  <c r="F5" i="90"/>
  <c r="G4" i="90"/>
  <c r="F4" i="90"/>
  <c r="G3" i="90"/>
  <c r="F3" i="90"/>
  <c r="H25" i="89"/>
  <c r="H24" i="89"/>
  <c r="F10" i="89"/>
  <c r="C10" i="89"/>
  <c r="F19" i="89" s="1"/>
  <c r="F9" i="89"/>
  <c r="C9" i="89"/>
  <c r="F20" i="89" s="1"/>
  <c r="F8" i="89"/>
  <c r="C8" i="89"/>
  <c r="F7" i="89"/>
  <c r="C7" i="89"/>
  <c r="F4" i="89"/>
  <c r="E4" i="89"/>
  <c r="F3" i="89"/>
  <c r="E3" i="89"/>
  <c r="G32" i="90" l="1"/>
  <c r="G35" i="90"/>
  <c r="F32" i="90"/>
  <c r="H31" i="90"/>
  <c r="F31" i="90"/>
  <c r="H35" i="90"/>
  <c r="F21" i="90" a="1"/>
  <c r="F21" i="90" s="1"/>
  <c r="C21" i="90" s="1"/>
  <c r="F18" i="90" a="1"/>
  <c r="F18" i="90" s="1"/>
  <c r="C18" i="90" s="1"/>
  <c r="F22" i="90" a="1"/>
  <c r="F22" i="90" s="1"/>
  <c r="C22" i="90" s="1"/>
  <c r="F23" i="90" a="1"/>
  <c r="F23" i="90" s="1"/>
  <c r="C23" i="90" s="1"/>
  <c r="F20" i="90" a="1"/>
  <c r="F20" i="90" s="1"/>
  <c r="C20" i="90" s="1"/>
  <c r="F24" i="90" a="1"/>
  <c r="F24" i="90" s="1"/>
  <c r="C24" i="90" s="1"/>
  <c r="F19" i="90"/>
  <c r="C19" i="90" s="1"/>
  <c r="D50" i="90"/>
  <c r="G34" i="90"/>
  <c r="G30" i="90"/>
  <c r="G31" i="90"/>
  <c r="D53" i="90"/>
  <c r="D51" i="90"/>
  <c r="D52" i="90"/>
  <c r="G29" i="90"/>
  <c r="H30" i="90"/>
  <c r="K30" i="90" s="1"/>
  <c r="G33" i="90"/>
  <c r="H34" i="90"/>
  <c r="G28" i="90"/>
  <c r="H29" i="90"/>
  <c r="H33" i="90"/>
  <c r="H28" i="90"/>
  <c r="H32" i="90"/>
  <c r="F28" i="90"/>
  <c r="F35" i="90"/>
  <c r="F34" i="90"/>
  <c r="F17" i="90"/>
  <c r="C17" i="90" s="1"/>
  <c r="F33" i="90"/>
  <c r="F29" i="90"/>
  <c r="F30" i="90"/>
  <c r="C14" i="89"/>
  <c r="I21" i="89" s="1"/>
  <c r="E21" i="89"/>
  <c r="H26" i="89"/>
  <c r="E20" i="89"/>
  <c r="G20" i="89" s="1"/>
  <c r="F21" i="89"/>
  <c r="C12" i="89"/>
  <c r="I19" i="89" s="1"/>
  <c r="C11" i="89"/>
  <c r="I18" i="89" s="1"/>
  <c r="E18" i="89"/>
  <c r="E19" i="89"/>
  <c r="G19" i="89" s="1"/>
  <c r="F18" i="89"/>
  <c r="C13" i="89"/>
  <c r="I20" i="89" s="1"/>
  <c r="K35" i="90" l="1"/>
  <c r="J31" i="90"/>
  <c r="K31" i="90"/>
  <c r="I32" i="90"/>
  <c r="K32" i="90"/>
  <c r="I31" i="90"/>
  <c r="N35" i="90"/>
  <c r="N29" i="90"/>
  <c r="N33" i="90"/>
  <c r="N32" i="90"/>
  <c r="N28" i="90"/>
  <c r="N34" i="90"/>
  <c r="N31" i="90"/>
  <c r="N30" i="90"/>
  <c r="L31" i="90"/>
  <c r="K34" i="90"/>
  <c r="L32" i="90"/>
  <c r="J32" i="90"/>
  <c r="K33" i="90"/>
  <c r="K28" i="90"/>
  <c r="K29" i="90"/>
  <c r="I28" i="90"/>
  <c r="L28" i="90"/>
  <c r="J28" i="90"/>
  <c r="L34" i="90"/>
  <c r="J34" i="90"/>
  <c r="I34" i="90"/>
  <c r="J30" i="90"/>
  <c r="I30" i="90"/>
  <c r="L30" i="90"/>
  <c r="J33" i="90"/>
  <c r="I33" i="90"/>
  <c r="L33" i="90"/>
  <c r="J29" i="90"/>
  <c r="I29" i="90"/>
  <c r="L29" i="90"/>
  <c r="I35" i="90"/>
  <c r="L35" i="90"/>
  <c r="J35" i="90"/>
  <c r="G21" i="89"/>
  <c r="G18" i="89"/>
  <c r="D37" i="90" l="1" a="1"/>
  <c r="D43" i="90" s="1"/>
  <c r="D23" i="89" a="1"/>
  <c r="D25" i="89" s="1"/>
  <c r="D42" i="90" l="1"/>
  <c r="D41" i="90"/>
  <c r="D37" i="90"/>
  <c r="D44" i="90"/>
  <c r="D39" i="90"/>
  <c r="D38" i="90"/>
  <c r="D40" i="90"/>
  <c r="D26" i="89"/>
  <c r="D23" i="89"/>
  <c r="D24" i="89"/>
  <c r="C8" i="90" l="1"/>
  <c r="H3" i="89"/>
  <c r="K9" i="40" l="1"/>
  <c r="CJ6" i="40" l="1"/>
  <c r="CJ5" i="40"/>
  <c r="CJ4" i="40"/>
  <c r="CJ7" i="40"/>
  <c r="CI7" i="40"/>
  <c r="CI6" i="40"/>
  <c r="CI5" i="40"/>
  <c r="CI4" i="40"/>
  <c r="CG7" i="40"/>
  <c r="CG6" i="40"/>
  <c r="CG5" i="40"/>
  <c r="CM7" i="40" l="1"/>
  <c r="CM4" i="40"/>
  <c r="CM6" i="40"/>
  <c r="CM5" i="40"/>
  <c r="DE7" i="40" l="1"/>
  <c r="Z10" i="40" l="1"/>
  <c r="Q622" i="91" l="1"/>
  <c r="CN7" i="40" l="1"/>
</calcChain>
</file>

<file path=xl/sharedStrings.xml><?xml version="1.0" encoding="utf-8"?>
<sst xmlns="http://schemas.openxmlformats.org/spreadsheetml/2006/main" count="4849" uniqueCount="705">
  <si>
    <t>fator de ajuste VDM para VPH</t>
  </si>
  <si>
    <t>PT</t>
  </si>
  <si>
    <t>porcentagem de veículos pesados na taxa de fluxo V</t>
  </si>
  <si>
    <t>veiculo tipo</t>
  </si>
  <si>
    <t>faixa de variação de taxas de fluxo direcionais (pc/h)</t>
  </si>
  <si>
    <t>faixa de variação de taxas de fluxo am ambos sentidos (pc/h)</t>
  </si>
  <si>
    <t>tipo de terreno</t>
  </si>
  <si>
    <t>plano</t>
  </si>
  <si>
    <t>ondulado</t>
  </si>
  <si>
    <t>ET (caminhões)</t>
  </si>
  <si>
    <t>0-600</t>
  </si>
  <si>
    <t>0-300</t>
  </si>
  <si>
    <t>&gt;600 - 1200</t>
  </si>
  <si>
    <t>&gt;300 - 600</t>
  </si>
  <si>
    <t>&gt;1200</t>
  </si>
  <si>
    <t>&gt;600</t>
  </si>
  <si>
    <t>Er (veículos de lazer)</t>
  </si>
  <si>
    <t>Pce equivalentes considerando veículos pesados</t>
  </si>
  <si>
    <t>Pce equivalentes considerando veículos pesados para determinar time-spent-following em segmentos de duas direções</t>
  </si>
  <si>
    <t>veículos pesados mantém aproximadamente velocidade média geral (i&lt;2%)</t>
  </si>
  <si>
    <t>veículos pesados são afetados reduzem velocidade substancialmente (i&lt;4%)</t>
  </si>
  <si>
    <r>
      <t xml:space="preserve">fg (fator de ajuste do grade) rodovias de sentido duplo para determinar </t>
    </r>
    <r>
      <rPr>
        <sz val="10"/>
        <color rgb="FFFF0000"/>
        <rFont val="Calibri"/>
        <family val="2"/>
      </rPr>
      <t>tempo seguindo</t>
    </r>
  </si>
  <si>
    <r>
      <t xml:space="preserve">fg (fator de ajuste do grade) rodovias de sentido duplo para determinar </t>
    </r>
    <r>
      <rPr>
        <sz val="10"/>
        <color rgb="FFFF0000"/>
        <rFont val="Calibri"/>
        <family val="2"/>
      </rPr>
      <t>velocidade  média de viagem</t>
    </r>
  </si>
  <si>
    <t>fhv=1/(1+PT*(ET-1)+PR*(ER-1))</t>
  </si>
  <si>
    <t>vp (taxa de fluxo em pce para 15 min de pico) (pc/h)</t>
  </si>
  <si>
    <t>vp=V/(PHF*fg*fhv)</t>
  </si>
  <si>
    <t>premissa alexandre</t>
  </si>
  <si>
    <t>PHF (fator hora pico)</t>
  </si>
  <si>
    <t>para trechos rurais (HCM)</t>
  </si>
  <si>
    <t>para trechos urbanos (HCM)</t>
  </si>
  <si>
    <t>V=para fluxo nos dois sentidos</t>
  </si>
  <si>
    <t>PHF</t>
  </si>
  <si>
    <t>Fls (fator de ajuste para larguras de faixa de tráfego e acostamento</t>
  </si>
  <si>
    <t>largura da faixa (m)</t>
  </si>
  <si>
    <t>redução da FFS - velocidade de fluxo livre (km/h)</t>
  </si>
  <si>
    <t>largura de acostamento (m)</t>
  </si>
  <si>
    <t>2,7 &lt; 3,0</t>
  </si>
  <si>
    <t>&gt;=3,0 &lt; 3,3</t>
  </si>
  <si>
    <t>&gt;=3,3 &lt; 3,6</t>
  </si>
  <si>
    <t>&gt;= 3,6</t>
  </si>
  <si>
    <t>&gt;=0,0 &lt; 0,6</t>
  </si>
  <si>
    <t>&gt;=0,6 &lt; 1,2</t>
  </si>
  <si>
    <t xml:space="preserve">&gt;=1,2 &lt; 1,8 </t>
  </si>
  <si>
    <t>&gt;= 1,8</t>
  </si>
  <si>
    <t>fa (fator de ajuste para densidade de acessos)</t>
  </si>
  <si>
    <t>densidade de acessos (acessos/km)</t>
  </si>
  <si>
    <t>redução na FFs</t>
  </si>
  <si>
    <t>&gt;=24</t>
  </si>
  <si>
    <t>FFS (free flow speed) velocidade do fluxo livre (km/h)</t>
  </si>
  <si>
    <t>FFS=BFFS-fls-fa</t>
  </si>
  <si>
    <t>premissa</t>
  </si>
  <si>
    <t>fnp (ajuste para efeito de segmentos sem ultrapassagem na velocidade média de percurso ou viagem) (km/h)</t>
  </si>
  <si>
    <t>vp - taxa de fluxo bidirecional (pc/h)</t>
  </si>
  <si>
    <t>redução na velocidade média de percurso (km/h)</t>
  </si>
  <si>
    <t>porcentagem de zonas sem ultrapassagem (%)</t>
  </si>
  <si>
    <t>ATS (average travel speed) velocidade média de percurso (km/h)</t>
  </si>
  <si>
    <t>ATS=FFS-0,0125vp-fa</t>
  </si>
  <si>
    <r>
      <t xml:space="preserve">fhv (fator de ajuste de veículos pesados por conta do </t>
    </r>
    <r>
      <rPr>
        <sz val="10"/>
        <color rgb="FFFF0000"/>
        <rFont val="Calibri"/>
        <family val="2"/>
      </rPr>
      <t>grade)</t>
    </r>
  </si>
  <si>
    <r>
      <t xml:space="preserve">fhv (fator de ajuste de veículos pesados para </t>
    </r>
    <r>
      <rPr>
        <sz val="10"/>
        <color rgb="FFFF0000"/>
        <rFont val="Calibri"/>
        <family val="2"/>
      </rPr>
      <t>tempo seguindo</t>
    </r>
    <r>
      <rPr>
        <sz val="10"/>
        <rFont val="Calibri"/>
        <family val="2"/>
      </rPr>
      <t>)</t>
    </r>
  </si>
  <si>
    <t xml:space="preserve">Porcentagem do tempo seguindo </t>
  </si>
  <si>
    <t>BPTSF=100*(1-e^-0,000879vp)</t>
  </si>
  <si>
    <t>fd/np</t>
  </si>
  <si>
    <t>calculo porcentagem do tempo do tempo gasto seguindo</t>
  </si>
  <si>
    <t>PTSF=BPTSF+fd/nf</t>
  </si>
  <si>
    <t>C</t>
  </si>
  <si>
    <t>E</t>
  </si>
  <si>
    <t>tipo</t>
  </si>
  <si>
    <t>descrição</t>
  </si>
  <si>
    <t>rural/urbano</t>
  </si>
  <si>
    <t>Two-lane highway segment (HCM Cap. 20)</t>
  </si>
  <si>
    <t>passeio</t>
  </si>
  <si>
    <t>pesado</t>
  </si>
  <si>
    <t>BFFS</t>
  </si>
  <si>
    <t>-</t>
  </si>
  <si>
    <t>Et</t>
  </si>
  <si>
    <t>vdma</t>
  </si>
  <si>
    <t>veic/h</t>
  </si>
  <si>
    <t>plano/ondulado</t>
  </si>
  <si>
    <t>% zonas s/ultra</t>
  </si>
  <si>
    <t>fnp</t>
  </si>
  <si>
    <t>loren</t>
  </si>
  <si>
    <t>célula a definir valor</t>
  </si>
  <si>
    <t>FFS</t>
  </si>
  <si>
    <t>ATS</t>
  </si>
  <si>
    <t>faixa (m)</t>
  </si>
  <si>
    <t>acost (m)</t>
  </si>
  <si>
    <t>acessos/km</t>
  </si>
  <si>
    <t>2,7-3,0</t>
  </si>
  <si>
    <t>3,0-3,3</t>
  </si>
  <si>
    <t>3,3-3,6</t>
  </si>
  <si>
    <t>distrib. direc.</t>
  </si>
  <si>
    <t>faixa</t>
  </si>
  <si>
    <t>acost</t>
  </si>
  <si>
    <t>fLS</t>
  </si>
  <si>
    <t>fA</t>
  </si>
  <si>
    <t>dens ac</t>
  </si>
  <si>
    <t>Et time</t>
  </si>
  <si>
    <t>vp2</t>
  </si>
  <si>
    <t>fg time</t>
  </si>
  <si>
    <t>fhv follow</t>
  </si>
  <si>
    <t>BPTSF</t>
  </si>
  <si>
    <t>PTSF</t>
  </si>
  <si>
    <t>LOS</t>
  </si>
  <si>
    <t>fd/np para 50/50</t>
  </si>
  <si>
    <t>A</t>
  </si>
  <si>
    <t>B</t>
  </si>
  <si>
    <t>D</t>
  </si>
  <si>
    <t>fg ats</t>
  </si>
  <si>
    <t>fhv ats</t>
  </si>
  <si>
    <t>vp1</t>
  </si>
  <si>
    <t>teste1</t>
  </si>
  <si>
    <t>ipsum</t>
  </si>
  <si>
    <t>cálculo método hcm</t>
  </si>
  <si>
    <t>dolor</t>
  </si>
  <si>
    <t>ptsf</t>
  </si>
  <si>
    <t>ats</t>
  </si>
  <si>
    <t>ano</t>
  </si>
  <si>
    <t>Vel. Limite (km/h)</t>
  </si>
  <si>
    <t>cálculo planilha</t>
  </si>
  <si>
    <t>Legenda</t>
  </si>
  <si>
    <t>infos do trecho [sdg/tráfego]</t>
  </si>
  <si>
    <t>infos do subtrecho [m³/caract]</t>
  </si>
  <si>
    <t>teste2</t>
  </si>
  <si>
    <t>Diferença entre VFL e a
velocidade de arrasto (km/h)</t>
  </si>
  <si>
    <t>&lt;20</t>
  </si>
  <si>
    <t>&gt;60</t>
  </si>
  <si>
    <t>Intervalo de fluxo em sentido Vd (ucp/h)</t>
  </si>
  <si>
    <t>Equivalente em carros de passeio de caminhões
em velocidade arrasto CA (ECA)</t>
  </si>
  <si>
    <t>IMPORTANTE: NÃO ALTERAR NADA</t>
  </si>
  <si>
    <t>Estado</t>
  </si>
  <si>
    <t>Municipio</t>
  </si>
  <si>
    <t>Pista</t>
  </si>
  <si>
    <t>Número de Faixas</t>
  </si>
  <si>
    <t>Largura das Faixas</t>
  </si>
  <si>
    <t>Acostamento</t>
  </si>
  <si>
    <t>Largura Acost.</t>
  </si>
  <si>
    <t>Degrau Acost.</t>
  </si>
  <si>
    <t>Faixa de Segurança</t>
  </si>
  <si>
    <t>Separador</t>
  </si>
  <si>
    <t>Vias Marginais</t>
  </si>
  <si>
    <t>km Inicial</t>
  </si>
  <si>
    <t>km Final</t>
  </si>
  <si>
    <t>Extensão</t>
  </si>
  <si>
    <t>Sim</t>
  </si>
  <si>
    <t>Não</t>
  </si>
  <si>
    <t>Canteiro</t>
  </si>
  <si>
    <t>passos HCM, tipo 1 (pista simples)</t>
  </si>
  <si>
    <t>&lt;4 eixos</t>
  </si>
  <si>
    <t>Tabela 73, Exhibit 20-18</t>
  </si>
  <si>
    <r>
      <rPr>
        <sz val="10"/>
        <color rgb="FF0F0F0F"/>
        <rFont val="Calibri"/>
        <family val="2"/>
        <scheme val="minor"/>
      </rPr>
      <t xml:space="preserve">EXHIBIT </t>
    </r>
    <r>
      <rPr>
        <sz val="10"/>
        <color rgb="FF1F1F1F"/>
        <rFont val="Calibri"/>
        <family val="2"/>
        <scheme val="minor"/>
      </rPr>
      <t>20</t>
    </r>
    <r>
      <rPr>
        <sz val="10"/>
        <rFont val="Calibri"/>
        <family val="2"/>
        <scheme val="minor"/>
      </rPr>
      <t>-13</t>
    </r>
    <r>
      <rPr>
        <sz val="10"/>
        <color rgb="FF1F1F1F"/>
        <rFont val="Calibri"/>
        <family val="2"/>
        <scheme val="minor"/>
      </rPr>
      <t xml:space="preserve">. </t>
    </r>
    <r>
      <rPr>
        <sz val="10"/>
        <color rgb="FF0F0F0F"/>
        <rFont val="Calibri"/>
        <family val="2"/>
        <scheme val="minor"/>
      </rPr>
      <t xml:space="preserve">GRADE </t>
    </r>
    <r>
      <rPr>
        <sz val="10"/>
        <rFont val="Calibri"/>
        <family val="2"/>
        <scheme val="minor"/>
      </rPr>
      <t>ADJU</t>
    </r>
    <r>
      <rPr>
        <sz val="10"/>
        <color rgb="FF1F1F1F"/>
        <rFont val="Calibri"/>
        <family val="2"/>
        <scheme val="minor"/>
      </rPr>
      <t xml:space="preserve">STMENT </t>
    </r>
    <r>
      <rPr>
        <sz val="10"/>
        <color rgb="FF0F0F0F"/>
        <rFont val="Calibri"/>
        <family val="2"/>
        <scheme val="minor"/>
      </rPr>
      <t xml:space="preserve">FACTOR (fG) </t>
    </r>
    <r>
      <rPr>
        <sz val="10"/>
        <rFont val="Calibri"/>
        <family val="2"/>
        <scheme val="minor"/>
      </rPr>
      <t xml:space="preserve">FOR </t>
    </r>
    <r>
      <rPr>
        <sz val="10"/>
        <color rgb="FF0F0F0F"/>
        <rFont val="Calibri"/>
        <family val="2"/>
        <scheme val="minor"/>
      </rPr>
      <t xml:space="preserve">ESTIMATING </t>
    </r>
    <r>
      <rPr>
        <sz val="10"/>
        <rFont val="Calibri"/>
        <family val="2"/>
        <scheme val="minor"/>
      </rPr>
      <t>A</t>
    </r>
    <r>
      <rPr>
        <sz val="10"/>
        <color rgb="FF1F1F1F"/>
        <rFont val="Calibri"/>
        <family val="2"/>
        <scheme val="minor"/>
      </rPr>
      <t xml:space="preserve">VERAGE </t>
    </r>
    <r>
      <rPr>
        <sz val="10"/>
        <color rgb="FF0F0F0F"/>
        <rFont val="Calibri"/>
        <family val="2"/>
        <scheme val="minor"/>
      </rPr>
      <t xml:space="preserve">TRAVEL </t>
    </r>
    <r>
      <rPr>
        <sz val="10"/>
        <color rgb="FF1F1F1F"/>
        <rFont val="Calibri"/>
        <family val="2"/>
        <scheme val="minor"/>
      </rPr>
      <t>SPEE</t>
    </r>
    <r>
      <rPr>
        <sz val="10"/>
        <rFont val="Calibri"/>
        <family val="2"/>
        <scheme val="minor"/>
      </rPr>
      <t xml:space="preserve">D </t>
    </r>
    <r>
      <rPr>
        <sz val="10"/>
        <color rgb="FF0F0F0F"/>
        <rFont val="Calibri"/>
        <family val="2"/>
        <scheme val="minor"/>
      </rPr>
      <t>ON</t>
    </r>
  </si>
  <si>
    <r>
      <rPr>
        <sz val="10"/>
        <color rgb="FF1F1F1F"/>
        <rFont val="Calibri"/>
        <family val="2"/>
        <scheme val="minor"/>
      </rPr>
      <t>SPEC</t>
    </r>
    <r>
      <rPr>
        <sz val="10"/>
        <rFont val="Calibri"/>
        <family val="2"/>
        <scheme val="minor"/>
      </rPr>
      <t>IFI</t>
    </r>
    <r>
      <rPr>
        <sz val="10"/>
        <color rgb="FF1F1F1F"/>
        <rFont val="Calibri"/>
        <family val="2"/>
        <scheme val="minor"/>
      </rPr>
      <t xml:space="preserve">C </t>
    </r>
    <r>
      <rPr>
        <sz val="10"/>
        <rFont val="Calibri"/>
        <family val="2"/>
        <scheme val="minor"/>
      </rPr>
      <t>UPGRADE</t>
    </r>
    <r>
      <rPr>
        <sz val="10"/>
        <color rgb="FF1F1F1F"/>
        <rFont val="Calibri"/>
        <family val="2"/>
        <scheme val="minor"/>
      </rPr>
      <t>S</t>
    </r>
  </si>
  <si>
    <r>
      <rPr>
        <sz val="10"/>
        <color rgb="FF1F1F1F"/>
        <rFont val="Calibri"/>
        <family val="2"/>
        <scheme val="minor"/>
      </rPr>
      <t>Grade (%)</t>
    </r>
  </si>
  <si>
    <r>
      <rPr>
        <sz val="10"/>
        <color rgb="FF0F0F0F"/>
        <rFont val="Calibri"/>
        <family val="2"/>
        <scheme val="minor"/>
      </rPr>
      <t xml:space="preserve">Length of </t>
    </r>
    <r>
      <rPr>
        <sz val="10"/>
        <color rgb="FF1F1F1F"/>
        <rFont val="Calibri"/>
        <family val="2"/>
        <scheme val="minor"/>
      </rPr>
      <t>G</t>
    </r>
    <r>
      <rPr>
        <sz val="10"/>
        <rFont val="Calibri"/>
        <family val="2"/>
        <scheme val="minor"/>
      </rPr>
      <t>ra</t>
    </r>
    <r>
      <rPr>
        <sz val="10"/>
        <color rgb="FF1F1F1F"/>
        <rFont val="Calibri"/>
        <family val="2"/>
        <scheme val="minor"/>
      </rPr>
      <t xml:space="preserve">de </t>
    </r>
    <r>
      <rPr>
        <sz val="10"/>
        <color rgb="FF0F0F0F"/>
        <rFont val="Calibri"/>
        <family val="2"/>
        <scheme val="minor"/>
      </rPr>
      <t>(km)</t>
    </r>
  </si>
  <si>
    <r>
      <rPr>
        <sz val="10"/>
        <color rgb="FF0F0F0F"/>
        <rFont val="Calibri"/>
        <family val="2"/>
        <scheme val="minor"/>
      </rPr>
      <t>Grade Adjustment Factor</t>
    </r>
    <r>
      <rPr>
        <sz val="10"/>
        <color rgb="FF414141"/>
        <rFont val="Calibri"/>
        <family val="2"/>
        <scheme val="minor"/>
      </rPr>
      <t xml:space="preserve">, </t>
    </r>
    <r>
      <rPr>
        <sz val="10"/>
        <color rgb="FF1F1F1F"/>
        <rFont val="Calibri"/>
        <family val="2"/>
        <scheme val="minor"/>
      </rPr>
      <t>fG</t>
    </r>
  </si>
  <si>
    <r>
      <rPr>
        <sz val="10"/>
        <color rgb="FF0F0F0F"/>
        <rFont val="Calibri"/>
        <family val="2"/>
        <scheme val="minor"/>
      </rPr>
      <t xml:space="preserve">Range of Directional Flow Rates </t>
    </r>
    <r>
      <rPr>
        <sz val="10"/>
        <color rgb="FF1F1F1F"/>
        <rFont val="Calibri"/>
        <family val="2"/>
        <scheme val="minor"/>
      </rPr>
      <t>v</t>
    </r>
    <r>
      <rPr>
        <sz val="10"/>
        <color rgb="FF313131"/>
        <rFont val="Calibri"/>
        <family val="2"/>
        <scheme val="minor"/>
      </rPr>
      <t xml:space="preserve">d </t>
    </r>
    <r>
      <rPr>
        <sz val="10"/>
        <color rgb="FF0F0F0F"/>
        <rFont val="Calibri"/>
        <family val="2"/>
        <scheme val="minor"/>
      </rPr>
      <t>(pc/h)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</si>
  <si>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1F1F1F"/>
        <rFont val="Calibri"/>
        <family val="2"/>
        <scheme val="minor"/>
      </rPr>
      <t>3</t>
    </r>
    <r>
      <rPr>
        <sz val="10"/>
        <rFont val="Calibri"/>
        <family val="2"/>
        <scheme val="minor"/>
      </rPr>
      <t xml:space="preserve">.0 </t>
    </r>
    <r>
      <rPr>
        <sz val="10"/>
        <color rgb="FF414141"/>
        <rFont val="Calibri"/>
        <family val="2"/>
        <scheme val="minor"/>
      </rPr>
      <t xml:space="preserve">&lt; </t>
    </r>
    <r>
      <rPr>
        <sz val="10"/>
        <color rgb="FF1F1F1F"/>
        <rFont val="Calibri"/>
        <family val="2"/>
        <scheme val="minor"/>
      </rPr>
      <t>3.5</t>
    </r>
  </si>
  <si>
    <r>
      <rPr>
        <u/>
        <sz val="10"/>
        <color rgb="FF414141"/>
        <rFont val="Calibri"/>
        <family val="2"/>
        <scheme val="minor"/>
      </rPr>
      <t>&gt; </t>
    </r>
    <r>
      <rPr>
        <sz val="10"/>
        <color rgb="FF1F1F1F"/>
        <rFont val="Calibri"/>
        <family val="2"/>
        <scheme val="minor"/>
      </rPr>
      <t>6.4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</si>
  <si>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1F1F1F"/>
        <rFont val="Calibri"/>
        <family val="2"/>
        <scheme val="minor"/>
      </rPr>
      <t xml:space="preserve">3.5 </t>
    </r>
    <r>
      <rPr>
        <sz val="10"/>
        <color rgb="FF414141"/>
        <rFont val="Calibri"/>
        <family val="2"/>
        <scheme val="minor"/>
      </rPr>
      <t xml:space="preserve">&lt; </t>
    </r>
    <r>
      <rPr>
        <sz val="10"/>
        <color rgb="FF0F0F0F"/>
        <rFont val="Calibri"/>
        <family val="2"/>
        <scheme val="minor"/>
      </rPr>
      <t>4.5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</si>
  <si>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1F1F1F"/>
        <rFont val="Calibri"/>
        <family val="2"/>
        <scheme val="minor"/>
      </rPr>
      <t>6.4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</si>
  <si>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0F0F0F"/>
        <rFont val="Calibri"/>
        <family val="2"/>
        <scheme val="minor"/>
      </rPr>
      <t xml:space="preserve">4.5 </t>
    </r>
    <r>
      <rPr>
        <sz val="10"/>
        <color rgb="FF414141"/>
        <rFont val="Calibri"/>
        <family val="2"/>
        <scheme val="minor"/>
      </rPr>
      <t xml:space="preserve">&lt; </t>
    </r>
    <r>
      <rPr>
        <sz val="10"/>
        <color rgb="FF1F1F1F"/>
        <rFont val="Calibri"/>
        <family val="2"/>
        <scheme val="minor"/>
      </rPr>
      <t>5.5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</si>
  <si>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1F1F1F"/>
        <rFont val="Calibri"/>
        <family val="2"/>
        <scheme val="minor"/>
      </rPr>
      <t>5</t>
    </r>
    <r>
      <rPr>
        <sz val="10"/>
        <rFont val="Calibri"/>
        <family val="2"/>
        <scheme val="minor"/>
      </rPr>
      <t>.</t>
    </r>
    <r>
      <rPr>
        <sz val="10"/>
        <color rgb="FF1F1F1F"/>
        <rFont val="Calibri"/>
        <family val="2"/>
        <scheme val="minor"/>
      </rPr>
      <t xml:space="preserve">5 </t>
    </r>
    <r>
      <rPr>
        <sz val="10"/>
        <color rgb="FF414141"/>
        <rFont val="Calibri"/>
        <family val="2"/>
        <scheme val="minor"/>
      </rPr>
      <t xml:space="preserve">&lt; </t>
    </r>
    <r>
      <rPr>
        <sz val="10"/>
        <color rgb="FF1F1F1F"/>
        <rFont val="Calibri"/>
        <family val="2"/>
        <scheme val="minor"/>
      </rPr>
      <t>6.5</t>
    </r>
  </si>
  <si>
    <r>
      <rPr>
        <u/>
        <sz val="10"/>
        <color rgb="FF414141"/>
        <rFont val="Calibri"/>
        <family val="2"/>
        <scheme val="minor"/>
      </rPr>
      <t>&gt; </t>
    </r>
    <r>
      <rPr>
        <sz val="10"/>
        <color rgb="FF0F0F0F"/>
        <rFont val="Calibri"/>
        <family val="2"/>
        <scheme val="minor"/>
      </rPr>
      <t>6.5</t>
    </r>
  </si>
  <si>
    <r>
      <rPr>
        <sz val="10"/>
        <color rgb="FF131313"/>
        <rFont val="Calibri"/>
        <family val="2"/>
        <scheme val="minor"/>
      </rPr>
      <t>EXHIBIT 20-14.  GRADE ADJUSTMENT FACTOR (fG) FOR ESTIMATING PERCENT TIME-SPENT­</t>
    </r>
  </si>
  <si>
    <r>
      <rPr>
        <sz val="10"/>
        <color rgb="FF131313"/>
        <rFont val="Calibri"/>
        <family val="2"/>
        <scheme val="minor"/>
      </rPr>
      <t>FOLLOWING ON SPECIFIC UPGRADES</t>
    </r>
  </si>
  <si>
    <r>
      <rPr>
        <sz val="10"/>
        <color rgb="FF131313"/>
        <rFont val="Calibri"/>
        <family val="2"/>
        <scheme val="minor"/>
      </rPr>
      <t>Grade (</t>
    </r>
    <r>
      <rPr>
        <sz val="10"/>
        <color rgb="FF2D2D2D"/>
        <rFont val="Calibri"/>
        <family val="2"/>
        <scheme val="minor"/>
      </rPr>
      <t>%</t>
    </r>
    <r>
      <rPr>
        <sz val="10"/>
        <color rgb="FF131313"/>
        <rFont val="Calibri"/>
        <family val="2"/>
        <scheme val="minor"/>
      </rPr>
      <t>)</t>
    </r>
  </si>
  <si>
    <r>
      <rPr>
        <sz val="10"/>
        <color rgb="FF131313"/>
        <rFont val="Calibri"/>
        <family val="2"/>
        <scheme val="minor"/>
      </rPr>
      <t>Length of Grade (km)</t>
    </r>
  </si>
  <si>
    <r>
      <rPr>
        <sz val="10"/>
        <color rgb="FF131313"/>
        <rFont val="Calibri"/>
        <family val="2"/>
        <scheme val="minor"/>
      </rPr>
      <t>Grade Adju</t>
    </r>
    <r>
      <rPr>
        <sz val="10"/>
        <color rgb="FF2D2D2D"/>
        <rFont val="Calibri"/>
        <family val="2"/>
        <scheme val="minor"/>
      </rPr>
      <t>s</t>
    </r>
    <r>
      <rPr>
        <sz val="10"/>
        <color rgb="FF131313"/>
        <rFont val="Calibri"/>
        <family val="2"/>
        <scheme val="minor"/>
      </rPr>
      <t>tment Factor</t>
    </r>
    <r>
      <rPr>
        <sz val="10"/>
        <color rgb="FF2D2D2D"/>
        <rFont val="Calibri"/>
        <family val="2"/>
        <scheme val="minor"/>
      </rPr>
      <t xml:space="preserve">, </t>
    </r>
    <r>
      <rPr>
        <sz val="10"/>
        <color rgb="FF131313"/>
        <rFont val="Calibri"/>
        <family val="2"/>
        <scheme val="minor"/>
      </rPr>
      <t>fG</t>
    </r>
  </si>
  <si>
    <r>
      <rPr>
        <sz val="10"/>
        <color rgb="FF131313"/>
        <rFont val="Calibri"/>
        <family val="2"/>
        <scheme val="minor"/>
      </rPr>
      <t>Range of Directional Flow Rates</t>
    </r>
    <r>
      <rPr>
        <sz val="10"/>
        <color rgb="FF2D2D2D"/>
        <rFont val="Calibri"/>
        <family val="2"/>
        <scheme val="minor"/>
      </rPr>
      <t>,</t>
    </r>
    <r>
      <rPr>
        <sz val="10"/>
        <color rgb="FF131313"/>
        <rFont val="Calibri"/>
        <family val="2"/>
        <scheme val="minor"/>
      </rPr>
      <t>vd (pc/h)</t>
    </r>
  </si>
  <si>
    <r>
      <rPr>
        <sz val="10"/>
        <color rgb="FF131313"/>
        <rFont val="Calibri"/>
        <family val="2"/>
        <scheme val="minor"/>
      </rPr>
      <t>0</t>
    </r>
    <r>
      <rPr>
        <sz val="10"/>
        <color rgb="FF2D2D2D"/>
        <rFont val="Calibri"/>
        <family val="2"/>
        <scheme val="minor"/>
      </rPr>
      <t>-</t>
    </r>
    <r>
      <rPr>
        <sz val="10"/>
        <color rgb="FF131313"/>
        <rFont val="Calibri"/>
        <family val="2"/>
        <scheme val="minor"/>
      </rPr>
      <t>300</t>
    </r>
  </si>
  <si>
    <r>
      <rPr>
        <sz val="10"/>
        <color rgb="FF2D2D2D"/>
        <rFont val="Calibri"/>
        <family val="2"/>
        <scheme val="minor"/>
      </rPr>
      <t xml:space="preserve">&gt; </t>
    </r>
    <r>
      <rPr>
        <sz val="10"/>
        <color rgb="FF131313"/>
        <rFont val="Calibri"/>
        <family val="2"/>
        <scheme val="minor"/>
      </rPr>
      <t>300</t>
    </r>
    <r>
      <rPr>
        <sz val="10"/>
        <color rgb="FF2D2D2D"/>
        <rFont val="Calibri"/>
        <family val="2"/>
        <scheme val="minor"/>
      </rPr>
      <t>-</t>
    </r>
    <r>
      <rPr>
        <sz val="10"/>
        <color rgb="FF131313"/>
        <rFont val="Calibri"/>
        <family val="2"/>
        <scheme val="minor"/>
      </rPr>
      <t>600</t>
    </r>
  </si>
  <si>
    <r>
      <rPr>
        <sz val="10"/>
        <color rgb="FF444444"/>
        <rFont val="Calibri"/>
        <family val="2"/>
        <scheme val="minor"/>
      </rPr>
      <t xml:space="preserve">&gt; </t>
    </r>
    <r>
      <rPr>
        <sz val="10"/>
        <color rgb="FF131313"/>
        <rFont val="Calibri"/>
        <family val="2"/>
        <scheme val="minor"/>
      </rPr>
      <t>600</t>
    </r>
  </si>
  <si>
    <r>
      <rPr>
        <sz val="10"/>
        <color rgb="FF444444"/>
        <rFont val="Calibri"/>
        <family val="2"/>
        <scheme val="minor"/>
      </rPr>
      <t xml:space="preserve">&gt; </t>
    </r>
    <r>
      <rPr>
        <sz val="10"/>
        <color rgb="FF131313"/>
        <rFont val="Calibri"/>
        <family val="2"/>
        <scheme val="minor"/>
      </rPr>
      <t xml:space="preserve">3.0 </t>
    </r>
    <r>
      <rPr>
        <sz val="10"/>
        <color rgb="FF2D2D2D"/>
        <rFont val="Calibri"/>
        <family val="2"/>
        <scheme val="minor"/>
      </rPr>
      <t xml:space="preserve">&lt; </t>
    </r>
    <r>
      <rPr>
        <sz val="10"/>
        <color rgb="FF131313"/>
        <rFont val="Calibri"/>
        <family val="2"/>
        <scheme val="minor"/>
      </rPr>
      <t>3.5</t>
    </r>
  </si>
  <si>
    <r>
      <rPr>
        <u/>
        <sz val="10"/>
        <color rgb="FF444444"/>
        <rFont val="Calibri"/>
        <family val="2"/>
        <scheme val="minor"/>
      </rPr>
      <t>&gt; </t>
    </r>
    <r>
      <rPr>
        <sz val="10"/>
        <color rgb="FF131313"/>
        <rFont val="Calibri"/>
        <family val="2"/>
        <scheme val="minor"/>
      </rPr>
      <t>6</t>
    </r>
    <r>
      <rPr>
        <sz val="10"/>
        <color rgb="FF2D2D2D"/>
        <rFont val="Calibri"/>
        <family val="2"/>
        <scheme val="minor"/>
      </rPr>
      <t>.</t>
    </r>
    <r>
      <rPr>
        <sz val="10"/>
        <color rgb="FF131313"/>
        <rFont val="Calibri"/>
        <family val="2"/>
        <scheme val="minor"/>
      </rPr>
      <t>4</t>
    </r>
  </si>
  <si>
    <r>
      <rPr>
        <sz val="10"/>
        <color rgb="FF444444"/>
        <rFont val="Calibri"/>
        <family val="2"/>
        <scheme val="minor"/>
      </rPr>
      <t xml:space="preserve">&gt; </t>
    </r>
    <r>
      <rPr>
        <sz val="10"/>
        <color rgb="FF131313"/>
        <rFont val="Calibri"/>
        <family val="2"/>
        <scheme val="minor"/>
      </rPr>
      <t xml:space="preserve">3.5 </t>
    </r>
    <r>
      <rPr>
        <sz val="10"/>
        <color rgb="FF2D2D2D"/>
        <rFont val="Calibri"/>
        <family val="2"/>
        <scheme val="minor"/>
      </rPr>
      <t xml:space="preserve">&lt; </t>
    </r>
    <r>
      <rPr>
        <sz val="10"/>
        <color rgb="FF131313"/>
        <rFont val="Calibri"/>
        <family val="2"/>
        <scheme val="minor"/>
      </rPr>
      <t>4.5</t>
    </r>
  </si>
  <si>
    <r>
      <rPr>
        <u/>
        <sz val="10"/>
        <color rgb="FF444444"/>
        <rFont val="Calibri"/>
        <family val="2"/>
        <scheme val="minor"/>
      </rPr>
      <t>&gt; </t>
    </r>
    <r>
      <rPr>
        <sz val="10"/>
        <color rgb="FF131313"/>
        <rFont val="Calibri"/>
        <family val="2"/>
        <scheme val="minor"/>
      </rPr>
      <t>6.4</t>
    </r>
  </si>
  <si>
    <r>
      <rPr>
        <sz val="10"/>
        <color rgb="FF444444"/>
        <rFont val="Calibri"/>
        <family val="2"/>
        <scheme val="minor"/>
      </rPr>
      <t xml:space="preserve">&gt; </t>
    </r>
    <r>
      <rPr>
        <sz val="10"/>
        <color rgb="FF131313"/>
        <rFont val="Calibri"/>
        <family val="2"/>
        <scheme val="minor"/>
      </rPr>
      <t xml:space="preserve">4.5 </t>
    </r>
    <r>
      <rPr>
        <sz val="10"/>
        <color rgb="FF444444"/>
        <rFont val="Calibri"/>
        <family val="2"/>
        <scheme val="minor"/>
      </rPr>
      <t xml:space="preserve">&lt; </t>
    </r>
    <r>
      <rPr>
        <sz val="10"/>
        <color rgb="FF131313"/>
        <rFont val="Calibri"/>
        <family val="2"/>
        <scheme val="minor"/>
      </rPr>
      <t>5.5</t>
    </r>
  </si>
  <si>
    <r>
      <rPr>
        <sz val="10"/>
        <color rgb="FF444444"/>
        <rFont val="Calibri"/>
        <family val="2"/>
        <scheme val="minor"/>
      </rPr>
      <t xml:space="preserve">&gt; </t>
    </r>
    <r>
      <rPr>
        <sz val="10"/>
        <color rgb="FF131313"/>
        <rFont val="Calibri"/>
        <family val="2"/>
        <scheme val="minor"/>
      </rPr>
      <t xml:space="preserve">5.5 </t>
    </r>
    <r>
      <rPr>
        <sz val="10"/>
        <color rgb="FF2D2D2D"/>
        <rFont val="Calibri"/>
        <family val="2"/>
        <scheme val="minor"/>
      </rPr>
      <t xml:space="preserve">&lt; </t>
    </r>
    <r>
      <rPr>
        <sz val="10"/>
        <color rgb="FF131313"/>
        <rFont val="Calibri"/>
        <family val="2"/>
        <scheme val="minor"/>
      </rPr>
      <t>6.5</t>
    </r>
  </si>
  <si>
    <r>
      <rPr>
        <u/>
        <sz val="10"/>
        <color rgb="FF444444"/>
        <rFont val="Calibri"/>
        <family val="2"/>
        <scheme val="minor"/>
      </rPr>
      <t>&gt; </t>
    </r>
    <r>
      <rPr>
        <sz val="10"/>
        <color rgb="FF131313"/>
        <rFont val="Calibri"/>
        <family val="2"/>
        <scheme val="minor"/>
      </rPr>
      <t>6.</t>
    </r>
    <r>
      <rPr>
        <sz val="10"/>
        <color rgb="FF2D2D2D"/>
        <rFont val="Calibri"/>
        <family val="2"/>
        <scheme val="minor"/>
      </rPr>
      <t>5</t>
    </r>
  </si>
  <si>
    <r>
      <rPr>
        <sz val="10"/>
        <color rgb="FF111111"/>
        <rFont val="Calibri"/>
        <family val="2"/>
        <scheme val="minor"/>
      </rPr>
      <t xml:space="preserve">EXHIBIT </t>
    </r>
    <r>
      <rPr>
        <sz val="10"/>
        <color rgb="FF1F1F1F"/>
        <rFont val="Calibri"/>
        <family val="2"/>
        <scheme val="minor"/>
      </rPr>
      <t>20</t>
    </r>
    <r>
      <rPr>
        <sz val="10"/>
        <rFont val="Calibri"/>
        <family val="2"/>
        <scheme val="minor"/>
      </rPr>
      <t>-1</t>
    </r>
    <r>
      <rPr>
        <sz val="10"/>
        <color rgb="FF1F1F1F"/>
        <rFont val="Calibri"/>
        <family val="2"/>
        <scheme val="minor"/>
      </rPr>
      <t xml:space="preserve">5. </t>
    </r>
    <r>
      <rPr>
        <sz val="10"/>
        <color rgb="FF111111"/>
        <rFont val="Calibri"/>
        <family val="2"/>
        <scheme val="minor"/>
      </rPr>
      <t xml:space="preserve">PASSENGER-CAR EQUIVALENTS FOR TRUCKS FOR ESTIMATING </t>
    </r>
    <r>
      <rPr>
        <sz val="10"/>
        <rFont val="Calibri"/>
        <family val="2"/>
        <scheme val="minor"/>
      </rPr>
      <t>A</t>
    </r>
    <r>
      <rPr>
        <sz val="10"/>
        <color rgb="FF1F1F1F"/>
        <rFont val="Calibri"/>
        <family val="2"/>
        <scheme val="minor"/>
      </rPr>
      <t xml:space="preserve">VERAGE SPEED </t>
    </r>
    <r>
      <rPr>
        <sz val="10"/>
        <color rgb="FF111111"/>
        <rFont val="Calibri"/>
        <family val="2"/>
        <scheme val="minor"/>
      </rPr>
      <t>ON</t>
    </r>
  </si>
  <si>
    <r>
      <rPr>
        <sz val="10"/>
        <color rgb="FF1F1F1F"/>
        <rFont val="Calibri"/>
        <family val="2"/>
        <scheme val="minor"/>
      </rPr>
      <t>SPEC</t>
    </r>
    <r>
      <rPr>
        <sz val="10"/>
        <rFont val="Calibri"/>
        <family val="2"/>
        <scheme val="minor"/>
      </rPr>
      <t>IFI</t>
    </r>
    <r>
      <rPr>
        <sz val="10"/>
        <color rgb="FF1F1F1F"/>
        <rFont val="Calibri"/>
        <family val="2"/>
        <scheme val="minor"/>
      </rPr>
      <t xml:space="preserve">C  </t>
    </r>
    <r>
      <rPr>
        <sz val="10"/>
        <color rgb="FF111111"/>
        <rFont val="Calibri"/>
        <family val="2"/>
        <scheme val="minor"/>
      </rPr>
      <t>UPGRADES</t>
    </r>
  </si>
  <si>
    <r>
      <rPr>
        <sz val="10"/>
        <color rgb="FF1F1F1F"/>
        <rFont val="Calibri"/>
        <family val="2"/>
        <scheme val="minor"/>
      </rPr>
      <t>G</t>
    </r>
    <r>
      <rPr>
        <sz val="10"/>
        <rFont val="Calibri"/>
        <family val="2"/>
        <scheme val="minor"/>
      </rPr>
      <t>rad</t>
    </r>
    <r>
      <rPr>
        <sz val="10"/>
        <color rgb="FF1F1F1F"/>
        <rFont val="Calibri"/>
        <family val="2"/>
        <scheme val="minor"/>
      </rPr>
      <t>e (</t>
    </r>
    <r>
      <rPr>
        <sz val="10"/>
        <color rgb="FF383838"/>
        <rFont val="Calibri"/>
        <family val="2"/>
        <scheme val="minor"/>
      </rPr>
      <t>%</t>
    </r>
    <r>
      <rPr>
        <sz val="10"/>
        <color rgb="FF111111"/>
        <rFont val="Calibri"/>
        <family val="2"/>
        <scheme val="minor"/>
      </rPr>
      <t>)</t>
    </r>
  </si>
  <si>
    <r>
      <t>L</t>
    </r>
    <r>
      <rPr>
        <sz val="10"/>
        <color rgb="FF1F1F1F"/>
        <rFont val="Calibri"/>
        <family val="2"/>
        <scheme val="minor"/>
      </rPr>
      <t xml:space="preserve">ength </t>
    </r>
    <r>
      <rPr>
        <sz val="10"/>
        <color rgb="FF111111"/>
        <rFont val="Calibri"/>
        <family val="2"/>
        <scheme val="minor"/>
      </rPr>
      <t>of Grade (km)</t>
    </r>
  </si>
  <si>
    <r>
      <rPr>
        <sz val="10"/>
        <color rgb="FF111111"/>
        <rFont val="Calibri"/>
        <family val="2"/>
        <scheme val="minor"/>
      </rPr>
      <t>Passenger-Car Equivalent for Trucks</t>
    </r>
    <r>
      <rPr>
        <sz val="10"/>
        <color rgb="FF383838"/>
        <rFont val="Calibri"/>
        <family val="2"/>
        <scheme val="minor"/>
      </rPr>
      <t xml:space="preserve">, </t>
    </r>
    <r>
      <rPr>
        <sz val="10"/>
        <color rgb="FF1F1F1F"/>
        <rFont val="Calibri"/>
        <family val="2"/>
        <scheme val="minor"/>
      </rPr>
      <t>E</t>
    </r>
    <r>
      <rPr>
        <sz val="10"/>
        <color rgb="FF383838"/>
        <rFont val="Calibri"/>
        <family val="2"/>
        <scheme val="minor"/>
      </rPr>
      <t>r</t>
    </r>
  </si>
  <si>
    <r>
      <rPr>
        <sz val="10"/>
        <color rgb="FF111111"/>
        <rFont val="Calibri"/>
        <family val="2"/>
        <scheme val="minor"/>
      </rPr>
      <t xml:space="preserve">Range </t>
    </r>
    <r>
      <rPr>
        <sz val="10"/>
        <color rgb="FF1F1F1F"/>
        <rFont val="Calibri"/>
        <family val="2"/>
        <scheme val="minor"/>
      </rPr>
      <t xml:space="preserve">of </t>
    </r>
    <r>
      <rPr>
        <sz val="10"/>
        <color rgb="FF111111"/>
        <rFont val="Calibri"/>
        <family val="2"/>
        <scheme val="minor"/>
      </rPr>
      <t>Directional Flow Rates</t>
    </r>
    <r>
      <rPr>
        <sz val="10"/>
        <color rgb="FF383838"/>
        <rFont val="Calibri"/>
        <family val="2"/>
        <scheme val="minor"/>
      </rPr>
      <t>,</t>
    </r>
    <r>
      <rPr>
        <sz val="10"/>
        <color rgb="FF1F1F1F"/>
        <rFont val="Calibri"/>
        <family val="2"/>
        <scheme val="minor"/>
      </rPr>
      <t>vd (pc/h)</t>
    </r>
  </si>
  <si>
    <r>
      <rPr>
        <sz val="10"/>
        <color rgb="FF1F1F1F"/>
        <rFont val="Calibri"/>
        <family val="2"/>
        <scheme val="minor"/>
      </rPr>
      <t>0</t>
    </r>
    <r>
      <rPr>
        <sz val="10"/>
        <color rgb="FF383838"/>
        <rFont val="Calibri"/>
        <family val="2"/>
        <scheme val="minor"/>
      </rPr>
      <t>-</t>
    </r>
    <r>
      <rPr>
        <sz val="10"/>
        <color rgb="FF1F1F1F"/>
        <rFont val="Calibri"/>
        <family val="2"/>
        <scheme val="minor"/>
      </rPr>
      <t>300</t>
    </r>
  </si>
  <si>
    <r>
      <rPr>
        <sz val="10"/>
        <color rgb="FF383838"/>
        <rFont val="Calibri"/>
        <family val="2"/>
        <scheme val="minor"/>
      </rPr>
      <t xml:space="preserve">&gt; </t>
    </r>
    <r>
      <rPr>
        <sz val="10"/>
        <color rgb="FF1F1F1F"/>
        <rFont val="Calibri"/>
        <family val="2"/>
        <scheme val="minor"/>
      </rPr>
      <t>300-600</t>
    </r>
  </si>
  <si>
    <r>
      <rPr>
        <sz val="10"/>
        <color rgb="FF1F1F1F"/>
        <rFont val="Calibri"/>
        <family val="2"/>
        <scheme val="minor"/>
      </rPr>
      <t>&gt; 600</t>
    </r>
  </si>
  <si>
    <r>
      <rPr>
        <sz val="10"/>
        <color rgb="FF383838"/>
        <rFont val="Calibri"/>
        <family val="2"/>
        <scheme val="minor"/>
      </rPr>
      <t xml:space="preserve">&gt; </t>
    </r>
    <r>
      <rPr>
        <sz val="10"/>
        <color rgb="FF1F1F1F"/>
        <rFont val="Calibri"/>
        <family val="2"/>
        <scheme val="minor"/>
      </rPr>
      <t xml:space="preserve">3.0 </t>
    </r>
    <r>
      <rPr>
        <sz val="10"/>
        <color rgb="FF383838"/>
        <rFont val="Calibri"/>
        <family val="2"/>
        <scheme val="minor"/>
      </rPr>
      <t xml:space="preserve">&lt; </t>
    </r>
    <r>
      <rPr>
        <sz val="10"/>
        <color rgb="FF1F1F1F"/>
        <rFont val="Calibri"/>
        <family val="2"/>
        <scheme val="minor"/>
      </rPr>
      <t>3.5</t>
    </r>
  </si>
  <si>
    <r>
      <rPr>
        <u/>
        <sz val="10"/>
        <color rgb="FF383838"/>
        <rFont val="Calibri"/>
        <family val="2"/>
        <scheme val="minor"/>
      </rPr>
      <t>&gt; </t>
    </r>
    <r>
      <rPr>
        <sz val="10"/>
        <color rgb="FF1F1F1F"/>
        <rFont val="Calibri"/>
        <family val="2"/>
        <scheme val="minor"/>
      </rPr>
      <t>6.4</t>
    </r>
  </si>
  <si>
    <r>
      <rPr>
        <sz val="10"/>
        <color rgb="FF383838"/>
        <rFont val="Calibri"/>
        <family val="2"/>
        <scheme val="minor"/>
      </rPr>
      <t xml:space="preserve">&gt; </t>
    </r>
    <r>
      <rPr>
        <sz val="10"/>
        <color rgb="FF1F1F1F"/>
        <rFont val="Calibri"/>
        <family val="2"/>
        <scheme val="minor"/>
      </rPr>
      <t>3</t>
    </r>
    <r>
      <rPr>
        <sz val="10"/>
        <rFont val="Calibri"/>
        <family val="2"/>
        <scheme val="minor"/>
      </rPr>
      <t>.</t>
    </r>
    <r>
      <rPr>
        <sz val="10"/>
        <color rgb="FF1F1F1F"/>
        <rFont val="Calibri"/>
        <family val="2"/>
        <scheme val="minor"/>
      </rPr>
      <t xml:space="preserve">5 </t>
    </r>
    <r>
      <rPr>
        <sz val="10"/>
        <color rgb="FF383838"/>
        <rFont val="Calibri"/>
        <family val="2"/>
        <scheme val="minor"/>
      </rPr>
      <t xml:space="preserve">&lt; </t>
    </r>
    <r>
      <rPr>
        <sz val="10"/>
        <color rgb="FF111111"/>
        <rFont val="Calibri"/>
        <family val="2"/>
        <scheme val="minor"/>
      </rPr>
      <t>4.5</t>
    </r>
  </si>
  <si>
    <r>
      <rPr>
        <sz val="10"/>
        <color rgb="FF383838"/>
        <rFont val="Calibri"/>
        <family val="2"/>
        <scheme val="minor"/>
      </rPr>
      <t xml:space="preserve">&gt; </t>
    </r>
    <r>
      <rPr>
        <sz val="10"/>
        <color rgb="FF1F1F1F"/>
        <rFont val="Calibri"/>
        <family val="2"/>
        <scheme val="minor"/>
      </rPr>
      <t>6</t>
    </r>
    <r>
      <rPr>
        <sz val="10"/>
        <rFont val="Calibri"/>
        <family val="2"/>
        <scheme val="minor"/>
      </rPr>
      <t>.4</t>
    </r>
  </si>
  <si>
    <r>
      <rPr>
        <sz val="10"/>
        <color rgb="FF383838"/>
        <rFont val="Calibri"/>
        <family val="2"/>
        <scheme val="minor"/>
      </rPr>
      <t xml:space="preserve">&gt; </t>
    </r>
    <r>
      <rPr>
        <sz val="10"/>
        <color rgb="FF111111"/>
        <rFont val="Calibri"/>
        <family val="2"/>
        <scheme val="minor"/>
      </rPr>
      <t xml:space="preserve">4.5 </t>
    </r>
    <r>
      <rPr>
        <sz val="10"/>
        <color rgb="FF383838"/>
        <rFont val="Calibri"/>
        <family val="2"/>
        <scheme val="minor"/>
      </rPr>
      <t xml:space="preserve">&lt; </t>
    </r>
    <r>
      <rPr>
        <sz val="10"/>
        <color rgb="FF1F1F1F"/>
        <rFont val="Calibri"/>
        <family val="2"/>
        <scheme val="minor"/>
      </rPr>
      <t>5.5</t>
    </r>
  </si>
  <si>
    <r>
      <rPr>
        <sz val="10"/>
        <color rgb="FF383838"/>
        <rFont val="Calibri"/>
        <family val="2"/>
        <scheme val="minor"/>
      </rPr>
      <t xml:space="preserve">&gt; </t>
    </r>
    <r>
      <rPr>
        <sz val="10"/>
        <color rgb="FF111111"/>
        <rFont val="Calibri"/>
        <family val="2"/>
        <scheme val="minor"/>
      </rPr>
      <t>6.4</t>
    </r>
  </si>
  <si>
    <r>
      <rPr>
        <sz val="10"/>
        <color rgb="FF383838"/>
        <rFont val="Calibri"/>
        <family val="2"/>
        <scheme val="minor"/>
      </rPr>
      <t xml:space="preserve">&gt; </t>
    </r>
    <r>
      <rPr>
        <sz val="10"/>
        <color rgb="FF1F1F1F"/>
        <rFont val="Calibri"/>
        <family val="2"/>
        <scheme val="minor"/>
      </rPr>
      <t xml:space="preserve">5.5 </t>
    </r>
    <r>
      <rPr>
        <sz val="10"/>
        <color rgb="FF383838"/>
        <rFont val="Calibri"/>
        <family val="2"/>
        <scheme val="minor"/>
      </rPr>
      <t xml:space="preserve">&lt; </t>
    </r>
    <r>
      <rPr>
        <sz val="10"/>
        <color rgb="FF1F1F1F"/>
        <rFont val="Calibri"/>
        <family val="2"/>
        <scheme val="minor"/>
      </rPr>
      <t>6.5</t>
    </r>
  </si>
  <si>
    <r>
      <rPr>
        <u/>
        <sz val="10"/>
        <color rgb="FF383838"/>
        <rFont val="Calibri"/>
        <family val="2"/>
        <scheme val="minor"/>
      </rPr>
      <t>&gt; </t>
    </r>
    <r>
      <rPr>
        <sz val="10"/>
        <color rgb="FF111111"/>
        <rFont val="Calibri"/>
        <family val="2"/>
        <scheme val="minor"/>
      </rPr>
      <t>6.4</t>
    </r>
  </si>
  <si>
    <r>
      <rPr>
        <u/>
        <sz val="10"/>
        <color rgb="FF383838"/>
        <rFont val="Calibri"/>
        <family val="2"/>
        <scheme val="minor"/>
      </rPr>
      <t>&gt; </t>
    </r>
    <r>
      <rPr>
        <sz val="10"/>
        <color rgb="FF1F1F1F"/>
        <rFont val="Calibri"/>
        <family val="2"/>
        <scheme val="minor"/>
      </rPr>
      <t>6</t>
    </r>
    <r>
      <rPr>
        <sz val="10"/>
        <color rgb="FF383838"/>
        <rFont val="Calibri"/>
        <family val="2"/>
        <scheme val="minor"/>
      </rPr>
      <t>.</t>
    </r>
    <r>
      <rPr>
        <sz val="10"/>
        <color rgb="FF1F1F1F"/>
        <rFont val="Calibri"/>
        <family val="2"/>
        <scheme val="minor"/>
      </rPr>
      <t>5</t>
    </r>
  </si>
  <si>
    <r>
      <rPr>
        <sz val="10"/>
        <color rgb="FF131313"/>
        <rFont val="Calibri"/>
        <family val="2"/>
        <scheme val="minor"/>
      </rPr>
      <t>E</t>
    </r>
    <r>
      <rPr>
        <sz val="10"/>
        <color rgb="FF2F2F2F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HIBIT </t>
    </r>
    <r>
      <rPr>
        <sz val="10"/>
        <color rgb="FF131313"/>
        <rFont val="Calibri"/>
        <family val="2"/>
        <scheme val="minor"/>
      </rPr>
      <t xml:space="preserve">20-17. PASSENGER-CAR EQUIVALENTS </t>
    </r>
    <r>
      <rPr>
        <sz val="10"/>
        <rFont val="Calibri"/>
        <family val="2"/>
        <scheme val="minor"/>
      </rPr>
      <t xml:space="preserve">FOR </t>
    </r>
    <r>
      <rPr>
        <sz val="10"/>
        <color rgb="FF131313"/>
        <rFont val="Calibri"/>
        <family val="2"/>
        <scheme val="minor"/>
      </rPr>
      <t xml:space="preserve">RVS </t>
    </r>
    <r>
      <rPr>
        <sz val="10"/>
        <rFont val="Calibri"/>
        <family val="2"/>
        <scheme val="minor"/>
      </rPr>
      <t xml:space="preserve">FOR </t>
    </r>
    <r>
      <rPr>
        <sz val="10"/>
        <color rgb="FF131313"/>
        <rFont val="Calibri"/>
        <family val="2"/>
        <scheme val="minor"/>
      </rPr>
      <t>ESTIMATING AVERAGE TRAVEL SPEED ON</t>
    </r>
  </si>
  <si>
    <r>
      <rPr>
        <sz val="10"/>
        <color rgb="FF131313"/>
        <rFont val="Calibri"/>
        <family val="2"/>
        <scheme val="minor"/>
      </rPr>
      <t>SPECIFIC UPGRADE</t>
    </r>
    <r>
      <rPr>
        <sz val="10"/>
        <color rgb="FF2F2F2F"/>
        <rFont val="Calibri"/>
        <family val="2"/>
        <scheme val="minor"/>
      </rPr>
      <t>S</t>
    </r>
  </si>
  <si>
    <r>
      <rPr>
        <sz val="10"/>
        <color rgb="FF131313"/>
        <rFont val="Calibri"/>
        <family val="2"/>
        <scheme val="minor"/>
      </rPr>
      <t>Grad</t>
    </r>
    <r>
      <rPr>
        <sz val="10"/>
        <color rgb="FF2F2F2F"/>
        <rFont val="Calibri"/>
        <family val="2"/>
        <scheme val="minor"/>
      </rPr>
      <t xml:space="preserve">e </t>
    </r>
    <r>
      <rPr>
        <sz val="10"/>
        <color rgb="FF131313"/>
        <rFont val="Calibri"/>
        <family val="2"/>
        <scheme val="minor"/>
      </rPr>
      <t>(</t>
    </r>
    <r>
      <rPr>
        <sz val="10"/>
        <color rgb="FF2F2F2F"/>
        <rFont val="Calibri"/>
        <family val="2"/>
        <scheme val="minor"/>
      </rPr>
      <t>%</t>
    </r>
    <r>
      <rPr>
        <sz val="10"/>
        <color rgb="FF131313"/>
        <rFont val="Calibri"/>
        <family val="2"/>
        <scheme val="minor"/>
      </rPr>
      <t>)</t>
    </r>
  </si>
  <si>
    <r>
      <t>L</t>
    </r>
    <r>
      <rPr>
        <sz val="10"/>
        <color rgb="FF2F2F2F"/>
        <rFont val="Calibri"/>
        <family val="2"/>
        <scheme val="minor"/>
      </rPr>
      <t>e</t>
    </r>
    <r>
      <rPr>
        <sz val="10"/>
        <color rgb="FF131313"/>
        <rFont val="Calibri"/>
        <family val="2"/>
        <scheme val="minor"/>
      </rPr>
      <t>ngth of Grad</t>
    </r>
    <r>
      <rPr>
        <sz val="10"/>
        <color rgb="FF2F2F2F"/>
        <rFont val="Calibri"/>
        <family val="2"/>
        <scheme val="minor"/>
      </rPr>
      <t xml:space="preserve">e </t>
    </r>
    <r>
      <rPr>
        <sz val="10"/>
        <color rgb="FF131313"/>
        <rFont val="Calibri"/>
        <family val="2"/>
        <scheme val="minor"/>
      </rPr>
      <t>(km)</t>
    </r>
  </si>
  <si>
    <r>
      <rPr>
        <sz val="10"/>
        <color rgb="FF131313"/>
        <rFont val="Calibri"/>
        <family val="2"/>
        <scheme val="minor"/>
      </rPr>
      <t>Pa</t>
    </r>
    <r>
      <rPr>
        <sz val="10"/>
        <color rgb="FF2F2F2F"/>
        <rFont val="Calibri"/>
        <family val="2"/>
        <scheme val="minor"/>
      </rPr>
      <t>ss</t>
    </r>
    <r>
      <rPr>
        <sz val="10"/>
        <color rgb="FF131313"/>
        <rFont val="Calibri"/>
        <family val="2"/>
        <scheme val="minor"/>
      </rPr>
      <t>enger-Car Equivalent for RV</t>
    </r>
    <r>
      <rPr>
        <sz val="10"/>
        <color rgb="FF2F2F2F"/>
        <rFont val="Calibri"/>
        <family val="2"/>
        <scheme val="minor"/>
      </rPr>
      <t xml:space="preserve">s, </t>
    </r>
    <r>
      <rPr>
        <sz val="10"/>
        <color rgb="FF131313"/>
        <rFont val="Calibri"/>
        <family val="2"/>
        <scheme val="minor"/>
      </rPr>
      <t>ER</t>
    </r>
  </si>
  <si>
    <r>
      <rPr>
        <sz val="10"/>
        <color rgb="FF131313"/>
        <rFont val="Calibri"/>
        <family val="2"/>
        <scheme val="minor"/>
      </rPr>
      <t>Range of Directional Flow Rate</t>
    </r>
    <r>
      <rPr>
        <sz val="10"/>
        <color rgb="FF2F2F2F"/>
        <rFont val="Calibri"/>
        <family val="2"/>
        <scheme val="minor"/>
      </rPr>
      <t>s</t>
    </r>
    <r>
      <rPr>
        <sz val="10"/>
        <color rgb="FF131313"/>
        <rFont val="Calibri"/>
        <family val="2"/>
        <scheme val="minor"/>
      </rPr>
      <t xml:space="preserve">, </t>
    </r>
    <r>
      <rPr>
        <sz val="10"/>
        <color rgb="FF2F2F2F"/>
        <rFont val="Calibri"/>
        <family val="2"/>
        <scheme val="minor"/>
      </rPr>
      <t>vd</t>
    </r>
    <r>
      <rPr>
        <sz val="10"/>
        <color rgb="FF131313"/>
        <rFont val="Calibri"/>
        <family val="2"/>
        <scheme val="minor"/>
      </rPr>
      <t>(pc</t>
    </r>
    <r>
      <rPr>
        <sz val="10"/>
        <color rgb="FF2F2F2F"/>
        <rFont val="Calibri"/>
        <family val="2"/>
        <scheme val="minor"/>
      </rPr>
      <t>/</t>
    </r>
    <r>
      <rPr>
        <sz val="10"/>
        <color rgb="FF131313"/>
        <rFont val="Calibri"/>
        <family val="2"/>
        <scheme val="minor"/>
      </rPr>
      <t>h)</t>
    </r>
  </si>
  <si>
    <r>
      <rPr>
        <sz val="10"/>
        <color rgb="FF131313"/>
        <rFont val="Calibri"/>
        <family val="2"/>
        <scheme val="minor"/>
      </rPr>
      <t>0</t>
    </r>
    <r>
      <rPr>
        <sz val="10"/>
        <color rgb="FF2F2F2F"/>
        <rFont val="Calibri"/>
        <family val="2"/>
        <scheme val="minor"/>
      </rPr>
      <t>-</t>
    </r>
    <r>
      <rPr>
        <sz val="10"/>
        <color rgb="FF131313"/>
        <rFont val="Calibri"/>
        <family val="2"/>
        <scheme val="minor"/>
      </rPr>
      <t>300</t>
    </r>
  </si>
  <si>
    <r>
      <rPr>
        <sz val="10"/>
        <color rgb="FF2F2F2F"/>
        <rFont val="Calibri"/>
        <family val="2"/>
        <scheme val="minor"/>
      </rPr>
      <t xml:space="preserve">&gt; </t>
    </r>
    <r>
      <rPr>
        <sz val="10"/>
        <color rgb="FF131313"/>
        <rFont val="Calibri"/>
        <family val="2"/>
        <scheme val="minor"/>
      </rPr>
      <t>300</t>
    </r>
    <r>
      <rPr>
        <sz val="10"/>
        <color rgb="FF2F2F2F"/>
        <rFont val="Calibri"/>
        <family val="2"/>
        <scheme val="minor"/>
      </rPr>
      <t>-</t>
    </r>
    <r>
      <rPr>
        <sz val="10"/>
        <color rgb="FF131313"/>
        <rFont val="Calibri"/>
        <family val="2"/>
        <scheme val="minor"/>
      </rPr>
      <t>600</t>
    </r>
  </si>
  <si>
    <r>
      <rPr>
        <sz val="10"/>
        <color rgb="FF2F2F2F"/>
        <rFont val="Calibri"/>
        <family val="2"/>
        <scheme val="minor"/>
      </rPr>
      <t xml:space="preserve">&gt; </t>
    </r>
    <r>
      <rPr>
        <sz val="10"/>
        <color rgb="FF131313"/>
        <rFont val="Calibri"/>
        <family val="2"/>
        <scheme val="minor"/>
      </rPr>
      <t>600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</si>
  <si>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131313"/>
        <rFont val="Calibri"/>
        <family val="2"/>
        <scheme val="minor"/>
      </rPr>
      <t xml:space="preserve">3.0 </t>
    </r>
    <r>
      <rPr>
        <sz val="10"/>
        <color rgb="FF2F2F2F"/>
        <rFont val="Calibri"/>
        <family val="2"/>
        <scheme val="minor"/>
      </rPr>
      <t xml:space="preserve">&lt; </t>
    </r>
    <r>
      <rPr>
        <sz val="10"/>
        <color rgb="FF131313"/>
        <rFont val="Calibri"/>
        <family val="2"/>
        <scheme val="minor"/>
      </rPr>
      <t>3.</t>
    </r>
    <r>
      <rPr>
        <sz val="10"/>
        <color rgb="FF2F2F2F"/>
        <rFont val="Calibri"/>
        <family val="2"/>
        <scheme val="minor"/>
      </rPr>
      <t>5</t>
    </r>
  </si>
  <si>
    <r>
      <rPr>
        <u/>
        <sz val="10"/>
        <color rgb="FF414141"/>
        <rFont val="Calibri"/>
        <family val="2"/>
        <scheme val="minor"/>
      </rPr>
      <t>&gt; </t>
    </r>
    <r>
      <rPr>
        <sz val="10"/>
        <color rgb="FF131313"/>
        <rFont val="Calibri"/>
        <family val="2"/>
        <scheme val="minor"/>
      </rPr>
      <t>6.4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</si>
  <si>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131313"/>
        <rFont val="Calibri"/>
        <family val="2"/>
        <scheme val="minor"/>
      </rPr>
      <t xml:space="preserve">3.5 </t>
    </r>
    <r>
      <rPr>
        <sz val="10"/>
        <color rgb="FF2F2F2F"/>
        <rFont val="Calibri"/>
        <family val="2"/>
        <scheme val="minor"/>
      </rPr>
      <t xml:space="preserve">&lt; </t>
    </r>
    <r>
      <rPr>
        <sz val="10"/>
        <color rgb="FF131313"/>
        <rFont val="Calibri"/>
        <family val="2"/>
        <scheme val="minor"/>
      </rPr>
      <t>4.5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</si>
  <si>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131313"/>
        <rFont val="Calibri"/>
        <family val="2"/>
        <scheme val="minor"/>
      </rPr>
      <t>6.4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</si>
  <si>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131313"/>
        <rFont val="Calibri"/>
        <family val="2"/>
        <scheme val="minor"/>
      </rPr>
      <t xml:space="preserve">4.5 </t>
    </r>
    <r>
      <rPr>
        <sz val="10"/>
        <color rgb="FF414141"/>
        <rFont val="Calibri"/>
        <family val="2"/>
        <scheme val="minor"/>
      </rPr>
      <t xml:space="preserve">&lt; </t>
    </r>
    <r>
      <rPr>
        <sz val="10"/>
        <color rgb="FF131313"/>
        <rFont val="Calibri"/>
        <family val="2"/>
        <scheme val="minor"/>
      </rPr>
      <t>5.5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</si>
  <si>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131313"/>
        <rFont val="Calibri"/>
        <family val="2"/>
        <scheme val="minor"/>
      </rPr>
      <t xml:space="preserve">5.5 </t>
    </r>
    <r>
      <rPr>
        <sz val="10"/>
        <color rgb="FF414141"/>
        <rFont val="Calibri"/>
        <family val="2"/>
        <scheme val="minor"/>
      </rPr>
      <t xml:space="preserve">&lt; </t>
    </r>
    <r>
      <rPr>
        <sz val="10"/>
        <color rgb="FF131313"/>
        <rFont val="Calibri"/>
        <family val="2"/>
        <scheme val="minor"/>
      </rPr>
      <t>6.5</t>
    </r>
  </si>
  <si>
    <r>
      <rPr>
        <u/>
        <sz val="10"/>
        <color rgb="FF414141"/>
        <rFont val="Calibri"/>
        <family val="2"/>
        <scheme val="minor"/>
      </rPr>
      <t>&gt; </t>
    </r>
    <r>
      <rPr>
        <sz val="10"/>
        <color rgb="FF131313"/>
        <rFont val="Calibri"/>
        <family val="2"/>
        <scheme val="minor"/>
      </rPr>
      <t>6</t>
    </r>
    <r>
      <rPr>
        <sz val="10"/>
        <color rgb="FF2F2F2F"/>
        <rFont val="Calibri"/>
        <family val="2"/>
        <scheme val="minor"/>
      </rPr>
      <t>.</t>
    </r>
    <r>
      <rPr>
        <sz val="10"/>
        <color rgb="FF131313"/>
        <rFont val="Calibri"/>
        <family val="2"/>
        <scheme val="minor"/>
      </rPr>
      <t>5</t>
    </r>
  </si>
  <si>
    <r>
      <rPr>
        <sz val="10"/>
        <color rgb="FF050505"/>
        <rFont val="Calibri"/>
        <family val="2"/>
        <scheme val="minor"/>
      </rPr>
      <t xml:space="preserve">EXHIBIT 20-16. PASSENGER-CAR EQUIVALENTS FOR TRUCKS </t>
    </r>
    <r>
      <rPr>
        <sz val="10"/>
        <color rgb="FF1A1A1A"/>
        <rFont val="Calibri"/>
        <family val="2"/>
        <scheme val="minor"/>
      </rPr>
      <t xml:space="preserve">AND </t>
    </r>
    <r>
      <rPr>
        <sz val="10"/>
        <color rgb="FF050505"/>
        <rFont val="Calibri"/>
        <family val="2"/>
        <scheme val="minor"/>
      </rPr>
      <t>RVS FOR ESTIMATING PERCENT</t>
    </r>
  </si>
  <si>
    <r>
      <rPr>
        <sz val="10"/>
        <color rgb="FF050505"/>
        <rFont val="Calibri"/>
        <family val="2"/>
        <scheme val="minor"/>
      </rPr>
      <t xml:space="preserve">TIME-SPENT-FOLLOWING ON </t>
    </r>
    <r>
      <rPr>
        <sz val="10"/>
        <color rgb="FF1A1A1A"/>
        <rFont val="Calibri"/>
        <family val="2"/>
        <scheme val="minor"/>
      </rPr>
      <t xml:space="preserve">SPECIFIC </t>
    </r>
    <r>
      <rPr>
        <sz val="10"/>
        <color rgb="FF050505"/>
        <rFont val="Calibri"/>
        <family val="2"/>
        <scheme val="minor"/>
      </rPr>
      <t>UPGRADE</t>
    </r>
    <r>
      <rPr>
        <sz val="10"/>
        <color rgb="FF2A2A2A"/>
        <rFont val="Calibri"/>
        <family val="2"/>
        <scheme val="minor"/>
      </rPr>
      <t>S</t>
    </r>
  </si>
  <si>
    <r>
      <rPr>
        <sz val="10"/>
        <color rgb="FF1A1A1A"/>
        <rFont val="Calibri"/>
        <family val="2"/>
        <scheme val="minor"/>
      </rPr>
      <t>Grade (%)</t>
    </r>
  </si>
  <si>
    <r>
      <rPr>
        <sz val="10"/>
        <color rgb="FF1A1A1A"/>
        <rFont val="Calibri"/>
        <family val="2"/>
        <scheme val="minor"/>
      </rPr>
      <t xml:space="preserve">Length of Grade </t>
    </r>
    <r>
      <rPr>
        <sz val="10"/>
        <color rgb="FF050505"/>
        <rFont val="Calibri"/>
        <family val="2"/>
        <scheme val="minor"/>
      </rPr>
      <t>(km)</t>
    </r>
  </si>
  <si>
    <r>
      <rPr>
        <sz val="10"/>
        <color rgb="FF1A1A1A"/>
        <rFont val="Calibri"/>
        <family val="2"/>
        <scheme val="minor"/>
      </rPr>
      <t xml:space="preserve">Passenger-Car Equivalent </t>
    </r>
    <r>
      <rPr>
        <sz val="10"/>
        <color rgb="FF050505"/>
        <rFont val="Calibri"/>
        <family val="2"/>
        <scheme val="minor"/>
      </rPr>
      <t xml:space="preserve">for Trucks, </t>
    </r>
    <r>
      <rPr>
        <sz val="10"/>
        <color rgb="FF1A1A1A"/>
        <rFont val="Calibri"/>
        <family val="2"/>
        <scheme val="minor"/>
      </rPr>
      <t>ET</t>
    </r>
  </si>
  <si>
    <r>
      <rPr>
        <sz val="10"/>
        <color rgb="FF050505"/>
        <rFont val="Calibri"/>
        <family val="2"/>
        <scheme val="minor"/>
      </rPr>
      <t>RV</t>
    </r>
    <r>
      <rPr>
        <sz val="10"/>
        <color rgb="FF2A2A2A"/>
        <rFont val="Calibri"/>
        <family val="2"/>
        <scheme val="minor"/>
      </rPr>
      <t xml:space="preserve">s, </t>
    </r>
    <r>
      <rPr>
        <sz val="10"/>
        <color rgb="FF1A1A1A"/>
        <rFont val="Calibri"/>
        <family val="2"/>
        <scheme val="minor"/>
      </rPr>
      <t>ER</t>
    </r>
  </si>
  <si>
    <r>
      <rPr>
        <sz val="10"/>
        <color rgb="FF1A1A1A"/>
        <rFont val="Calibri"/>
        <family val="2"/>
        <scheme val="minor"/>
      </rPr>
      <t xml:space="preserve">Range </t>
    </r>
    <r>
      <rPr>
        <sz val="10"/>
        <color rgb="FF050505"/>
        <rFont val="Calibri"/>
        <family val="2"/>
        <scheme val="minor"/>
      </rPr>
      <t>of Directional Flow R</t>
    </r>
    <r>
      <rPr>
        <sz val="10"/>
        <color rgb="FF2A2A2A"/>
        <rFont val="Calibri"/>
        <family val="2"/>
        <scheme val="minor"/>
      </rPr>
      <t>a</t>
    </r>
    <r>
      <rPr>
        <sz val="10"/>
        <color rgb="FF050505"/>
        <rFont val="Calibri"/>
        <family val="2"/>
        <scheme val="minor"/>
      </rPr>
      <t>te</t>
    </r>
    <r>
      <rPr>
        <sz val="10"/>
        <color rgb="FF2A2A2A"/>
        <rFont val="Calibri"/>
        <family val="2"/>
        <scheme val="minor"/>
      </rPr>
      <t xml:space="preserve">s, vd </t>
    </r>
    <r>
      <rPr>
        <sz val="10"/>
        <color rgb="FF1A1A1A"/>
        <rFont val="Calibri"/>
        <family val="2"/>
        <scheme val="minor"/>
      </rPr>
      <t>(pc/h)</t>
    </r>
  </si>
  <si>
    <r>
      <rPr>
        <sz val="10"/>
        <color rgb="FF1A1A1A"/>
        <rFont val="Calibri"/>
        <family val="2"/>
        <scheme val="minor"/>
      </rPr>
      <t>0</t>
    </r>
    <r>
      <rPr>
        <sz val="10"/>
        <color rgb="FF414141"/>
        <rFont val="Calibri"/>
        <family val="2"/>
        <scheme val="minor"/>
      </rPr>
      <t>-</t>
    </r>
    <r>
      <rPr>
        <sz val="10"/>
        <color rgb="FF1A1A1A"/>
        <rFont val="Calibri"/>
        <family val="2"/>
        <scheme val="minor"/>
      </rPr>
      <t>300</t>
    </r>
  </si>
  <si>
    <r>
      <rPr>
        <sz val="10"/>
        <color rgb="FF2A2A2A"/>
        <rFont val="Calibri"/>
        <family val="2"/>
        <scheme val="minor"/>
      </rPr>
      <t>&gt; 300-600</t>
    </r>
  </si>
  <si>
    <r>
      <rPr>
        <sz val="10"/>
        <color rgb="FF2A2A2A"/>
        <rFont val="Calibri"/>
        <family val="2"/>
        <scheme val="minor"/>
      </rPr>
      <t xml:space="preserve">&gt; </t>
    </r>
    <r>
      <rPr>
        <sz val="10"/>
        <color rgb="FF1A1A1A"/>
        <rFont val="Calibri"/>
        <family val="2"/>
        <scheme val="minor"/>
      </rPr>
      <t>600</t>
    </r>
  </si>
  <si>
    <r>
      <rPr>
        <u/>
        <sz val="10"/>
        <color rgb="FF414141"/>
        <rFont val="Calibri"/>
        <family val="2"/>
        <scheme val="minor"/>
      </rPr>
      <t>&gt; </t>
    </r>
    <r>
      <rPr>
        <sz val="10"/>
        <color rgb="FF1A1A1A"/>
        <rFont val="Calibri"/>
        <family val="2"/>
        <scheme val="minor"/>
      </rPr>
      <t xml:space="preserve">3.0 </t>
    </r>
    <r>
      <rPr>
        <sz val="10"/>
        <color rgb="FF414141"/>
        <rFont val="Calibri"/>
        <family val="2"/>
        <scheme val="minor"/>
      </rPr>
      <t xml:space="preserve">&lt; </t>
    </r>
    <r>
      <rPr>
        <sz val="10"/>
        <color rgb="FF1A1A1A"/>
        <rFont val="Calibri"/>
        <family val="2"/>
        <scheme val="minor"/>
      </rPr>
      <t>3.5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</si>
  <si>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1A1A1A"/>
        <rFont val="Calibri"/>
        <family val="2"/>
        <scheme val="minor"/>
      </rPr>
      <t>6.4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</si>
  <si>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1A1A1A"/>
        <rFont val="Calibri"/>
        <family val="2"/>
        <scheme val="minor"/>
      </rPr>
      <t xml:space="preserve">3.5 </t>
    </r>
    <r>
      <rPr>
        <sz val="10"/>
        <color rgb="FF414141"/>
        <rFont val="Calibri"/>
        <family val="2"/>
        <scheme val="minor"/>
      </rPr>
      <t xml:space="preserve">&lt; </t>
    </r>
    <r>
      <rPr>
        <sz val="10"/>
        <color rgb="FF1A1A1A"/>
        <rFont val="Calibri"/>
        <family val="2"/>
        <scheme val="minor"/>
      </rPr>
      <t>4.5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</si>
  <si>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2A2A2A"/>
        <rFont val="Calibri"/>
        <family val="2"/>
        <scheme val="minor"/>
      </rPr>
      <t>6.4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</si>
  <si>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050505"/>
        <rFont val="Calibri"/>
        <family val="2"/>
        <scheme val="minor"/>
      </rPr>
      <t>4</t>
    </r>
    <r>
      <rPr>
        <sz val="10"/>
        <color rgb="FF2A2A2A"/>
        <rFont val="Calibri"/>
        <family val="2"/>
        <scheme val="minor"/>
      </rPr>
      <t>.5 &lt; 5</t>
    </r>
    <r>
      <rPr>
        <sz val="10"/>
        <color rgb="FF050505"/>
        <rFont val="Calibri"/>
        <family val="2"/>
        <scheme val="minor"/>
      </rPr>
      <t>.</t>
    </r>
    <r>
      <rPr>
        <sz val="10"/>
        <color rgb="FF2A2A2A"/>
        <rFont val="Calibri"/>
        <family val="2"/>
        <scheme val="minor"/>
      </rPr>
      <t>5</t>
    </r>
  </si>
  <si>
    <r>
      <rPr>
        <u/>
        <sz val="10"/>
        <color rgb="FF414141"/>
        <rFont val="Calibri"/>
        <family val="2"/>
        <scheme val="minor"/>
      </rPr>
      <t>&gt; </t>
    </r>
    <r>
      <rPr>
        <sz val="10"/>
        <color rgb="FF1A1A1A"/>
        <rFont val="Calibri"/>
        <family val="2"/>
        <scheme val="minor"/>
      </rPr>
      <t>6.4</t>
    </r>
  </si>
  <si>
    <r>
      <rPr>
        <u/>
        <sz val="10"/>
        <color rgb="FF414141"/>
        <rFont val="Calibri"/>
        <family val="2"/>
        <scheme val="minor"/>
      </rPr>
      <t>&gt; </t>
    </r>
    <r>
      <rPr>
        <sz val="10"/>
        <color rgb="FF1A1A1A"/>
        <rFont val="Calibri"/>
        <family val="2"/>
        <scheme val="minor"/>
      </rPr>
      <t xml:space="preserve">5.5 </t>
    </r>
    <r>
      <rPr>
        <sz val="10"/>
        <color rgb="FF414141"/>
        <rFont val="Calibri"/>
        <family val="2"/>
        <scheme val="minor"/>
      </rPr>
      <t xml:space="preserve">&lt; </t>
    </r>
    <r>
      <rPr>
        <sz val="10"/>
        <color rgb="FF1A1A1A"/>
        <rFont val="Calibri"/>
        <family val="2"/>
        <scheme val="minor"/>
      </rPr>
      <t>6.5</t>
    </r>
  </si>
  <si>
    <r>
      <rPr>
        <sz val="10"/>
        <color rgb="FF414141"/>
        <rFont val="Calibri"/>
        <family val="2"/>
        <scheme val="minor"/>
      </rPr>
      <t xml:space="preserve">&gt; </t>
    </r>
    <r>
      <rPr>
        <sz val="10"/>
        <color rgb="FF1A1A1A"/>
        <rFont val="Calibri"/>
        <family val="2"/>
        <scheme val="minor"/>
      </rPr>
      <t>6.5</t>
    </r>
  </si>
  <si>
    <t>Pt</t>
  </si>
  <si>
    <r>
      <rPr>
        <sz val="10"/>
        <color rgb="FF262626"/>
        <rFont val="Arial"/>
        <family val="2"/>
      </rPr>
      <t>No</t>
    </r>
    <r>
      <rPr>
        <sz val="10"/>
        <rFont val="Arial"/>
        <family val="2"/>
      </rPr>
      <t>-</t>
    </r>
    <r>
      <rPr>
        <sz val="10"/>
        <color rgb="FF262626"/>
        <rFont val="Arial"/>
        <family val="2"/>
      </rPr>
      <t>Passina Zones (%)</t>
    </r>
  </si>
  <si>
    <t>Exhibit 20-19</t>
  </si>
  <si>
    <r>
      <rPr>
        <sz val="10"/>
        <color rgb="FF3D3D3D"/>
        <rFont val="Arial"/>
        <family val="2"/>
      </rPr>
      <t>O</t>
    </r>
    <r>
      <rPr>
        <sz val="10"/>
        <rFont val="Arial"/>
        <family val="2"/>
      </rPr>
      <t>p</t>
    </r>
    <r>
      <rPr>
        <sz val="10"/>
        <color rgb="FF3D3D3D"/>
        <rFont val="Arial"/>
        <family val="2"/>
      </rPr>
      <t>pos</t>
    </r>
    <r>
      <rPr>
        <sz val="10"/>
        <rFont val="Arial"/>
        <family val="2"/>
      </rPr>
      <t>in</t>
    </r>
    <r>
      <rPr>
        <sz val="10"/>
        <color rgb="FF262626"/>
        <rFont val="Arial"/>
        <family val="2"/>
      </rPr>
      <t xml:space="preserve">g </t>
    </r>
    <r>
      <rPr>
        <sz val="10"/>
        <color rgb="FF3D3D3D"/>
        <rFont val="Arial"/>
        <family val="2"/>
      </rPr>
      <t>De</t>
    </r>
    <r>
      <rPr>
        <sz val="10"/>
        <color rgb="FF131313"/>
        <rFont val="Arial"/>
        <family val="2"/>
      </rPr>
      <t>m</t>
    </r>
    <r>
      <rPr>
        <sz val="10"/>
        <color rgb="FF3D3D3D"/>
        <rFont val="Arial"/>
        <family val="2"/>
      </rPr>
      <t>a</t>
    </r>
    <r>
      <rPr>
        <sz val="10"/>
        <rFont val="Arial"/>
        <family val="2"/>
      </rPr>
      <t>n</t>
    </r>
    <r>
      <rPr>
        <sz val="10"/>
        <color rgb="FF262626"/>
        <rFont val="Arial"/>
        <family val="2"/>
      </rPr>
      <t>d F</t>
    </r>
    <r>
      <rPr>
        <sz val="10"/>
        <rFont val="Arial"/>
        <family val="2"/>
      </rPr>
      <t>l</t>
    </r>
    <r>
      <rPr>
        <sz val="10"/>
        <color rgb="FF3D3D3D"/>
        <rFont val="Arial"/>
        <family val="2"/>
      </rPr>
      <t xml:space="preserve">ow </t>
    </r>
    <r>
      <rPr>
        <sz val="10"/>
        <color rgb="FF262626"/>
        <rFont val="Arial"/>
        <family val="2"/>
      </rPr>
      <t xml:space="preserve">Rate, </t>
    </r>
    <r>
      <rPr>
        <sz val="10"/>
        <color rgb="FF3D3D3D"/>
        <rFont val="Arial"/>
        <family val="2"/>
      </rPr>
      <t>v0 {pc/h)</t>
    </r>
  </si>
  <si>
    <r>
      <rPr>
        <sz val="10"/>
        <color rgb="FF262626"/>
        <rFont val="Arial"/>
        <family val="2"/>
      </rPr>
      <t xml:space="preserve">FFS </t>
    </r>
    <r>
      <rPr>
        <sz val="10"/>
        <rFont val="Arial"/>
        <family val="2"/>
      </rPr>
      <t xml:space="preserve">= </t>
    </r>
    <r>
      <rPr>
        <sz val="10"/>
        <color rgb="FF3D3D3D"/>
        <rFont val="Arial"/>
        <family val="2"/>
      </rPr>
      <t xml:space="preserve">110 </t>
    </r>
    <r>
      <rPr>
        <sz val="10"/>
        <color rgb="FF131313"/>
        <rFont val="Arial"/>
        <family val="2"/>
      </rPr>
      <t>km/h</t>
    </r>
  </si>
  <si>
    <r>
      <rPr>
        <sz val="10"/>
        <color rgb="FF3D3D3D"/>
        <rFont val="Arial"/>
        <family val="2"/>
      </rPr>
      <t>s; 100</t>
    </r>
  </si>
  <si>
    <r>
      <rPr>
        <sz val="10"/>
        <color rgb="FF262626"/>
        <rFont val="Arial"/>
        <family val="2"/>
      </rPr>
      <t xml:space="preserve">FFS </t>
    </r>
    <r>
      <rPr>
        <sz val="10"/>
        <rFont val="Arial"/>
        <family val="2"/>
      </rPr>
      <t xml:space="preserve">= </t>
    </r>
    <r>
      <rPr>
        <sz val="10"/>
        <color rgb="FF3D3D3D"/>
        <rFont val="Arial"/>
        <family val="2"/>
      </rPr>
      <t xml:space="preserve">100 </t>
    </r>
    <r>
      <rPr>
        <sz val="10"/>
        <color rgb="FF262626"/>
        <rFont val="Arial"/>
        <family val="2"/>
      </rPr>
      <t>km/h</t>
    </r>
  </si>
  <si>
    <r>
      <rPr>
        <sz val="10"/>
        <color rgb="FF131313"/>
        <rFont val="Arial"/>
        <family val="2"/>
      </rPr>
      <t>FF</t>
    </r>
    <r>
      <rPr>
        <sz val="10"/>
        <color rgb="FF3D3D3D"/>
        <rFont val="Arial"/>
        <family val="2"/>
      </rPr>
      <t xml:space="preserve">S </t>
    </r>
    <r>
      <rPr>
        <sz val="10"/>
        <rFont val="Arial"/>
        <family val="2"/>
      </rPr>
      <t xml:space="preserve">= </t>
    </r>
    <r>
      <rPr>
        <sz val="10"/>
        <color rgb="FF3D3D3D"/>
        <rFont val="Arial"/>
        <family val="2"/>
      </rPr>
      <t xml:space="preserve">90 </t>
    </r>
    <r>
      <rPr>
        <sz val="10"/>
        <color rgb="FF131313"/>
        <rFont val="Arial"/>
        <family val="2"/>
      </rPr>
      <t>km/h</t>
    </r>
  </si>
  <si>
    <r>
      <rPr>
        <sz val="10"/>
        <color rgb="FF3D3D3D"/>
        <rFont val="Arial"/>
        <family val="2"/>
      </rPr>
      <t xml:space="preserve">s; </t>
    </r>
    <r>
      <rPr>
        <sz val="10"/>
        <color rgb="FF262626"/>
        <rFont val="Arial"/>
        <family val="2"/>
      </rPr>
      <t>100</t>
    </r>
  </si>
  <si>
    <r>
      <rPr>
        <sz val="10"/>
        <color rgb="FF131313"/>
        <rFont val="Arial"/>
        <family val="2"/>
      </rPr>
      <t>FF</t>
    </r>
    <r>
      <rPr>
        <sz val="10"/>
        <color rgb="FF3D3D3D"/>
        <rFont val="Arial"/>
        <family val="2"/>
      </rPr>
      <t xml:space="preserve">S </t>
    </r>
    <r>
      <rPr>
        <sz val="10"/>
        <rFont val="Arial"/>
        <family val="2"/>
      </rPr>
      <t xml:space="preserve">= </t>
    </r>
    <r>
      <rPr>
        <sz val="10"/>
        <color rgb="FF3D3D3D"/>
        <rFont val="Arial"/>
        <family val="2"/>
      </rPr>
      <t xml:space="preserve">80 </t>
    </r>
    <r>
      <rPr>
        <sz val="10"/>
        <color rgb="FF131313"/>
        <rFont val="Arial"/>
        <family val="2"/>
      </rPr>
      <t>km/h</t>
    </r>
  </si>
  <si>
    <r>
      <rPr>
        <sz val="10"/>
        <color rgb="FF262626"/>
        <rFont val="Arial"/>
        <family val="2"/>
      </rPr>
      <t xml:space="preserve">FFS </t>
    </r>
    <r>
      <rPr>
        <sz val="10"/>
        <rFont val="Arial"/>
        <family val="2"/>
      </rPr>
      <t xml:space="preserve">= </t>
    </r>
    <r>
      <rPr>
        <sz val="10"/>
        <color rgb="FF262626"/>
        <rFont val="Arial"/>
        <family val="2"/>
      </rPr>
      <t xml:space="preserve">70 </t>
    </r>
    <r>
      <rPr>
        <sz val="10"/>
        <color rgb="FF131313"/>
        <rFont val="Arial"/>
        <family val="2"/>
      </rPr>
      <t>km/h</t>
    </r>
  </si>
  <si>
    <r>
      <rPr>
        <sz val="10"/>
        <color rgb="FF2A2A2A"/>
        <rFont val="Arial"/>
        <family val="2"/>
      </rPr>
      <t xml:space="preserve">Opposing </t>
    </r>
    <r>
      <rPr>
        <sz val="10"/>
        <color rgb="FF151515"/>
        <rFont val="Arial"/>
        <family val="2"/>
      </rPr>
      <t>Demand Flow Rate</t>
    </r>
    <r>
      <rPr>
        <sz val="10"/>
        <color rgb="FF444444"/>
        <rFont val="Arial"/>
        <family val="2"/>
      </rPr>
      <t xml:space="preserve">, </t>
    </r>
    <r>
      <rPr>
        <sz val="10"/>
        <color rgb="FF2A2A2A"/>
        <rFont val="Arial"/>
        <family val="2"/>
      </rPr>
      <t xml:space="preserve">v (pc/h)
</t>
    </r>
    <r>
      <rPr>
        <sz val="10"/>
        <color rgb="FF444444"/>
        <rFont val="Arial"/>
        <family val="2"/>
      </rPr>
      <t>0</t>
    </r>
  </si>
  <si>
    <r>
      <rPr>
        <sz val="10"/>
        <color rgb="FF151515"/>
        <rFont val="Arial"/>
        <family val="2"/>
      </rPr>
      <t xml:space="preserve">No-Passinq </t>
    </r>
    <r>
      <rPr>
        <sz val="10"/>
        <color rgb="FF2A2A2A"/>
        <rFont val="Arial"/>
        <family val="2"/>
      </rPr>
      <t>Zones (%)</t>
    </r>
  </si>
  <si>
    <r>
      <rPr>
        <sz val="10"/>
        <color rgb="FF444444"/>
        <rFont val="Arial"/>
        <family val="2"/>
      </rPr>
      <t xml:space="preserve">::;; </t>
    </r>
    <r>
      <rPr>
        <sz val="10"/>
        <color rgb="FF151515"/>
        <rFont val="Arial"/>
        <family val="2"/>
      </rPr>
      <t>20</t>
    </r>
  </si>
  <si>
    <r>
      <rPr>
        <sz val="10"/>
        <color rgb="FF151515"/>
        <rFont val="Arial"/>
        <family val="2"/>
      </rPr>
      <t xml:space="preserve">FFS </t>
    </r>
    <r>
      <rPr>
        <sz val="10"/>
        <color rgb="FF2A2A2A"/>
        <rFont val="Arial"/>
        <family val="2"/>
      </rPr>
      <t xml:space="preserve">= </t>
    </r>
    <r>
      <rPr>
        <sz val="10"/>
        <color rgb="FF151515"/>
        <rFont val="Arial"/>
        <family val="2"/>
      </rPr>
      <t>110 km/h</t>
    </r>
  </si>
  <si>
    <r>
      <rPr>
        <sz val="10"/>
        <color rgb="FF545454"/>
        <rFont val="Arial"/>
        <family val="2"/>
      </rPr>
      <t xml:space="preserve">&lt; </t>
    </r>
    <r>
      <rPr>
        <sz val="10"/>
        <color rgb="FF151515"/>
        <rFont val="Arial"/>
        <family val="2"/>
      </rPr>
      <t>100</t>
    </r>
  </si>
  <si>
    <r>
      <rPr>
        <sz val="10"/>
        <color rgb="FF151515"/>
        <rFont val="Arial"/>
        <family val="2"/>
      </rPr>
      <t>FFS = 100 km/h</t>
    </r>
  </si>
  <si>
    <r>
      <rPr>
        <sz val="10"/>
        <color rgb="FF151515"/>
        <rFont val="Arial"/>
        <family val="2"/>
      </rPr>
      <t xml:space="preserve">FFS </t>
    </r>
    <r>
      <rPr>
        <sz val="10"/>
        <color rgb="FF444444"/>
        <rFont val="Arial"/>
        <family val="2"/>
      </rPr>
      <t xml:space="preserve">= </t>
    </r>
    <r>
      <rPr>
        <sz val="10"/>
        <color rgb="FF2A2A2A"/>
        <rFont val="Arial"/>
        <family val="2"/>
      </rPr>
      <t xml:space="preserve">90 </t>
    </r>
    <r>
      <rPr>
        <sz val="10"/>
        <color rgb="FF151515"/>
        <rFont val="Arial"/>
        <family val="2"/>
      </rPr>
      <t>km/h</t>
    </r>
  </si>
  <si>
    <r>
      <rPr>
        <sz val="10"/>
        <color rgb="FF444444"/>
        <rFont val="Arial"/>
        <family val="2"/>
      </rPr>
      <t xml:space="preserve">::;; </t>
    </r>
    <r>
      <rPr>
        <sz val="10"/>
        <color rgb="FF151515"/>
        <rFont val="Arial"/>
        <family val="2"/>
      </rPr>
      <t>100</t>
    </r>
  </si>
  <si>
    <r>
      <rPr>
        <sz val="10"/>
        <color rgb="FF151515"/>
        <rFont val="Arial"/>
        <family val="2"/>
      </rPr>
      <t xml:space="preserve">FFS </t>
    </r>
    <r>
      <rPr>
        <sz val="10"/>
        <color rgb="FF2A2A2A"/>
        <rFont val="Arial"/>
        <family val="2"/>
      </rPr>
      <t xml:space="preserve">= 80 </t>
    </r>
    <r>
      <rPr>
        <sz val="10"/>
        <color rgb="FF151515"/>
        <rFont val="Arial"/>
        <family val="2"/>
      </rPr>
      <t>km/h</t>
    </r>
  </si>
  <si>
    <r>
      <rPr>
        <sz val="10"/>
        <color rgb="FF151515"/>
        <rFont val="Arial"/>
        <family val="2"/>
      </rPr>
      <t xml:space="preserve">FFS </t>
    </r>
    <r>
      <rPr>
        <sz val="10"/>
        <color rgb="FF2A2A2A"/>
        <rFont val="Arial"/>
        <family val="2"/>
      </rPr>
      <t xml:space="preserve">= 70 </t>
    </r>
    <r>
      <rPr>
        <sz val="10"/>
        <color rgb="FF151515"/>
        <rFont val="Arial"/>
        <family val="2"/>
      </rPr>
      <t>km/h</t>
    </r>
  </si>
  <si>
    <t>Exhibit 20-20</t>
  </si>
  <si>
    <t>Exhibit 20-21</t>
  </si>
  <si>
    <t>a</t>
  </si>
  <si>
    <t>b</t>
  </si>
  <si>
    <t>Multi-lane highway (HCM Cap. 21)</t>
  </si>
  <si>
    <t>semi-reboque; &gt;5 eixos: reboque</t>
  </si>
  <si>
    <t>fator de ajuste para transformar VDMA em veic./h</t>
  </si>
  <si>
    <t>valor/id</t>
  </si>
  <si>
    <t>Colunas2</t>
  </si>
  <si>
    <t>Colunas3</t>
  </si>
  <si>
    <t>Cálculo LOS</t>
  </si>
  <si>
    <t xml:space="preserve">Trecho </t>
  </si>
  <si>
    <t>Pista Simples</t>
  </si>
  <si>
    <t>valor</t>
  </si>
  <si>
    <t>tw LOS</t>
  </si>
  <si>
    <t>Two-lane highway segment, specific downgrade (HCM Cap. 20)</t>
  </si>
  <si>
    <t>Two-lane highway segment, specific upgrade (HCM Cap. 20)</t>
  </si>
  <si>
    <t>S</t>
  </si>
  <si>
    <t>N</t>
  </si>
  <si>
    <t>célula LOS</t>
  </si>
  <si>
    <t>identificação de rampas</t>
  </si>
  <si>
    <t>CARACTERÍSTICAS GERAIS</t>
  </si>
  <si>
    <t>TRÁFEGO</t>
  </si>
  <si>
    <t>Ajustamento para largura de faixa</t>
  </si>
  <si>
    <r>
      <rPr>
        <sz val="10"/>
        <color rgb="FF2D2D2F"/>
        <rFont val="Calibri"/>
        <family val="2"/>
      </rPr>
      <t>Largura de Faixa (m)</t>
    </r>
  </si>
  <si>
    <r>
      <rPr>
        <sz val="10"/>
        <color rgb="FF2D2D2F"/>
        <rFont val="Calibri"/>
        <family val="2"/>
      </rPr>
      <t>Redução em FFS</t>
    </r>
    <r>
      <rPr>
        <sz val="10"/>
        <color rgb="FF595469"/>
        <rFont val="Calibri"/>
        <family val="2"/>
      </rPr>
      <t xml:space="preserve"> </t>
    </r>
    <r>
      <rPr>
        <sz val="10"/>
        <color rgb="FF2D2D2F"/>
        <rFont val="Calibri"/>
        <family val="2"/>
      </rPr>
      <t>(km</t>
    </r>
    <r>
      <rPr>
        <sz val="10"/>
        <color rgb="FF595469"/>
        <rFont val="Calibri"/>
        <family val="2"/>
      </rPr>
      <t>/</t>
    </r>
    <r>
      <rPr>
        <sz val="10"/>
        <color rgb="FF2D2D2F"/>
        <rFont val="Calibri"/>
        <family val="2"/>
      </rPr>
      <t>h)</t>
    </r>
  </si>
  <si>
    <t>Ajustamento para espaço livre lateral</t>
  </si>
  <si>
    <t>Número de faixas</t>
  </si>
  <si>
    <r>
      <rPr>
        <sz val="10"/>
        <color rgb="FF2A2A2B"/>
        <rFont val="Calibri"/>
        <family val="2"/>
      </rPr>
      <t>E</t>
    </r>
    <r>
      <rPr>
        <sz val="10"/>
        <color rgb="FF413D46"/>
        <rFont val="Calibri"/>
        <family val="2"/>
      </rPr>
      <t xml:space="preserve">spaço </t>
    </r>
    <r>
      <rPr>
        <sz val="10"/>
        <color rgb="FF2A2A2B"/>
        <rFont val="Calibri"/>
        <family val="2"/>
      </rPr>
      <t>l</t>
    </r>
    <r>
      <rPr>
        <sz val="10"/>
        <color rgb="FF413D46"/>
        <rFont val="Calibri"/>
        <family val="2"/>
      </rPr>
      <t>at</t>
    </r>
    <r>
      <rPr>
        <sz val="10"/>
        <color rgb="FF2A2A2B"/>
        <rFont val="Calibri"/>
        <family val="2"/>
      </rPr>
      <t>e</t>
    </r>
    <r>
      <rPr>
        <sz val="10"/>
        <color rgb="FF413D46"/>
        <rFont val="Calibri"/>
        <family val="2"/>
      </rPr>
      <t>ra</t>
    </r>
    <r>
      <rPr>
        <sz val="10"/>
        <color rgb="FF2A2A2B"/>
        <rFont val="Calibri"/>
        <family val="2"/>
      </rPr>
      <t xml:space="preserve">l </t>
    </r>
    <r>
      <rPr>
        <sz val="10"/>
        <color rgb="FF413D46"/>
        <rFont val="Calibri"/>
        <family val="2"/>
      </rPr>
      <t>(</t>
    </r>
    <r>
      <rPr>
        <sz val="10"/>
        <color rgb="FF2A2A2B"/>
        <rFont val="Calibri"/>
        <family val="2"/>
      </rPr>
      <t>m</t>
    </r>
    <r>
      <rPr>
        <sz val="10"/>
        <color rgb="FF413D46"/>
        <rFont val="Calibri"/>
        <family val="2"/>
      </rPr>
      <t>)</t>
    </r>
  </si>
  <si>
    <r>
      <rPr>
        <sz val="10"/>
        <color rgb="FF2A2A2B"/>
        <rFont val="Calibri"/>
        <family val="2"/>
      </rPr>
      <t>Re</t>
    </r>
    <r>
      <rPr>
        <sz val="10"/>
        <color rgb="FF413D46"/>
        <rFont val="Calibri"/>
        <family val="2"/>
      </rPr>
      <t xml:space="preserve">dução f </t>
    </r>
    <r>
      <rPr>
        <sz val="10"/>
        <color rgb="FF2A2A2B"/>
        <rFont val="Calibri"/>
        <family val="2"/>
      </rPr>
      <t xml:space="preserve">, </t>
    </r>
    <r>
      <rPr>
        <sz val="10"/>
        <color rgb="FF413D46"/>
        <rFont val="Calibri"/>
        <family val="2"/>
      </rPr>
      <t>(km</t>
    </r>
    <r>
      <rPr>
        <sz val="10"/>
        <color rgb="FF595264"/>
        <rFont val="Calibri"/>
        <family val="2"/>
      </rPr>
      <t>/</t>
    </r>
    <r>
      <rPr>
        <sz val="10"/>
        <color rgb="FF413D46"/>
        <rFont val="Calibri"/>
        <family val="2"/>
      </rPr>
      <t>h)</t>
    </r>
  </si>
  <si>
    <r>
      <rPr>
        <sz val="10"/>
        <color rgb="FF2A2A2B"/>
        <rFont val="Calibri"/>
        <family val="2"/>
      </rPr>
      <t>Re</t>
    </r>
    <r>
      <rPr>
        <sz val="10"/>
        <color rgb="FF413D46"/>
        <rFont val="Calibri"/>
        <family val="2"/>
      </rPr>
      <t xml:space="preserve">dução f.. </t>
    </r>
    <r>
      <rPr>
        <sz val="10"/>
        <color rgb="FF595264"/>
        <rFont val="Calibri"/>
        <family val="2"/>
      </rPr>
      <t>(</t>
    </r>
    <r>
      <rPr>
        <sz val="10"/>
        <color rgb="FF413D46"/>
        <rFont val="Calibri"/>
        <family val="2"/>
      </rPr>
      <t>k</t>
    </r>
    <r>
      <rPr>
        <sz val="10"/>
        <color rgb="FF2A2A2B"/>
        <rFont val="Calibri"/>
        <family val="2"/>
      </rPr>
      <t>m</t>
    </r>
    <r>
      <rPr>
        <sz val="10"/>
        <color rgb="FF595264"/>
        <rFont val="Calibri"/>
        <family val="2"/>
      </rPr>
      <t>/</t>
    </r>
    <r>
      <rPr>
        <sz val="10"/>
        <color rgb="FF413D46"/>
        <rFont val="Calibri"/>
        <family val="2"/>
      </rPr>
      <t>h)</t>
    </r>
  </si>
  <si>
    <t>Interpolação</t>
  </si>
  <si>
    <t>Ajustamento para tipo de canteiro central</t>
  </si>
  <si>
    <r>
      <rPr>
        <sz val="10"/>
        <color rgb="FF2D2A2D"/>
        <rFont val="Calibri"/>
        <family val="2"/>
      </rPr>
      <t xml:space="preserve">Tipo de </t>
    </r>
    <r>
      <rPr>
        <sz val="10"/>
        <color rgb="FF3F3A44"/>
        <rFont val="Calibri"/>
        <family val="2"/>
      </rPr>
      <t>canteiro central</t>
    </r>
  </si>
  <si>
    <r>
      <rPr>
        <sz val="10"/>
        <color rgb="FF3F3A44"/>
        <rFont val="Calibri"/>
        <family val="2"/>
      </rPr>
      <t>Redução fcc (km</t>
    </r>
    <r>
      <rPr>
        <sz val="10"/>
        <color rgb="FF595464"/>
        <rFont val="Calibri"/>
        <family val="2"/>
      </rPr>
      <t>/</t>
    </r>
    <r>
      <rPr>
        <sz val="10"/>
        <color rgb="FF3F3A44"/>
        <rFont val="Calibri"/>
        <family val="2"/>
      </rPr>
      <t>h)</t>
    </r>
  </si>
  <si>
    <r>
      <rPr>
        <sz val="10"/>
        <color rgb="FF595464"/>
        <rFont val="Calibri"/>
        <family val="2"/>
      </rPr>
      <t>Rodov</t>
    </r>
    <r>
      <rPr>
        <sz val="10"/>
        <color rgb="FF3A4487"/>
        <rFont val="Calibri"/>
        <family val="2"/>
      </rPr>
      <t>i</t>
    </r>
    <r>
      <rPr>
        <sz val="10"/>
        <color rgb="FF595464"/>
        <rFont val="Calibri"/>
        <family val="2"/>
      </rPr>
      <t>as sem canteiro centra</t>
    </r>
    <r>
      <rPr>
        <sz val="10"/>
        <color rgb="FF3F3A44"/>
        <rFont val="Calibri"/>
        <family val="2"/>
      </rPr>
      <t xml:space="preserve">l </t>
    </r>
    <r>
      <rPr>
        <sz val="10"/>
        <color rgb="FF595464"/>
        <rFont val="Calibri"/>
        <family val="2"/>
      </rPr>
      <t/>
    </r>
  </si>
  <si>
    <t>Rodovias com canteiro central</t>
  </si>
  <si>
    <t>Ajustamento devido à densidade de acessos</t>
  </si>
  <si>
    <t>Equivalentes em carros de passeio em trechos extensos de rodovia</t>
  </si>
  <si>
    <r>
      <rPr>
        <sz val="10"/>
        <color rgb="FF3B383F"/>
        <rFont val="Calibri"/>
        <family val="2"/>
      </rPr>
      <t>Tipo de Terreno</t>
    </r>
  </si>
  <si>
    <r>
      <rPr>
        <sz val="10"/>
        <color rgb="FF3B383F"/>
        <rFont val="Calibri"/>
        <family val="2"/>
      </rPr>
      <t>Fator</t>
    </r>
  </si>
  <si>
    <r>
      <rPr>
        <sz val="10"/>
        <color rgb="FF3B383F"/>
        <rFont val="Calibri"/>
        <family val="2"/>
      </rPr>
      <t>Plano</t>
    </r>
  </si>
  <si>
    <r>
      <rPr>
        <sz val="10"/>
        <color rgb="FF3B383F"/>
        <rFont val="Calibri"/>
        <family val="2"/>
      </rPr>
      <t>Ondulado</t>
    </r>
  </si>
  <si>
    <r>
      <rPr>
        <sz val="10"/>
        <color rgb="FF3B383F"/>
        <rFont val="Calibri"/>
        <family val="2"/>
      </rPr>
      <t>Montanhoso</t>
    </r>
  </si>
  <si>
    <r>
      <rPr>
        <sz val="10"/>
        <color rgb="FF595262"/>
        <rFont val="Calibri"/>
        <family val="2"/>
      </rPr>
      <t xml:space="preserve">Ec </t>
    </r>
    <r>
      <rPr>
        <sz val="10"/>
        <color rgb="FF746B7C"/>
        <rFont val="Calibri"/>
        <family val="2"/>
      </rPr>
      <t>(</t>
    </r>
    <r>
      <rPr>
        <sz val="10"/>
        <color rgb="FF595262"/>
        <rFont val="Calibri"/>
        <family val="2"/>
      </rPr>
      <t>cam</t>
    </r>
    <r>
      <rPr>
        <sz val="10"/>
        <color rgb="FF746B7C"/>
        <rFont val="Calibri"/>
        <family val="2"/>
      </rPr>
      <t>i</t>
    </r>
    <r>
      <rPr>
        <sz val="10"/>
        <color rgb="FF595262"/>
        <rFont val="Calibri"/>
        <family val="2"/>
      </rPr>
      <t>nhões e ôn</t>
    </r>
    <r>
      <rPr>
        <sz val="10"/>
        <color rgb="FF746B7C"/>
        <rFont val="Calibri"/>
        <family val="2"/>
      </rPr>
      <t>i</t>
    </r>
    <r>
      <rPr>
        <sz val="10"/>
        <color rgb="FF595262"/>
        <rFont val="Calibri"/>
        <family val="2"/>
      </rPr>
      <t>bus</t>
    </r>
    <r>
      <rPr>
        <sz val="10"/>
        <color rgb="FF746B7C"/>
        <rFont val="Calibri"/>
        <family val="2"/>
      </rPr>
      <t>)</t>
    </r>
  </si>
  <si>
    <r>
      <rPr>
        <sz val="10"/>
        <color rgb="FF595262"/>
        <rFont val="Calibri"/>
        <family val="2"/>
      </rPr>
      <t xml:space="preserve">E,.. </t>
    </r>
    <r>
      <rPr>
        <sz val="10"/>
        <color rgb="FF746B7C"/>
        <rFont val="Calibri"/>
        <family val="2"/>
      </rPr>
      <t>(</t>
    </r>
    <r>
      <rPr>
        <sz val="10"/>
        <color rgb="FF595262"/>
        <rFont val="Calibri"/>
        <family val="2"/>
      </rPr>
      <t>veícu</t>
    </r>
    <r>
      <rPr>
        <sz val="10"/>
        <color rgb="FF3B383F"/>
        <rFont val="Calibri"/>
        <family val="2"/>
      </rPr>
      <t>l</t>
    </r>
    <r>
      <rPr>
        <sz val="10"/>
        <color rgb="FF595262"/>
        <rFont val="Calibri"/>
        <family val="2"/>
      </rPr>
      <t>os de rec</t>
    </r>
    <r>
      <rPr>
        <sz val="10"/>
        <color rgb="FF746B7C"/>
        <rFont val="Calibri"/>
        <family val="2"/>
      </rPr>
      <t>r</t>
    </r>
    <r>
      <rPr>
        <sz val="10"/>
        <color rgb="FF595262"/>
        <rFont val="Calibri"/>
        <family val="2"/>
      </rPr>
      <t>e</t>
    </r>
    <r>
      <rPr>
        <sz val="10"/>
        <color rgb="FF603144"/>
        <rFont val="Calibri"/>
        <family val="2"/>
      </rPr>
      <t>i</t>
    </r>
    <r>
      <rPr>
        <sz val="10"/>
        <color rgb="FF595262"/>
        <rFont val="Calibri"/>
        <family val="2"/>
      </rPr>
      <t>o</t>
    </r>
    <r>
      <rPr>
        <sz val="10"/>
        <color rgb="FF746B7C"/>
        <rFont val="Calibri"/>
        <family val="2"/>
      </rPr>
      <t>)</t>
    </r>
  </si>
  <si>
    <r>
      <rPr>
        <sz val="10"/>
        <color rgb="FF46424D"/>
        <rFont val="Calibri"/>
        <family val="2"/>
      </rPr>
      <t>Tabe</t>
    </r>
    <r>
      <rPr>
        <sz val="10"/>
        <color rgb="FF525269"/>
        <rFont val="Calibri"/>
        <family val="2"/>
      </rPr>
      <t>l</t>
    </r>
    <r>
      <rPr>
        <sz val="10"/>
        <color rgb="FF46424D"/>
        <rFont val="Calibri"/>
        <family val="2"/>
      </rPr>
      <t>a 83 • Equ</t>
    </r>
    <r>
      <rPr>
        <sz val="10"/>
        <color rgb="FF525269"/>
        <rFont val="Calibri"/>
        <family val="2"/>
      </rPr>
      <t>iv</t>
    </r>
    <r>
      <rPr>
        <sz val="10"/>
        <color rgb="FF46424D"/>
        <rFont val="Calibri"/>
        <family val="2"/>
      </rPr>
      <t>a</t>
    </r>
    <r>
      <rPr>
        <sz val="10"/>
        <color rgb="FF525269"/>
        <rFont val="Calibri"/>
        <family val="2"/>
      </rPr>
      <t>l</t>
    </r>
    <r>
      <rPr>
        <sz val="10"/>
        <color rgb="FF46424D"/>
        <rFont val="Calibri"/>
        <family val="2"/>
      </rPr>
      <t>en</t>
    </r>
    <r>
      <rPr>
        <sz val="10"/>
        <color rgb="FF64414B"/>
        <rFont val="Calibri"/>
        <family val="2"/>
      </rPr>
      <t>t</t>
    </r>
    <r>
      <rPr>
        <sz val="10"/>
        <color rgb="FF46424D"/>
        <rFont val="Calibri"/>
        <family val="2"/>
      </rPr>
      <t>es em carros de passe</t>
    </r>
    <r>
      <rPr>
        <sz val="10"/>
        <color rgb="FF525269"/>
        <rFont val="Calibri"/>
        <family val="2"/>
      </rPr>
      <t>i</t>
    </r>
    <r>
      <rPr>
        <sz val="10"/>
        <color rgb="FF46424D"/>
        <rFont val="Calibri"/>
        <family val="2"/>
      </rPr>
      <t>o</t>
    </r>
  </si>
  <si>
    <r>
      <rPr>
        <sz val="10"/>
        <color rgb="FF46424D"/>
        <rFont val="Calibri"/>
        <family val="2"/>
      </rPr>
      <t>Gre</t>
    </r>
    <r>
      <rPr>
        <sz val="10"/>
        <color rgb="FF525269"/>
        <rFont val="Calibri"/>
        <family val="2"/>
      </rPr>
      <t>id</t>
    </r>
    <r>
      <rPr>
        <sz val="10"/>
        <color rgb="FF46424D"/>
        <rFont val="Calibri"/>
        <family val="2"/>
      </rPr>
      <t xml:space="preserve">e </t>
    </r>
    <r>
      <rPr>
        <sz val="10"/>
        <color rgb="FF525269"/>
        <rFont val="Calibri"/>
        <family val="2"/>
      </rPr>
      <t>d</t>
    </r>
    <r>
      <rPr>
        <sz val="10"/>
        <color rgb="FF46424D"/>
        <rFont val="Calibri"/>
        <family val="2"/>
      </rPr>
      <t>e su</t>
    </r>
    <r>
      <rPr>
        <sz val="10"/>
        <color rgb="FF525269"/>
        <rFont val="Calibri"/>
        <family val="2"/>
      </rPr>
      <t>bida</t>
    </r>
  </si>
  <si>
    <r>
      <rPr>
        <sz val="10"/>
        <color rgb="FF46424D"/>
        <rFont val="Calibri"/>
        <family val="2"/>
      </rPr>
      <t>Extens</t>
    </r>
    <r>
      <rPr>
        <sz val="10"/>
        <color rgb="FF525269"/>
        <rFont val="Calibri"/>
        <family val="2"/>
      </rPr>
      <t>ão</t>
    </r>
  </si>
  <si>
    <r>
      <rPr>
        <sz val="10"/>
        <color rgb="FF46424D"/>
        <rFont val="Calibri"/>
        <family val="2"/>
      </rPr>
      <t>Ec
Pe</t>
    </r>
    <r>
      <rPr>
        <sz val="10"/>
        <color rgb="FF525269"/>
        <rFont val="Calibri"/>
        <family val="2"/>
      </rPr>
      <t>r</t>
    </r>
    <r>
      <rPr>
        <sz val="10"/>
        <color rgb="FF46424D"/>
        <rFont val="Calibri"/>
        <family val="2"/>
      </rPr>
      <t>cent</t>
    </r>
    <r>
      <rPr>
        <sz val="10"/>
        <color rgb="FF525269"/>
        <rFont val="Calibri"/>
        <family val="2"/>
      </rPr>
      <t>ag</t>
    </r>
    <r>
      <rPr>
        <sz val="10"/>
        <color rgb="FF46424D"/>
        <rFont val="Calibri"/>
        <family val="2"/>
      </rPr>
      <t xml:space="preserve">ens </t>
    </r>
    <r>
      <rPr>
        <sz val="10"/>
        <color rgb="FF525269"/>
        <rFont val="Calibri"/>
        <family val="2"/>
      </rPr>
      <t>d</t>
    </r>
    <r>
      <rPr>
        <sz val="10"/>
        <color rgb="FF46424D"/>
        <rFont val="Calibri"/>
        <family val="2"/>
      </rPr>
      <t xml:space="preserve">e </t>
    </r>
    <r>
      <rPr>
        <sz val="10"/>
        <color rgb="FF525269"/>
        <rFont val="Calibri"/>
        <family val="2"/>
      </rPr>
      <t>caminhõ</t>
    </r>
    <r>
      <rPr>
        <sz val="10"/>
        <color rgb="FF46424D"/>
        <rFont val="Calibri"/>
        <family val="2"/>
      </rPr>
      <t xml:space="preserve">es e </t>
    </r>
    <r>
      <rPr>
        <sz val="10"/>
        <color rgb="FF525269"/>
        <rFont val="Calibri"/>
        <family val="2"/>
      </rPr>
      <t>ô</t>
    </r>
    <r>
      <rPr>
        <sz val="10"/>
        <color rgb="FF46424D"/>
        <rFont val="Calibri"/>
        <family val="2"/>
      </rPr>
      <t>n</t>
    </r>
    <r>
      <rPr>
        <sz val="10"/>
        <color rgb="FF525269"/>
        <rFont val="Calibri"/>
        <family val="2"/>
      </rPr>
      <t>ib</t>
    </r>
    <r>
      <rPr>
        <sz val="10"/>
        <color rgb="FF46424D"/>
        <rFont val="Calibri"/>
        <family val="2"/>
      </rPr>
      <t>us</t>
    </r>
  </si>
  <si>
    <r>
      <rPr>
        <sz val="10"/>
        <color rgb="FF46424D"/>
        <rFont val="Calibri"/>
        <family val="2"/>
      </rPr>
      <t>para cam</t>
    </r>
    <r>
      <rPr>
        <sz val="10"/>
        <color rgb="FF79564D"/>
        <rFont val="Calibri"/>
        <family val="2"/>
      </rPr>
      <t>i</t>
    </r>
    <r>
      <rPr>
        <sz val="10"/>
        <color rgb="FF46424D"/>
        <rFont val="Calibri"/>
        <family val="2"/>
      </rPr>
      <t>n</t>
    </r>
    <r>
      <rPr>
        <sz val="10"/>
        <color rgb="FF64414B"/>
        <rFont val="Calibri"/>
        <family val="2"/>
      </rPr>
      <t>h</t>
    </r>
    <r>
      <rPr>
        <sz val="10"/>
        <color rgb="FF46424D"/>
        <rFont val="Calibri"/>
        <family val="2"/>
      </rPr>
      <t>ões e ôn</t>
    </r>
    <r>
      <rPr>
        <sz val="10"/>
        <color rgb="FF416683"/>
        <rFont val="Calibri"/>
        <family val="2"/>
      </rPr>
      <t>i</t>
    </r>
    <r>
      <rPr>
        <sz val="10"/>
        <color rgb="FF46424D"/>
        <rFont val="Calibri"/>
        <family val="2"/>
      </rPr>
      <t>bus em sub</t>
    </r>
    <r>
      <rPr>
        <sz val="10"/>
        <color rgb="FF525269"/>
        <rFont val="Calibri"/>
        <family val="2"/>
      </rPr>
      <t>i</t>
    </r>
    <r>
      <rPr>
        <sz val="10"/>
        <color rgb="FF46424D"/>
        <rFont val="Calibri"/>
        <family val="2"/>
      </rPr>
      <t xml:space="preserve">das </t>
    </r>
    <r>
      <rPr>
        <sz val="10"/>
        <color rgb="FF64414B"/>
        <rFont val="Calibri"/>
        <family val="2"/>
      </rPr>
      <t>u</t>
    </r>
    <r>
      <rPr>
        <sz val="10"/>
        <color rgb="FF46424D"/>
        <rFont val="Calibri"/>
        <family val="2"/>
      </rPr>
      <t>n</t>
    </r>
    <r>
      <rPr>
        <sz val="10"/>
        <color rgb="FF525269"/>
        <rFont val="Calibri"/>
        <family val="2"/>
      </rPr>
      <t>i</t>
    </r>
    <r>
      <rPr>
        <sz val="10"/>
        <color rgb="FF46424D"/>
        <rFont val="Calibri"/>
        <family val="2"/>
      </rPr>
      <t>formes</t>
    </r>
  </si>
  <si>
    <r>
      <rPr>
        <sz val="10"/>
        <rFont val="Calibri"/>
        <family val="2"/>
      </rPr>
      <t>Qualquer</t>
    </r>
  </si>
  <si>
    <r>
      <rPr>
        <sz val="10"/>
        <rFont val="Calibri"/>
        <family val="2"/>
      </rPr>
      <t>2 - 3</t>
    </r>
  </si>
  <si>
    <t>0.0 - 0.4</t>
  </si>
  <si>
    <t>&gt; 0.4 - 0.8</t>
  </si>
  <si>
    <r>
      <rPr>
        <sz val="10"/>
        <rFont val="Calibri"/>
        <family val="2"/>
      </rPr>
      <t>&gt; 0.8 - 1 .2</t>
    </r>
    <r>
      <rPr>
        <sz val="10"/>
        <color rgb="FF90959C"/>
        <rFont val="Calibri"/>
        <family val="2"/>
      </rPr>
      <t/>
    </r>
  </si>
  <si>
    <t>&gt; 1.2 - 1.6</t>
  </si>
  <si>
    <t>&gt; 1.6 - 2.4</t>
  </si>
  <si>
    <t>&gt; 2.4</t>
  </si>
  <si>
    <r>
      <rPr>
        <sz val="10"/>
        <rFont val="Calibri"/>
        <family val="2"/>
      </rPr>
      <t>3 - 4</t>
    </r>
  </si>
  <si>
    <t>&gt; 0.8 - 1 .2</t>
  </si>
  <si>
    <r>
      <rPr>
        <sz val="10"/>
        <rFont val="Calibri"/>
        <family val="2"/>
      </rPr>
      <t>&gt; 1.6 - 2.4</t>
    </r>
  </si>
  <si>
    <r>
      <rPr>
        <sz val="10"/>
        <rFont val="Calibri"/>
        <family val="2"/>
      </rPr>
      <t>4 - 5</t>
    </r>
  </si>
  <si>
    <r>
      <rPr>
        <sz val="10"/>
        <rFont val="Calibri"/>
        <family val="2"/>
      </rPr>
      <t>&gt; 0.8 - 1 .2</t>
    </r>
  </si>
  <si>
    <r>
      <rPr>
        <sz val="10"/>
        <rFont val="Calibri"/>
        <family val="2"/>
      </rPr>
      <t>&gt; 1.2 - 1.6</t>
    </r>
  </si>
  <si>
    <r>
      <rPr>
        <sz val="10"/>
        <rFont val="Calibri"/>
        <family val="2"/>
      </rPr>
      <t>&gt; 1.6</t>
    </r>
  </si>
  <si>
    <r>
      <rPr>
        <sz val="10"/>
        <rFont val="Calibri"/>
        <family val="2"/>
      </rPr>
      <t>5 - 6</t>
    </r>
  </si>
  <si>
    <r>
      <rPr>
        <sz val="10"/>
        <rFont val="Calibri"/>
        <family val="2"/>
      </rPr>
      <t>&gt; 6</t>
    </r>
  </si>
  <si>
    <r>
      <rPr>
        <sz val="10"/>
        <color rgb="FF2A282A"/>
        <rFont val="Calibri"/>
        <family val="2"/>
      </rPr>
      <t>Tab</t>
    </r>
    <r>
      <rPr>
        <sz val="10"/>
        <color rgb="FF3D3A44"/>
        <rFont val="Calibri"/>
        <family val="2"/>
      </rPr>
      <t>e</t>
    </r>
    <r>
      <rPr>
        <sz val="10"/>
        <color rgb="FF5D3446"/>
        <rFont val="Calibri"/>
        <family val="2"/>
      </rPr>
      <t>l</t>
    </r>
    <r>
      <rPr>
        <sz val="10"/>
        <color rgb="FF3D3A44"/>
        <rFont val="Calibri"/>
        <family val="2"/>
      </rPr>
      <t xml:space="preserve">a 85 </t>
    </r>
    <r>
      <rPr>
        <sz val="10"/>
        <color rgb="FF2A282A"/>
        <rFont val="Calibri"/>
        <family val="2"/>
      </rPr>
      <t>•  E</t>
    </r>
    <r>
      <rPr>
        <sz val="10"/>
        <color rgb="FF3D3A44"/>
        <rFont val="Calibri"/>
        <family val="2"/>
      </rPr>
      <t>qu</t>
    </r>
    <r>
      <rPr>
        <sz val="10"/>
        <color rgb="FF5D3446"/>
        <rFont val="Calibri"/>
        <family val="2"/>
      </rPr>
      <t>i</t>
    </r>
    <r>
      <rPr>
        <sz val="10"/>
        <color rgb="FF3D3A44"/>
        <rFont val="Calibri"/>
        <family val="2"/>
      </rPr>
      <t>v</t>
    </r>
    <r>
      <rPr>
        <sz val="10"/>
        <color rgb="FF2A282A"/>
        <rFont val="Calibri"/>
        <family val="2"/>
      </rPr>
      <t>a</t>
    </r>
    <r>
      <rPr>
        <sz val="10"/>
        <color rgb="FF3D3A44"/>
        <rFont val="Calibri"/>
        <family val="2"/>
      </rPr>
      <t>len</t>
    </r>
    <r>
      <rPr>
        <sz val="10"/>
        <color rgb="FF5D3446"/>
        <rFont val="Calibri"/>
        <family val="2"/>
      </rPr>
      <t>t</t>
    </r>
    <r>
      <rPr>
        <sz val="10"/>
        <color rgb="FF3D3A44"/>
        <rFont val="Calibri"/>
        <family val="2"/>
      </rPr>
      <t>es em c</t>
    </r>
    <r>
      <rPr>
        <sz val="10"/>
        <color rgb="FF2A282A"/>
        <rFont val="Calibri"/>
        <family val="2"/>
      </rPr>
      <t>a</t>
    </r>
    <r>
      <rPr>
        <sz val="10"/>
        <color rgb="FF3D3A44"/>
        <rFont val="Calibri"/>
        <family val="2"/>
      </rPr>
      <t>rros de passeio</t>
    </r>
  </si>
  <si>
    <r>
      <rPr>
        <sz val="11"/>
        <color rgb="FF3D3A44"/>
        <rFont val="Arial"/>
        <family val="2"/>
      </rPr>
      <t>G</t>
    </r>
    <r>
      <rPr>
        <sz val="11"/>
        <color rgb="FF2A282A"/>
        <rFont val="Arial"/>
        <family val="2"/>
      </rPr>
      <t>re</t>
    </r>
    <r>
      <rPr>
        <sz val="11"/>
        <color rgb="FF5D3446"/>
        <rFont val="Arial"/>
        <family val="2"/>
      </rPr>
      <t>i</t>
    </r>
    <r>
      <rPr>
        <sz val="11"/>
        <color rgb="FF3D3A44"/>
        <rFont val="Arial"/>
        <family val="2"/>
      </rPr>
      <t>d</t>
    </r>
    <r>
      <rPr>
        <sz val="11"/>
        <color rgb="FF2A282A"/>
        <rFont val="Arial"/>
        <family val="2"/>
      </rPr>
      <t xml:space="preserve">e de </t>
    </r>
    <r>
      <rPr>
        <sz val="11"/>
        <color rgb="FF3D3A44"/>
        <rFont val="Arial"/>
        <family val="2"/>
      </rPr>
      <t>sub</t>
    </r>
    <r>
      <rPr>
        <sz val="11"/>
        <color rgb="FF2A282A"/>
        <rFont val="Arial"/>
        <family val="2"/>
      </rPr>
      <t>id</t>
    </r>
    <r>
      <rPr>
        <sz val="11"/>
        <color rgb="FF3D3A44"/>
        <rFont val="Arial"/>
        <family val="2"/>
      </rPr>
      <t>a</t>
    </r>
  </si>
  <si>
    <r>
      <rPr>
        <sz val="11"/>
        <color rgb="FF2A282A"/>
        <rFont val="Arial"/>
        <family val="2"/>
      </rPr>
      <t>E</t>
    </r>
    <r>
      <rPr>
        <sz val="11"/>
        <color rgb="FF3D3A44"/>
        <rFont val="Arial"/>
        <family val="2"/>
      </rPr>
      <t>x</t>
    </r>
    <r>
      <rPr>
        <sz val="11"/>
        <color rgb="FF575262"/>
        <rFont val="Arial"/>
        <family val="2"/>
      </rPr>
      <t>t</t>
    </r>
    <r>
      <rPr>
        <sz val="11"/>
        <color rgb="FF3D3A44"/>
        <rFont val="Arial"/>
        <family val="2"/>
      </rPr>
      <t>e</t>
    </r>
    <r>
      <rPr>
        <sz val="11"/>
        <color rgb="FF2A282A"/>
        <rFont val="Arial"/>
        <family val="2"/>
      </rPr>
      <t>n</t>
    </r>
    <r>
      <rPr>
        <sz val="11"/>
        <color rgb="FF3D3A44"/>
        <rFont val="Arial"/>
        <family val="2"/>
      </rPr>
      <t>são</t>
    </r>
  </si>
  <si>
    <r>
      <rPr>
        <sz val="11"/>
        <color rgb="FF2A282A"/>
        <rFont val="Arial"/>
        <family val="2"/>
      </rPr>
      <t>E</t>
    </r>
    <r>
      <rPr>
        <sz val="11"/>
        <color rgb="FF575262"/>
        <rFont val="Arial"/>
        <family val="2"/>
      </rPr>
      <t>c</t>
    </r>
  </si>
  <si>
    <r>
      <rPr>
        <sz val="10"/>
        <color rgb="FF3D3A44"/>
        <rFont val="Calibri"/>
        <family val="2"/>
      </rPr>
      <t>p</t>
    </r>
    <r>
      <rPr>
        <sz val="10"/>
        <color rgb="FF2A282A"/>
        <rFont val="Calibri"/>
        <family val="2"/>
      </rPr>
      <t>ar</t>
    </r>
    <r>
      <rPr>
        <sz val="10"/>
        <color rgb="FF3D3A44"/>
        <rFont val="Calibri"/>
        <family val="2"/>
      </rPr>
      <t>a camin</t>
    </r>
    <r>
      <rPr>
        <sz val="10"/>
        <color rgb="FF5D3446"/>
        <rFont val="Calibri"/>
        <family val="2"/>
      </rPr>
      <t>h</t>
    </r>
    <r>
      <rPr>
        <sz val="10"/>
        <color rgb="FF3D3A44"/>
        <rFont val="Calibri"/>
        <family val="2"/>
      </rPr>
      <t>ões em desc</t>
    </r>
    <r>
      <rPr>
        <sz val="10"/>
        <color rgb="FF5D3446"/>
        <rFont val="Calibri"/>
        <family val="2"/>
      </rPr>
      <t>i</t>
    </r>
    <r>
      <rPr>
        <sz val="10"/>
        <color rgb="FF3D3A44"/>
        <rFont val="Calibri"/>
        <family val="2"/>
      </rPr>
      <t>d</t>
    </r>
    <r>
      <rPr>
        <sz val="10"/>
        <color rgb="FF2A282A"/>
        <rFont val="Calibri"/>
        <family val="2"/>
      </rPr>
      <t>a</t>
    </r>
    <r>
      <rPr>
        <sz val="10"/>
        <color rgb="FF3D3A44"/>
        <rFont val="Calibri"/>
        <family val="2"/>
      </rPr>
      <t>s</t>
    </r>
  </si>
  <si>
    <r>
      <rPr>
        <sz val="11"/>
        <color rgb="FF575262"/>
        <rFont val="Arial"/>
        <family val="2"/>
      </rPr>
      <t>(%)</t>
    </r>
  </si>
  <si>
    <r>
      <rPr>
        <sz val="11"/>
        <color rgb="FF575262"/>
        <rFont val="Arial"/>
        <family val="2"/>
      </rPr>
      <t>(</t>
    </r>
    <r>
      <rPr>
        <sz val="11"/>
        <color rgb="FF3D3A44"/>
        <rFont val="Arial"/>
        <family val="2"/>
      </rPr>
      <t>k</t>
    </r>
    <r>
      <rPr>
        <sz val="11"/>
        <color rgb="FF2A282A"/>
        <rFont val="Arial"/>
        <family val="2"/>
      </rPr>
      <t>m</t>
    </r>
    <r>
      <rPr>
        <sz val="11"/>
        <color rgb="FF575262"/>
        <rFont val="Arial"/>
        <family val="2"/>
      </rPr>
      <t>)</t>
    </r>
  </si>
  <si>
    <r>
      <rPr>
        <sz val="11"/>
        <color rgb="FF72697C"/>
        <rFont val="Times New Roman"/>
        <family val="1"/>
      </rPr>
      <t xml:space="preserve">&lt; </t>
    </r>
    <r>
      <rPr>
        <sz val="11"/>
        <color rgb="FF575262"/>
        <rFont val="Times New Roman"/>
        <family val="1"/>
      </rPr>
      <t>4</t>
    </r>
  </si>
  <si>
    <r>
      <rPr>
        <sz val="11"/>
        <color rgb="FF575262"/>
        <rFont val="Arial"/>
        <family val="2"/>
      </rPr>
      <t>Q</t>
    </r>
    <r>
      <rPr>
        <sz val="11"/>
        <color rgb="FF72697C"/>
        <rFont val="Arial"/>
        <family val="2"/>
      </rPr>
      <t>u</t>
    </r>
    <r>
      <rPr>
        <sz val="11"/>
        <color rgb="FF575262"/>
        <rFont val="Arial"/>
        <family val="2"/>
      </rPr>
      <t>a</t>
    </r>
    <r>
      <rPr>
        <sz val="11"/>
        <color rgb="FF3D3A44"/>
        <rFont val="Arial"/>
        <family val="2"/>
      </rPr>
      <t>l</t>
    </r>
    <r>
      <rPr>
        <sz val="11"/>
        <color rgb="FF575262"/>
        <rFont val="Arial"/>
        <family val="2"/>
      </rPr>
      <t>q</t>
    </r>
    <r>
      <rPr>
        <sz val="11"/>
        <color rgb="FF72697C"/>
        <rFont val="Arial"/>
        <family val="2"/>
      </rPr>
      <t>u</t>
    </r>
    <r>
      <rPr>
        <sz val="11"/>
        <color rgb="FF575262"/>
        <rFont val="Arial"/>
        <family val="2"/>
      </rPr>
      <t>e</t>
    </r>
    <r>
      <rPr>
        <sz val="11"/>
        <color rgb="FF3D3A44"/>
        <rFont val="Arial"/>
        <family val="2"/>
      </rPr>
      <t>r</t>
    </r>
  </si>
  <si>
    <r>
      <rPr>
        <sz val="11"/>
        <color rgb="FF575262"/>
        <rFont val="Times New Roman"/>
        <family val="1"/>
      </rPr>
      <t xml:space="preserve">4 </t>
    </r>
    <r>
      <rPr>
        <sz val="11"/>
        <color rgb="FF3D3A44"/>
        <rFont val="Times New Roman"/>
        <family val="1"/>
      </rPr>
      <t xml:space="preserve">- </t>
    </r>
    <r>
      <rPr>
        <sz val="11"/>
        <color rgb="FF575262"/>
        <rFont val="Times New Roman"/>
        <family val="1"/>
      </rPr>
      <t>5</t>
    </r>
  </si>
  <si>
    <r>
      <rPr>
        <sz val="11"/>
        <color rgb="FF72697C"/>
        <rFont val="Times New Roman"/>
        <family val="1"/>
      </rPr>
      <t xml:space="preserve">:::: </t>
    </r>
    <r>
      <rPr>
        <sz val="11"/>
        <color rgb="FF575262"/>
        <rFont val="Times New Roman"/>
        <family val="1"/>
      </rPr>
      <t>6</t>
    </r>
    <r>
      <rPr>
        <sz val="11"/>
        <color rgb="FF72697C"/>
        <rFont val="Times New Roman"/>
        <family val="1"/>
      </rPr>
      <t>,</t>
    </r>
    <r>
      <rPr>
        <sz val="11"/>
        <color rgb="FF575262"/>
        <rFont val="Times New Roman"/>
        <family val="1"/>
      </rPr>
      <t>4</t>
    </r>
  </si>
  <si>
    <r>
      <rPr>
        <sz val="11"/>
        <color rgb="FF797C90"/>
        <rFont val="Times New Roman"/>
        <family val="1"/>
      </rPr>
      <t xml:space="preserve">&gt; </t>
    </r>
    <r>
      <rPr>
        <sz val="11"/>
        <color rgb="FF575262"/>
        <rFont val="Times New Roman"/>
        <family val="1"/>
      </rPr>
      <t>6</t>
    </r>
    <r>
      <rPr>
        <sz val="11"/>
        <color rgb="FF72697C"/>
        <rFont val="Times New Roman"/>
        <family val="1"/>
      </rPr>
      <t>,</t>
    </r>
    <r>
      <rPr>
        <sz val="11"/>
        <color rgb="FF575262"/>
        <rFont val="Times New Roman"/>
        <family val="1"/>
      </rPr>
      <t>4</t>
    </r>
  </si>
  <si>
    <r>
      <rPr>
        <sz val="11"/>
        <color rgb="FF72697C"/>
        <rFont val="Times New Roman"/>
        <family val="1"/>
      </rPr>
      <t xml:space="preserve">&gt; </t>
    </r>
    <r>
      <rPr>
        <sz val="11"/>
        <color rgb="FF575262"/>
        <rFont val="Times New Roman"/>
        <family val="1"/>
      </rPr>
      <t xml:space="preserve">5 </t>
    </r>
    <r>
      <rPr>
        <sz val="11"/>
        <color rgb="FF524438"/>
        <rFont val="Times New Roman"/>
        <family val="1"/>
      </rPr>
      <t xml:space="preserve">- </t>
    </r>
    <r>
      <rPr>
        <sz val="11"/>
        <color rgb="FF575262"/>
        <rFont val="Times New Roman"/>
        <family val="1"/>
      </rPr>
      <t>6</t>
    </r>
  </si>
  <si>
    <r>
      <rPr>
        <sz val="11"/>
        <color rgb="FF797C90"/>
        <rFont val="Times New Roman"/>
        <family val="1"/>
      </rPr>
      <t xml:space="preserve">&gt; </t>
    </r>
    <r>
      <rPr>
        <sz val="11"/>
        <color rgb="FF575262"/>
        <rFont val="Times New Roman"/>
        <family val="1"/>
      </rPr>
      <t xml:space="preserve">5 </t>
    </r>
    <r>
      <rPr>
        <sz val="11"/>
        <color rgb="FF3D3A44"/>
        <rFont val="Times New Roman"/>
        <family val="1"/>
      </rPr>
      <t xml:space="preserve">- </t>
    </r>
    <r>
      <rPr>
        <sz val="11"/>
        <color rgb="FF575262"/>
        <rFont val="Times New Roman"/>
        <family val="1"/>
      </rPr>
      <t>6</t>
    </r>
  </si>
  <si>
    <r>
      <rPr>
        <sz val="11"/>
        <color rgb="FF72697C"/>
        <rFont val="Times New Roman"/>
        <family val="1"/>
      </rPr>
      <t>&gt; 6</t>
    </r>
  </si>
  <si>
    <r>
      <rPr>
        <sz val="10"/>
        <color rgb="FF3D3842"/>
        <rFont val="Calibri"/>
        <family val="2"/>
      </rPr>
      <t xml:space="preserve">Tabela 77 </t>
    </r>
    <r>
      <rPr>
        <sz val="10"/>
        <color rgb="FF282828"/>
        <rFont val="Calibri"/>
        <family val="2"/>
      </rPr>
      <t xml:space="preserve">. </t>
    </r>
    <r>
      <rPr>
        <sz val="10"/>
        <color rgb="FF3D3842"/>
        <rFont val="Calibri"/>
        <family val="2"/>
      </rPr>
      <t>Critér</t>
    </r>
    <r>
      <rPr>
        <sz val="10"/>
        <color rgb="FF623149"/>
        <rFont val="Calibri"/>
        <family val="2"/>
      </rPr>
      <t>i</t>
    </r>
    <r>
      <rPr>
        <sz val="10"/>
        <color rgb="FF3D3842"/>
        <rFont val="Calibri"/>
        <family val="2"/>
      </rPr>
      <t>os para determinação dos n</t>
    </r>
    <r>
      <rPr>
        <sz val="10"/>
        <color rgb="FF424667"/>
        <rFont val="Calibri"/>
        <family val="2"/>
      </rPr>
      <t>í</t>
    </r>
    <r>
      <rPr>
        <sz val="10"/>
        <color rgb="FF3D3842"/>
        <rFont val="Calibri"/>
        <family val="2"/>
      </rPr>
      <t>ve</t>
    </r>
    <r>
      <rPr>
        <sz val="10"/>
        <color rgb="FF424667"/>
        <rFont val="Calibri"/>
        <family val="2"/>
      </rPr>
      <t>i</t>
    </r>
    <r>
      <rPr>
        <sz val="10"/>
        <color rgb="FF3D3842"/>
        <rFont val="Calibri"/>
        <family val="2"/>
      </rPr>
      <t>s de serv</t>
    </r>
    <r>
      <rPr>
        <sz val="10"/>
        <color rgb="FF623149"/>
        <rFont val="Calibri"/>
        <family val="2"/>
      </rPr>
      <t>i</t>
    </r>
    <r>
      <rPr>
        <sz val="10"/>
        <color rgb="FF3D3842"/>
        <rFont val="Calibri"/>
        <family val="2"/>
      </rPr>
      <t>ço</t>
    </r>
  </si>
  <si>
    <r>
      <rPr>
        <sz val="10"/>
        <color rgb="FF3D3842"/>
        <rFont val="Calibri"/>
        <family val="2"/>
      </rPr>
      <t xml:space="preserve">Velocidade de </t>
    </r>
    <r>
      <rPr>
        <sz val="10"/>
        <color rgb="FF424667"/>
        <rFont val="Calibri"/>
        <family val="2"/>
      </rPr>
      <t>fl</t>
    </r>
    <r>
      <rPr>
        <sz val="10"/>
        <color rgb="FF3D3842"/>
        <rFont val="Calibri"/>
        <family val="2"/>
      </rPr>
      <t>uxo livre</t>
    </r>
  </si>
  <si>
    <r>
      <rPr>
        <sz val="10"/>
        <color rgb="FF3D3842"/>
        <rFont val="Calibri"/>
        <family val="2"/>
      </rPr>
      <t>Critérios</t>
    </r>
  </si>
  <si>
    <r>
      <rPr>
        <sz val="10"/>
        <color rgb="FF3D3842"/>
        <rFont val="Calibri"/>
        <family val="2"/>
      </rPr>
      <t>Níve</t>
    </r>
    <r>
      <rPr>
        <sz val="10"/>
        <color rgb="FF424667"/>
        <rFont val="Calibri"/>
        <family val="2"/>
      </rPr>
      <t>i</t>
    </r>
    <r>
      <rPr>
        <sz val="10"/>
        <color rgb="FF3D3842"/>
        <rFont val="Calibri"/>
        <family val="2"/>
      </rPr>
      <t>s de serviço</t>
    </r>
  </si>
  <si>
    <r>
      <rPr>
        <sz val="10"/>
        <color rgb="FF3D3842"/>
        <rFont val="Calibri"/>
        <family val="2"/>
      </rPr>
      <t>em rodov</t>
    </r>
    <r>
      <rPr>
        <sz val="10"/>
        <color rgb="FF623149"/>
        <rFont val="Calibri"/>
        <family val="2"/>
      </rPr>
      <t>i</t>
    </r>
    <r>
      <rPr>
        <sz val="10"/>
        <color rgb="FF3D3842"/>
        <rFont val="Calibri"/>
        <family val="2"/>
      </rPr>
      <t>as com quatro ou ma</t>
    </r>
    <r>
      <rPr>
        <sz val="10"/>
        <color rgb="FF424667"/>
        <rFont val="Calibri"/>
        <family val="2"/>
      </rPr>
      <t>i</t>
    </r>
    <r>
      <rPr>
        <sz val="10"/>
        <color rgb="FF3D3842"/>
        <rFont val="Calibri"/>
        <family val="2"/>
      </rPr>
      <t>s fa</t>
    </r>
    <r>
      <rPr>
        <sz val="10"/>
        <color rgb="FF623149"/>
        <rFont val="Calibri"/>
        <family val="2"/>
      </rPr>
      <t>i</t>
    </r>
    <r>
      <rPr>
        <sz val="10"/>
        <color rgb="FF3D3842"/>
        <rFont val="Calibri"/>
        <family val="2"/>
      </rPr>
      <t xml:space="preserve">xas de </t>
    </r>
    <r>
      <rPr>
        <sz val="10"/>
        <color rgb="FF424667"/>
        <rFont val="Calibri"/>
        <family val="2"/>
      </rPr>
      <t>t</t>
    </r>
    <r>
      <rPr>
        <sz val="10"/>
        <color rgb="FF3D3842"/>
        <rFont val="Calibri"/>
        <family val="2"/>
      </rPr>
      <t>ráfego</t>
    </r>
  </si>
  <si>
    <r>
      <rPr>
        <sz val="10"/>
        <color rgb="FF3D3842"/>
        <rFont val="Calibri"/>
        <family val="2"/>
      </rPr>
      <t>A</t>
    </r>
  </si>
  <si>
    <r>
      <rPr>
        <sz val="10"/>
        <color rgb="FF3D3842"/>
        <rFont val="Calibri"/>
        <family val="2"/>
      </rPr>
      <t>B</t>
    </r>
  </si>
  <si>
    <r>
      <rPr>
        <sz val="10"/>
        <color rgb="FF3D3842"/>
        <rFont val="Calibri"/>
        <family val="2"/>
      </rPr>
      <t>D</t>
    </r>
  </si>
  <si>
    <r>
      <rPr>
        <sz val="10"/>
        <color rgb="FF282828"/>
        <rFont val="Calibri"/>
        <family val="2"/>
      </rPr>
      <t>E</t>
    </r>
  </si>
  <si>
    <r>
      <rPr>
        <sz val="10"/>
        <color rgb="FF707789"/>
        <rFont val="Calibri"/>
        <family val="2"/>
      </rPr>
      <t>1</t>
    </r>
    <r>
      <rPr>
        <sz val="10"/>
        <color rgb="FF424667"/>
        <rFont val="Calibri"/>
        <family val="2"/>
      </rPr>
      <t>0</t>
    </r>
    <r>
      <rPr>
        <sz val="10"/>
        <color rgb="FF696272"/>
        <rFont val="Calibri"/>
        <family val="2"/>
      </rPr>
      <t>0 km/h</t>
    </r>
  </si>
  <si>
    <r>
      <rPr>
        <sz val="10"/>
        <color rgb="FF575060"/>
        <rFont val="Calibri"/>
        <family val="2"/>
      </rPr>
      <t>Dens</t>
    </r>
    <r>
      <rPr>
        <sz val="10"/>
        <color rgb="FF623149"/>
        <rFont val="Calibri"/>
        <family val="2"/>
      </rPr>
      <t>i</t>
    </r>
    <r>
      <rPr>
        <sz val="10"/>
        <color rgb="FF575060"/>
        <rFont val="Calibri"/>
        <family val="2"/>
      </rPr>
      <t>dade Máx</t>
    </r>
    <r>
      <rPr>
        <sz val="10"/>
        <color rgb="FF3A4487"/>
        <rFont val="Calibri"/>
        <family val="2"/>
      </rPr>
      <t>i</t>
    </r>
    <r>
      <rPr>
        <sz val="10"/>
        <color rgb="FF575060"/>
        <rFont val="Calibri"/>
        <family val="2"/>
      </rPr>
      <t xml:space="preserve">ma </t>
    </r>
    <r>
      <rPr>
        <sz val="10"/>
        <color rgb="FF696272"/>
        <rFont val="Calibri"/>
        <family val="2"/>
      </rPr>
      <t>(ucp/</t>
    </r>
    <r>
      <rPr>
        <sz val="10"/>
        <color rgb="FF3D3842"/>
        <rFont val="Calibri"/>
        <family val="2"/>
      </rPr>
      <t>k</t>
    </r>
    <r>
      <rPr>
        <sz val="10"/>
        <color rgb="FF575060"/>
        <rFont val="Calibri"/>
        <family val="2"/>
      </rPr>
      <t>mlfa</t>
    </r>
    <r>
      <rPr>
        <sz val="10"/>
        <color rgb="FF3A4487"/>
        <rFont val="Calibri"/>
        <family val="2"/>
      </rPr>
      <t>i</t>
    </r>
    <r>
      <rPr>
        <sz val="10"/>
        <color rgb="FF575060"/>
        <rFont val="Calibri"/>
        <family val="2"/>
      </rPr>
      <t>xa)</t>
    </r>
  </si>
  <si>
    <r>
      <rPr>
        <sz val="10"/>
        <color rgb="FF696272"/>
        <rFont val="Calibri"/>
        <family val="2"/>
      </rPr>
      <t xml:space="preserve">Velocidade </t>
    </r>
    <r>
      <rPr>
        <sz val="10"/>
        <color rgb="FF575060"/>
        <rFont val="Calibri"/>
        <family val="2"/>
      </rPr>
      <t>Méd</t>
    </r>
    <r>
      <rPr>
        <sz val="10"/>
        <color rgb="FF3A4487"/>
        <rFont val="Calibri"/>
        <family val="2"/>
      </rPr>
      <t>i</t>
    </r>
    <r>
      <rPr>
        <sz val="10"/>
        <color rgb="FF696272"/>
        <rFont val="Calibri"/>
        <family val="2"/>
      </rPr>
      <t>a (km/h)</t>
    </r>
  </si>
  <si>
    <t>Velocidade Média (volume/capac.)</t>
  </si>
  <si>
    <r>
      <rPr>
        <sz val="10"/>
        <color rgb="FF575060"/>
        <rFont val="Calibri"/>
        <family val="2"/>
      </rPr>
      <t>Fluxo Máx</t>
    </r>
    <r>
      <rPr>
        <sz val="10"/>
        <color rgb="FF707789"/>
        <rFont val="Calibri"/>
        <family val="2"/>
      </rPr>
      <t>i</t>
    </r>
    <r>
      <rPr>
        <sz val="10"/>
        <color rgb="FF575060"/>
        <rFont val="Calibri"/>
        <family val="2"/>
      </rPr>
      <t xml:space="preserve">mo </t>
    </r>
    <r>
      <rPr>
        <sz val="10"/>
        <color rgb="FF696272"/>
        <rFont val="Calibri"/>
        <family val="2"/>
      </rPr>
      <t>(ucp/h/fa</t>
    </r>
    <r>
      <rPr>
        <sz val="10"/>
        <color rgb="FF623149"/>
        <rFont val="Calibri"/>
        <family val="2"/>
      </rPr>
      <t>i</t>
    </r>
    <r>
      <rPr>
        <sz val="10"/>
        <color rgb="FF575060"/>
        <rFont val="Calibri"/>
        <family val="2"/>
      </rPr>
      <t>xa)</t>
    </r>
  </si>
  <si>
    <r>
      <rPr>
        <sz val="10"/>
        <color rgb="FF575060"/>
        <rFont val="Calibri"/>
        <family val="2"/>
      </rPr>
      <t>90 km/h</t>
    </r>
  </si>
  <si>
    <r>
      <rPr>
        <sz val="10"/>
        <color rgb="FF575060"/>
        <rFont val="Calibri"/>
        <family val="2"/>
      </rPr>
      <t>Dens</t>
    </r>
    <r>
      <rPr>
        <sz val="10"/>
        <color rgb="FF623149"/>
        <rFont val="Calibri"/>
        <family val="2"/>
      </rPr>
      <t>i</t>
    </r>
    <r>
      <rPr>
        <sz val="10"/>
        <color rgb="FF575060"/>
        <rFont val="Calibri"/>
        <family val="2"/>
      </rPr>
      <t>dade Máx</t>
    </r>
    <r>
      <rPr>
        <sz val="10"/>
        <color rgb="FF3A4487"/>
        <rFont val="Calibri"/>
        <family val="2"/>
      </rPr>
      <t>i</t>
    </r>
    <r>
      <rPr>
        <sz val="10"/>
        <color rgb="FF696272"/>
        <rFont val="Calibri"/>
        <family val="2"/>
      </rPr>
      <t>ma (ucp/</t>
    </r>
    <r>
      <rPr>
        <sz val="10"/>
        <color rgb="FF3D3842"/>
        <rFont val="Calibri"/>
        <family val="2"/>
      </rPr>
      <t>k</t>
    </r>
    <r>
      <rPr>
        <sz val="10"/>
        <color rgb="FF696272"/>
        <rFont val="Calibri"/>
        <family val="2"/>
      </rPr>
      <t>mlfa</t>
    </r>
    <r>
      <rPr>
        <sz val="10"/>
        <color rgb="FF3A4487"/>
        <rFont val="Calibri"/>
        <family val="2"/>
      </rPr>
      <t>i</t>
    </r>
    <r>
      <rPr>
        <sz val="10"/>
        <color rgb="FF575060"/>
        <rFont val="Calibri"/>
        <family val="2"/>
      </rPr>
      <t>xa)</t>
    </r>
  </si>
  <si>
    <r>
      <rPr>
        <sz val="10"/>
        <color rgb="FF575060"/>
        <rFont val="Calibri"/>
        <family val="2"/>
      </rPr>
      <t>Razão máx</t>
    </r>
    <r>
      <rPr>
        <sz val="10"/>
        <color rgb="FF707789"/>
        <rFont val="Calibri"/>
        <family val="2"/>
      </rPr>
      <t>ima</t>
    </r>
  </si>
  <si>
    <r>
      <rPr>
        <sz val="10"/>
        <color rgb="FF696272"/>
        <rFont val="Calibri"/>
        <family val="2"/>
      </rPr>
      <t xml:space="preserve">Volume </t>
    </r>
    <r>
      <rPr>
        <sz val="10"/>
        <color rgb="FF707789"/>
        <rFont val="Calibri"/>
        <family val="2"/>
      </rPr>
      <t>/Ga</t>
    </r>
    <r>
      <rPr>
        <sz val="10"/>
        <color rgb="FF575060"/>
        <rFont val="Calibri"/>
        <family val="2"/>
      </rPr>
      <t>pac</t>
    </r>
    <r>
      <rPr>
        <sz val="10"/>
        <color rgb="FF623149"/>
        <rFont val="Calibri"/>
        <family val="2"/>
      </rPr>
      <t>i</t>
    </r>
    <r>
      <rPr>
        <sz val="10"/>
        <color rgb="FF575060"/>
        <rFont val="Calibri"/>
        <family val="2"/>
      </rPr>
      <t xml:space="preserve">dade </t>
    </r>
    <r>
      <rPr>
        <sz val="10"/>
        <color rgb="FF696272"/>
        <rFont val="Calibri"/>
        <family val="2"/>
      </rPr>
      <t>(/e)</t>
    </r>
  </si>
  <si>
    <r>
      <rPr>
        <sz val="10"/>
        <color rgb="FF575060"/>
        <rFont val="Calibri"/>
        <family val="2"/>
      </rPr>
      <t>Fluxo máx</t>
    </r>
    <r>
      <rPr>
        <sz val="10"/>
        <color rgb="FF707789"/>
        <rFont val="Calibri"/>
        <family val="2"/>
      </rPr>
      <t>i</t>
    </r>
    <r>
      <rPr>
        <sz val="10"/>
        <color rgb="FF575060"/>
        <rFont val="Calibri"/>
        <family val="2"/>
      </rPr>
      <t xml:space="preserve">mo </t>
    </r>
    <r>
      <rPr>
        <sz val="10"/>
        <color rgb="FF696272"/>
        <rFont val="Calibri"/>
        <family val="2"/>
      </rPr>
      <t>(ucp/h/fa</t>
    </r>
    <r>
      <rPr>
        <sz val="10"/>
        <color rgb="FF623149"/>
        <rFont val="Calibri"/>
        <family val="2"/>
      </rPr>
      <t>i</t>
    </r>
    <r>
      <rPr>
        <sz val="10"/>
        <color rgb="FF575060"/>
        <rFont val="Calibri"/>
        <family val="2"/>
      </rPr>
      <t>xa)</t>
    </r>
  </si>
  <si>
    <r>
      <rPr>
        <sz val="10"/>
        <color rgb="FF575060"/>
        <rFont val="Calibri"/>
        <family val="2"/>
      </rPr>
      <t>80 km/h</t>
    </r>
  </si>
  <si>
    <r>
      <rPr>
        <sz val="10"/>
        <color rgb="FF575060"/>
        <rFont val="Calibri"/>
        <family val="2"/>
      </rPr>
      <t>Razão máx</t>
    </r>
    <r>
      <rPr>
        <sz val="10"/>
        <color rgb="FF707789"/>
        <rFont val="Calibri"/>
        <family val="2"/>
      </rPr>
      <t>i</t>
    </r>
    <r>
      <rPr>
        <sz val="10"/>
        <color rgb="FF575060"/>
        <rFont val="Calibri"/>
        <family val="2"/>
      </rPr>
      <t>ma</t>
    </r>
  </si>
  <si>
    <r>
      <rPr>
        <sz val="10"/>
        <color rgb="FF696272"/>
        <rFont val="Calibri"/>
        <family val="2"/>
      </rPr>
      <t xml:space="preserve">Volume </t>
    </r>
    <r>
      <rPr>
        <sz val="10"/>
        <color rgb="FF707789"/>
        <rFont val="Calibri"/>
        <family val="2"/>
      </rPr>
      <t>/Ga</t>
    </r>
    <r>
      <rPr>
        <sz val="10"/>
        <color rgb="FF575060"/>
        <rFont val="Calibri"/>
        <family val="2"/>
      </rPr>
      <t>pac</t>
    </r>
    <r>
      <rPr>
        <sz val="10"/>
        <color rgb="FF623149"/>
        <rFont val="Calibri"/>
        <family val="2"/>
      </rPr>
      <t>i</t>
    </r>
    <r>
      <rPr>
        <sz val="10"/>
        <color rgb="FF575060"/>
        <rFont val="Calibri"/>
        <family val="2"/>
      </rPr>
      <t xml:space="preserve">dade </t>
    </r>
    <r>
      <rPr>
        <sz val="10"/>
        <color rgb="FF696272"/>
        <rFont val="Calibri"/>
        <family val="2"/>
      </rPr>
      <t>(/c)</t>
    </r>
  </si>
  <si>
    <r>
      <rPr>
        <sz val="10"/>
        <color rgb="FF575060"/>
        <rFont val="Calibri"/>
        <family val="2"/>
      </rPr>
      <t>70km/h</t>
    </r>
  </si>
  <si>
    <t>fLW</t>
  </si>
  <si>
    <t>Lcr</t>
  </si>
  <si>
    <t>Lcl</t>
  </si>
  <si>
    <t>Espaço livre lateral</t>
  </si>
  <si>
    <t>Lado direito:</t>
  </si>
  <si>
    <t>Com acostamento</t>
  </si>
  <si>
    <t>Sem acostamento</t>
  </si>
  <si>
    <t>Lado esq:</t>
  </si>
  <si>
    <t>Barreira</t>
  </si>
  <si>
    <t>Sinalização horizontal</t>
  </si>
  <si>
    <t>fLC</t>
  </si>
  <si>
    <t>fM</t>
  </si>
  <si>
    <t>fA2</t>
  </si>
  <si>
    <t>FFS2</t>
  </si>
  <si>
    <t>Et2</t>
  </si>
  <si>
    <t>fHV</t>
  </si>
  <si>
    <t>vp</t>
  </si>
  <si>
    <t>LOS_vp</t>
  </si>
  <si>
    <t>LOS_vp2</t>
  </si>
  <si>
    <t>LOS_D</t>
  </si>
  <si>
    <t>LOS_D2</t>
  </si>
  <si>
    <t>Sentido</t>
  </si>
  <si>
    <t>Norte</t>
  </si>
  <si>
    <t>ml LOS</t>
  </si>
  <si>
    <t>Ondulado</t>
  </si>
  <si>
    <t>Colunas1</t>
  </si>
  <si>
    <t>passeio'</t>
  </si>
  <si>
    <t>pesado'</t>
  </si>
  <si>
    <t>CÁLCULO LOS</t>
  </si>
  <si>
    <t>fd/np para 60/40</t>
  </si>
  <si>
    <t>BFFS - Pista Simples</t>
  </si>
  <si>
    <t>unidade</t>
  </si>
  <si>
    <t>km/h</t>
  </si>
  <si>
    <t>z</t>
  </si>
  <si>
    <t>Dupla</t>
  </si>
  <si>
    <t>Num. Faixas Marg.</t>
  </si>
  <si>
    <t>Largura Marg.</t>
  </si>
  <si>
    <t>Novo Id</t>
  </si>
  <si>
    <t>-d</t>
  </si>
  <si>
    <t>-b</t>
  </si>
  <si>
    <t>/c*(FFS)</t>
  </si>
  <si>
    <t>Vzão</t>
  </si>
  <si>
    <t>distribuição direcional</t>
  </si>
  <si>
    <t>%</t>
  </si>
  <si>
    <t>% de zonas sem ultrapassagem</t>
  </si>
  <si>
    <t>qq</t>
  </si>
  <si>
    <t>(%)</t>
  </si>
  <si>
    <t>(km)</t>
  </si>
  <si>
    <t>km</t>
  </si>
  <si>
    <t xml:space="preserve">&gt; 1.6 </t>
  </si>
  <si>
    <t>&gt; 0.5 - 0.8</t>
  </si>
  <si>
    <t>&gt; 0.4 - 0.5</t>
  </si>
  <si>
    <t>&gt; 1.6</t>
  </si>
  <si>
    <t>BFFS - Dupla</t>
  </si>
  <si>
    <t>Urbano</t>
  </si>
  <si>
    <t>Er</t>
  </si>
  <si>
    <t>PRv</t>
  </si>
  <si>
    <t>Er time</t>
  </si>
  <si>
    <t>v_c</t>
  </si>
  <si>
    <t>Rv</t>
  </si>
  <si>
    <t>Grade</t>
  </si>
  <si>
    <t>zona</t>
  </si>
  <si>
    <t>Er2</t>
  </si>
  <si>
    <t>fatK</t>
  </si>
  <si>
    <t>Inputs</t>
  </si>
  <si>
    <t>min</t>
  </si>
  <si>
    <t>max</t>
  </si>
  <si>
    <t>Result</t>
  </si>
  <si>
    <t>Z</t>
  </si>
  <si>
    <t>x</t>
  </si>
  <si>
    <t>Unity</t>
  </si>
  <si>
    <t>f(x,y)</t>
  </si>
  <si>
    <t>X\Y</t>
  </si>
  <si>
    <t>y</t>
  </si>
  <si>
    <t xml:space="preserve">Values </t>
  </si>
  <si>
    <t>index</t>
  </si>
  <si>
    <t>x1</t>
  </si>
  <si>
    <t>x2</t>
  </si>
  <si>
    <t>y1</t>
  </si>
  <si>
    <t>y2</t>
  </si>
  <si>
    <t>f(x1,y1)</t>
  </si>
  <si>
    <t>f(x1,y2)</t>
  </si>
  <si>
    <t>f(x2,y1)</t>
  </si>
  <si>
    <t>f(x2,y2)</t>
  </si>
  <si>
    <t>Solver</t>
  </si>
  <si>
    <t>a0</t>
  </si>
  <si>
    <t>^-1</t>
  </si>
  <si>
    <t>a1</t>
  </si>
  <si>
    <t>a2</t>
  </si>
  <si>
    <t>=</t>
  </si>
  <si>
    <t>*</t>
  </si>
  <si>
    <t>a3</t>
  </si>
  <si>
    <t>xy</t>
  </si>
  <si>
    <t>Theory</t>
  </si>
  <si>
    <t>fnp Interpolation</t>
  </si>
  <si>
    <t>inputs</t>
  </si>
  <si>
    <t>output</t>
  </si>
  <si>
    <t>fnp'</t>
  </si>
  <si>
    <t>Tabela24[fnp'']</t>
  </si>
  <si>
    <t>X</t>
  </si>
  <si>
    <t>Y</t>
  </si>
  <si>
    <t>Table</t>
  </si>
  <si>
    <t>Tabela24[[X]:[Table]]</t>
  </si>
  <si>
    <t>T</t>
  </si>
  <si>
    <t>t=f(x,y,z)</t>
  </si>
  <si>
    <t>z1</t>
  </si>
  <si>
    <t>z2</t>
  </si>
  <si>
    <t>f_111</t>
  </si>
  <si>
    <t>f_211</t>
  </si>
  <si>
    <t>f_121</t>
  </si>
  <si>
    <t>f_221</t>
  </si>
  <si>
    <t>f_112</t>
  </si>
  <si>
    <t>f_212</t>
  </si>
  <si>
    <t>f_122</t>
  </si>
  <si>
    <t>f_222</t>
  </si>
  <si>
    <t>a4</t>
  </si>
  <si>
    <t>a5</t>
  </si>
  <si>
    <t>a6</t>
  </si>
  <si>
    <t>a7</t>
  </si>
  <si>
    <t>xz</t>
  </si>
  <si>
    <t>yz</t>
  </si>
  <si>
    <t>xyz</t>
  </si>
  <si>
    <t>X'</t>
  </si>
  <si>
    <t>Y'</t>
  </si>
  <si>
    <t>Z'</t>
  </si>
  <si>
    <t>Table'</t>
  </si>
  <si>
    <t>fd/np'</t>
  </si>
  <si>
    <t>fd/np Interpolation</t>
  </si>
  <si>
    <t>Tabela24[[X'']:[Table'']]</t>
  </si>
  <si>
    <t>Tabela24[fd/np'']</t>
  </si>
  <si>
    <t>class?</t>
  </si>
  <si>
    <t>verifica se a classe escolhida para fg está correta</t>
  </si>
  <si>
    <t>interpolação</t>
  </si>
  <si>
    <t>V_vph</t>
  </si>
  <si>
    <r>
      <t xml:space="preserve">terreno
</t>
    </r>
    <r>
      <rPr>
        <b/>
        <sz val="10"/>
        <rFont val="Calibri"/>
        <family val="2"/>
      </rPr>
      <t>ondulado</t>
    </r>
  </si>
  <si>
    <t>Multi-lane highway, specific upgrade (HCM Cap. 21)</t>
  </si>
  <si>
    <t>Multi-lane highway, specific downgrade (HCM Cap. 21)</t>
  </si>
  <si>
    <t>by</t>
  </si>
  <si>
    <t>cr</t>
  </si>
  <si>
    <t>Exhibit 21-10</t>
  </si>
  <si>
    <t>0.0 - 0.8</t>
  </si>
  <si>
    <t>&gt; 0.8</t>
  </si>
  <si>
    <t>&gt; 5</t>
  </si>
  <si>
    <t>SE(P620&lt;5;CORRESP(P621;'HCM2000'!$D$613:$D$618;1);CORRESP(P621;'HCM2000'!$D$631:$D$636;1))-1</t>
  </si>
  <si>
    <t>(CORRESP(P620;'HCM2000'!$C$613:$C$642;1)-5)</t>
  </si>
  <si>
    <t>Ex 21-9 Pt &gt;</t>
  </si>
  <si>
    <t>Ex 21-9 Pt &lt;</t>
  </si>
  <si>
    <t>ext</t>
  </si>
  <si>
    <t>Para PT&lt;</t>
  </si>
  <si>
    <t>Para PT&gt;</t>
  </si>
  <si>
    <t>ETsu</t>
  </si>
  <si>
    <t>ERsu</t>
  </si>
  <si>
    <t>fHVsu</t>
  </si>
  <si>
    <t>vpsu</t>
  </si>
  <si>
    <t>Dsu</t>
  </si>
  <si>
    <t>Ssu</t>
  </si>
  <si>
    <t>LOS_vp3</t>
  </si>
  <si>
    <t>LOS_vp4</t>
  </si>
  <si>
    <t>LOS_D3</t>
  </si>
  <si>
    <t>LOS_D4</t>
  </si>
  <si>
    <t>mlsu LOS</t>
  </si>
  <si>
    <t>HCM2000_Exhibit_20-20_fnp_PTSF</t>
  </si>
  <si>
    <t>V0</t>
  </si>
  <si>
    <t>No Passing.</t>
  </si>
  <si>
    <t>HCM2000_Exhibit_20-19_fnp_ATS</t>
  </si>
  <si>
    <t>HCM2000_Exhibit_20-13_fg_ATS</t>
  </si>
  <si>
    <t>HCM2000_Exhibit_20-14_fg_PTSF</t>
  </si>
  <si>
    <t>Length</t>
  </si>
  <si>
    <t>vd</t>
  </si>
  <si>
    <t>fg</t>
  </si>
  <si>
    <t>HCM2000_Exhibit_20-16_ET&amp;RV_PTSF</t>
  </si>
  <si>
    <t>HCM2000_Exhibit_20-18_ETC_ATS</t>
  </si>
  <si>
    <t>ffs</t>
  </si>
  <si>
    <t>b1</t>
  </si>
  <si>
    <t>b2</t>
  </si>
  <si>
    <t>alpha</t>
  </si>
  <si>
    <t>Opposing Demand Flow Rate, v0 (pc/h)</t>
  </si>
  <si>
    <t>ER</t>
  </si>
  <si>
    <t>Grade [%]</t>
  </si>
  <si>
    <t>Length [km]</t>
  </si>
  <si>
    <t>Access points /km [1]</t>
  </si>
  <si>
    <t>No passing zone [%]</t>
  </si>
  <si>
    <t>Cars [VDMA]</t>
  </si>
  <si>
    <t>Trucks [VDMA]</t>
  </si>
  <si>
    <t>Direction Split [%]</t>
  </si>
  <si>
    <t>VD [veh/h]</t>
  </si>
  <si>
    <t>VO [veh/h]</t>
  </si>
  <si>
    <t>Vd_ATS [pc/h]</t>
  </si>
  <si>
    <t>Vo_ATS [pc/h]</t>
  </si>
  <si>
    <t xml:space="preserve">VDMA to veh/h </t>
  </si>
  <si>
    <t>General calculus</t>
  </si>
  <si>
    <t>fLS [20-5]</t>
  </si>
  <si>
    <t>fA [20-6]</t>
  </si>
  <si>
    <t>Lane width [m]</t>
  </si>
  <si>
    <t xml:space="preserve">Terrain type </t>
  </si>
  <si>
    <t>Spe. Grad.</t>
  </si>
  <si>
    <t>Shoulder width [m]</t>
  </si>
  <si>
    <t>fnp_ATS [20-19]</t>
  </si>
  <si>
    <t>FFSd [km/h]</t>
  </si>
  <si>
    <t>FFS  [km/h]</t>
  </si>
  <si>
    <t>BFFS  [km/h]</t>
  </si>
  <si>
    <t>ATSd  [km/h]</t>
  </si>
  <si>
    <t>Vd_PTSF [pc/h]</t>
  </si>
  <si>
    <t>Vo_PTSF [pc/h]</t>
  </si>
  <si>
    <t>BPTSFd [%]</t>
  </si>
  <si>
    <t>PTSFd [%]</t>
  </si>
  <si>
    <t>PTC [%]</t>
  </si>
  <si>
    <t>PT [%]</t>
  </si>
  <si>
    <t>PR [%]</t>
  </si>
  <si>
    <t>a [20-21]</t>
  </si>
  <si>
    <t>b [20-21]</t>
  </si>
  <si>
    <t>LOS [20-2]</t>
  </si>
  <si>
    <t>ETC_ATS_O [20-18]</t>
  </si>
  <si>
    <t>fHV_ATS_O [(20-14)]</t>
  </si>
  <si>
    <t>ETC_ATS_D [20-18]</t>
  </si>
  <si>
    <t>fHV_ATS_D [(20-14)]</t>
  </si>
  <si>
    <t>fHV_PTSF_O</t>
  </si>
  <si>
    <t>fHV_PTSF_D</t>
  </si>
  <si>
    <t>Truck crawl speed [km/h]</t>
  </si>
  <si>
    <t>FFS - Truck scrawl speed</t>
  </si>
  <si>
    <t>Vo_ATS_' [pc/h]</t>
  </si>
  <si>
    <t>Direction analysed ?</t>
  </si>
  <si>
    <t>up</t>
  </si>
  <si>
    <t>down</t>
  </si>
  <si>
    <t>Vd_ATS_' [pc/h]</t>
  </si>
  <si>
    <t>Vd_ATS_init [pc/h]</t>
  </si>
  <si>
    <t>Vo_ATS_init [pc/h]</t>
  </si>
  <si>
    <t>PTC_D' [%]</t>
  </si>
  <si>
    <t>PTC_O' [%]</t>
  </si>
  <si>
    <t>ET_ATS_O_UP [20-15]</t>
  </si>
  <si>
    <t>ER_ATS_O_UP [20-17]</t>
  </si>
  <si>
    <t>ET_ATS_O_DOWN [20-9]</t>
  </si>
  <si>
    <t>ET_ATS_O</t>
  </si>
  <si>
    <t>ER_ATS_O</t>
  </si>
  <si>
    <t>HCM2000_Exhibit_20-15_Et_ATS_UPGRADE</t>
  </si>
  <si>
    <t>HCM2000_Exhibit_20-17_ER_ATS_UPGRADE</t>
  </si>
  <si>
    <t>level</t>
  </si>
  <si>
    <t>Type of terrain</t>
  </si>
  <si>
    <t>rolling</t>
  </si>
  <si>
    <t>HCM2000_Exhibit_20-9_ER_ATS_DOWNGRADE</t>
  </si>
  <si>
    <t>Volume</t>
  </si>
  <si>
    <t>0 = level /1 = rolling</t>
  </si>
  <si>
    <t>ER_ATS_O_DOWN [20-9]</t>
  </si>
  <si>
    <t>Type Terrain</t>
  </si>
  <si>
    <t>ET_ATS_D</t>
  </si>
  <si>
    <t>ER_ATS_D</t>
  </si>
  <si>
    <t>ET_ATS_D_UP [20-15]</t>
  </si>
  <si>
    <t>ER_ATS_D_UP [20-17]</t>
  </si>
  <si>
    <t>ET_ATS_D_DOWN [20-9]</t>
  </si>
  <si>
    <t>ER_ATS_D_DOWN [20-9]</t>
  </si>
  <si>
    <t>VO</t>
  </si>
  <si>
    <t>Vo_PTSF_' [pc/h]</t>
  </si>
  <si>
    <t>Vo_PTSF_init [pc/h]</t>
  </si>
  <si>
    <t>ET_PTSF_D</t>
  </si>
  <si>
    <t>ET_PTSF_O</t>
  </si>
  <si>
    <t>ER_PTSF_O</t>
  </si>
  <si>
    <t>ET_PTSF_O_UP [20-16]</t>
  </si>
  <si>
    <t>ER_PTSF_O_UP [20-16]</t>
  </si>
  <si>
    <t>HCM2000_Exhibit_20-10_ET_PTSF</t>
  </si>
  <si>
    <t>HCM2000_Exhibit_20-9_ET_ATS</t>
  </si>
  <si>
    <t>Vd_PTSF_' [pc/h]</t>
  </si>
  <si>
    <t>Vd_PTSF_init [pc/h]</t>
  </si>
  <si>
    <t>ER_PTSF_D</t>
  </si>
  <si>
    <t>ET_PTSF_D_UP [20-16]</t>
  </si>
  <si>
    <t>ER_PTSF_D_UP [20-16]</t>
  </si>
  <si>
    <t>ET_PTSF_O_DOWN [20-10]</t>
  </si>
  <si>
    <t>ET_PTSF_D_DOWN [20-10]</t>
  </si>
  <si>
    <t>ER_PTSF_O_DOWN [20-10]</t>
  </si>
  <si>
    <t>ER_PTSF_D_DOWN  [20-10]</t>
  </si>
  <si>
    <t>fnp_PTSF [20-20]</t>
  </si>
  <si>
    <t>HCM2000_Exhibit_20-7_FG_ATS</t>
  </si>
  <si>
    <t>HCM2000_Exhibit_20-8_FG_PTSF</t>
  </si>
  <si>
    <t>FG_PTSF_O</t>
  </si>
  <si>
    <t>fG_PTSF_O_UP [20-14]</t>
  </si>
  <si>
    <t>fG_PTSF_O_DOWN [20-8]</t>
  </si>
  <si>
    <t>fG_PTSF_D_UP [20-14]</t>
  </si>
  <si>
    <t>fG_PTSF_D_DOWN [20-8]</t>
  </si>
  <si>
    <t>FG_PTSF_D</t>
  </si>
  <si>
    <t>fG_ATS_D</t>
  </si>
  <si>
    <t>fG_ATS_O_UP [20-13]</t>
  </si>
  <si>
    <t>fG_ATS_O</t>
  </si>
  <si>
    <t>fG_ATS_O_DOWN [20-7]</t>
  </si>
  <si>
    <t>fG_ATS_D_DOWN [20-7]</t>
  </si>
  <si>
    <t>fG_ATS_D_UP [20-13]</t>
  </si>
  <si>
    <t>vp1'</t>
  </si>
  <si>
    <t>vp3</t>
  </si>
  <si>
    <t>vp1_init</t>
  </si>
  <si>
    <t>Rural</t>
  </si>
  <si>
    <t>...</t>
  </si>
  <si>
    <t>vp2_init</t>
  </si>
  <si>
    <t>vp2'</t>
  </si>
  <si>
    <t>calc</t>
  </si>
  <si>
    <t>hcs</t>
  </si>
  <si>
    <t>calc-hcs</t>
  </si>
  <si>
    <t>eLos_V4</t>
  </si>
  <si>
    <t>eLos_V5</t>
  </si>
  <si>
    <t>PISTA DUPLA 2048</t>
  </si>
  <si>
    <t>Plano</t>
  </si>
  <si>
    <t xml:space="preserve"> </t>
  </si>
  <si>
    <t>Id</t>
  </si>
  <si>
    <t>Declividade</t>
  </si>
  <si>
    <t>Modelo</t>
  </si>
  <si>
    <t>TWO LANE HIGHWAY_SPECIAL GRADE</t>
  </si>
  <si>
    <t>MULTILANE HIGHWAY_SPECIAL GRADE</t>
  </si>
  <si>
    <t>TWO LANE HIGHWAY</t>
  </si>
  <si>
    <t>MULTILANE HIGHWAY</t>
  </si>
  <si>
    <t>Rural/ Urban</t>
  </si>
  <si>
    <t>rural</t>
  </si>
  <si>
    <t>urban</t>
  </si>
  <si>
    <t>Rural/Urban</t>
  </si>
  <si>
    <t>Direction</t>
  </si>
  <si>
    <t>Type of Terr</t>
  </si>
  <si>
    <t>TWO_LANE_HIGHWAY_G[[X]:[Table]]</t>
  </si>
  <si>
    <t>TWO_LANE_HIGHWAY_G[fnp'']</t>
  </si>
  <si>
    <t>TWO_LANE_HIGHWAY_G[[X'']:[Table'']]</t>
  </si>
  <si>
    <t>TWO_LANE_HIGHWAY_G[fd/np'']</t>
  </si>
  <si>
    <t>ID</t>
  </si>
  <si>
    <t>Type of terrain_'</t>
  </si>
  <si>
    <t>=SE([Type of terrain_'']="ondulado";"rolling";"level")</t>
  </si>
  <si>
    <t>Model</t>
  </si>
  <si>
    <t>LOS_</t>
  </si>
  <si>
    <t>Extensão (km)</t>
  </si>
  <si>
    <t>ET</t>
  </si>
  <si>
    <t>fHV_SG</t>
  </si>
  <si>
    <t>ET_UP</t>
  </si>
  <si>
    <t>ER_UP</t>
  </si>
  <si>
    <t>ET_DOWN</t>
  </si>
  <si>
    <t>ER_DOWN</t>
  </si>
  <si>
    <t>VP_SG</t>
  </si>
  <si>
    <t>D_SG</t>
  </si>
  <si>
    <t>S_SG</t>
  </si>
  <si>
    <t>HCM2000_Exhibit_21-9_Et Up Grace</t>
  </si>
  <si>
    <t>Upgrade</t>
  </si>
  <si>
    <t>Porcentage of Trucks</t>
  </si>
  <si>
    <t>(m)</t>
  </si>
  <si>
    <t>HCM2000_Exhibit_21-10_RV Up Grace</t>
  </si>
  <si>
    <t>HCM2000_Exhibit_21-11_Et Down Grace</t>
  </si>
  <si>
    <t>HCM2000</t>
  </si>
  <si>
    <t>*TOTAL VDMA</t>
  </si>
  <si>
    <t>ATS_</t>
  </si>
  <si>
    <t>PTSF_</t>
  </si>
  <si>
    <t>VP_</t>
  </si>
  <si>
    <t>D_</t>
  </si>
  <si>
    <t>S_</t>
  </si>
  <si>
    <t>Total [VDMA]</t>
  </si>
  <si>
    <t>080-1</t>
  </si>
  <si>
    <t>080-2</t>
  </si>
  <si>
    <t>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</si>
</sst>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3" formatCode="_-* #,##0.00_-;\-* #,##0.00_-;_-* &quot;-&quot;??_-;_-@_-"/>
    <numFmt numFmtId="164" formatCode="_(&quot;£&quot;* #,##0_);_(&quot;£&quot;* \(#,##0\);_(&quot;£&quot;* &quot;-&quot;_);_(@_)"/>
    <numFmt numFmtId="165" formatCode="_(* #,##0_);_(* \(#,##0\);_(* &quot;-&quot;_);_(@_)"/>
    <numFmt numFmtId="166" formatCode="_(&quot;£&quot;* #,##0.00_);_(&quot;£&quot;* \(#,##0.00\);_(&quot;£&quot;* &quot;-&quot;??_);_(@_)"/>
    <numFmt numFmtId="167" formatCode="_(* #,##0.00_);_(* \(#,##0.00\);_(* &quot;-&quot;??_);_(@_)"/>
    <numFmt numFmtId="168" formatCode="#,##0.0%;[Red]\(#,##0.0%\)"/>
    <numFmt numFmtId="169" formatCode="[$-809]dd\ mmmm\ yyyy;@"/>
    <numFmt numFmtId="170" formatCode="[Red]&quot;E: &quot;#,##0;[Red]&quot;E: &quot;\-#,##0;[Blue]&quot;OK&quot;"/>
    <numFmt numFmtId="171" formatCode="[$-F800]dddd\,\ mmmm\ dd\,\ yyyy"/>
    <numFmt numFmtId="172" formatCode="#,##0.0%;[Red]\(#,##0.0%\);\-"/>
    <numFmt numFmtId="173" formatCode="#,##0;[Red]\(#,##0\);\-"/>
    <numFmt numFmtId="174" formatCode="#,##0;\(#,##0\);\-"/>
    <numFmt numFmtId="175" formatCode="_ * #,##0.00_ ;_ * \-#,##0.00_ ;_ * &quot;-&quot;??_ ;_ @_ "/>
    <numFmt numFmtId="176" formatCode="0.0"/>
    <numFmt numFmtId="177" formatCode="000\+000"/>
    <numFmt numFmtId="178" formatCode="###0.0;###0.0"/>
    <numFmt numFmtId="179" formatCode="###0.00;###0.00"/>
    <numFmt numFmtId="180" formatCode="###0;###0"/>
    <numFmt numFmtId="181" formatCode="0.000"/>
    <numFmt numFmtId="182" formatCode="0.0%"/>
    <numFmt numFmtId="183" formatCode="_-* #,##0.0000_-;\-* #,##0.0000_-;_-* &quot;-&quot;??_-;_-@_-"/>
    <numFmt numFmtId="184" formatCode="0.0000"/>
    <numFmt numFmtId="185" formatCode="#.#000%"/>
  </numFmts>
  <fonts count="149">
    <font>
      <sz val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3"/>
      <name val="Calibri"/>
      <family val="2"/>
      <scheme val="maj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3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Calibri"/>
      <family val="2"/>
    </font>
    <font>
      <b/>
      <sz val="13"/>
      <color theme="0"/>
      <name val="Calibri"/>
      <family val="2"/>
    </font>
    <font>
      <b/>
      <sz val="11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rgb="FF57626E"/>
      <name val="Calibri"/>
      <family val="2"/>
    </font>
    <font>
      <sz val="11"/>
      <name val="Calibri"/>
      <family val="2"/>
    </font>
    <font>
      <b/>
      <sz val="10"/>
      <color theme="0"/>
      <name val="Calibri"/>
      <family val="2"/>
    </font>
    <font>
      <b/>
      <sz val="18"/>
      <color rgb="FF57626E"/>
      <name val="Calibri"/>
      <family val="2"/>
    </font>
    <font>
      <b/>
      <sz val="14"/>
      <color rgb="FF57626E"/>
      <name val="Calibri"/>
      <family val="2"/>
    </font>
    <font>
      <sz val="10"/>
      <color theme="9" tint="-0.499984740745262"/>
      <name val="Calibri"/>
      <family val="2"/>
    </font>
    <font>
      <sz val="10"/>
      <color rgb="FF9C0006"/>
      <name val="Calibri"/>
      <family val="2"/>
    </font>
    <font>
      <sz val="10"/>
      <color theme="8" tint="-0.24994659260841701"/>
      <name val="Calibri"/>
      <family val="2"/>
    </font>
    <font>
      <sz val="10"/>
      <color rgb="FF9C6500"/>
      <name val="Calibri"/>
      <family val="2"/>
    </font>
    <font>
      <sz val="10"/>
      <color theme="1"/>
      <name val="Calibri"/>
      <family val="2"/>
    </font>
    <font>
      <sz val="10"/>
      <color theme="0"/>
      <name val="Calibri"/>
      <family val="2"/>
    </font>
    <font>
      <i/>
      <sz val="10"/>
      <color rgb="FFAE1231"/>
      <name val="Calibri"/>
      <family val="2"/>
    </font>
    <font>
      <sz val="10"/>
      <name val="Arial"/>
      <family val="2"/>
    </font>
    <font>
      <sz val="10"/>
      <color rgb="FFAE1231"/>
      <name val="Calibri"/>
      <family val="2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rgb="FFFF0000"/>
      <name val="Calibri"/>
      <family val="2"/>
    </font>
    <font>
      <sz val="10"/>
      <color theme="0" tint="-0.499984740745262"/>
      <name val="Calibri"/>
      <family val="2"/>
    </font>
    <font>
      <b/>
      <i/>
      <sz val="25"/>
      <color theme="0"/>
      <name val="Calibri"/>
      <family val="2"/>
    </font>
    <font>
      <sz val="16"/>
      <color theme="0" tint="-0.499984740745262"/>
      <name val="Calibri"/>
      <family val="2"/>
    </font>
    <font>
      <b/>
      <i/>
      <sz val="10"/>
      <name val="Calibri"/>
      <family val="2"/>
    </font>
    <font>
      <b/>
      <sz val="10"/>
      <color theme="1"/>
      <name val="Calibri"/>
      <family val="2"/>
    </font>
    <font>
      <b/>
      <i/>
      <sz val="16"/>
      <color theme="0"/>
      <name val="Calibri"/>
      <family val="2"/>
    </font>
    <font>
      <i/>
      <sz val="10"/>
      <name val="Calibri"/>
      <family val="2"/>
    </font>
    <font>
      <sz val="11"/>
      <color rgb="FF9C6500"/>
      <name val="Calibri"/>
      <family val="2"/>
      <scheme val="minor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sz val="10"/>
      <color rgb="FF000000"/>
      <name val="Times New Roman"/>
      <family val="1"/>
    </font>
    <font>
      <sz val="10"/>
      <name val="Calibri"/>
      <family val="2"/>
      <scheme val="minor"/>
    </font>
    <font>
      <sz val="10"/>
      <color rgb="FF0F0F0F"/>
      <name val="Calibri"/>
      <family val="2"/>
      <scheme val="minor"/>
    </font>
    <font>
      <sz val="10"/>
      <color rgb="FF1F1F1F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414141"/>
      <name val="Calibri"/>
      <family val="2"/>
      <scheme val="minor"/>
    </font>
    <font>
      <sz val="10"/>
      <color rgb="FF313131"/>
      <name val="Calibri"/>
      <family val="2"/>
      <scheme val="minor"/>
    </font>
    <font>
      <u/>
      <sz val="10"/>
      <color rgb="FF414141"/>
      <name val="Calibri"/>
      <family val="2"/>
      <scheme val="minor"/>
    </font>
    <font>
      <sz val="10"/>
      <color rgb="FF131313"/>
      <name val="Calibri"/>
      <family val="2"/>
      <scheme val="minor"/>
    </font>
    <font>
      <sz val="10"/>
      <color rgb="FF2D2D2D"/>
      <name val="Calibri"/>
      <family val="2"/>
      <scheme val="minor"/>
    </font>
    <font>
      <sz val="10"/>
      <color rgb="FF444444"/>
      <name val="Calibri"/>
      <family val="2"/>
      <scheme val="minor"/>
    </font>
    <font>
      <u/>
      <sz val="10"/>
      <color rgb="FF444444"/>
      <name val="Calibri"/>
      <family val="2"/>
      <scheme val="minor"/>
    </font>
    <font>
      <sz val="10"/>
      <color rgb="FF111111"/>
      <name val="Calibri"/>
      <family val="2"/>
      <scheme val="minor"/>
    </font>
    <font>
      <sz val="10"/>
      <color rgb="FF383838"/>
      <name val="Calibri"/>
      <family val="2"/>
      <scheme val="minor"/>
    </font>
    <font>
      <u/>
      <sz val="10"/>
      <color rgb="FF383838"/>
      <name val="Calibri"/>
      <family val="2"/>
      <scheme val="minor"/>
    </font>
    <font>
      <sz val="10"/>
      <color rgb="FF2F2F2F"/>
      <name val="Calibri"/>
      <family val="2"/>
      <scheme val="minor"/>
    </font>
    <font>
      <sz val="10"/>
      <color rgb="FF050505"/>
      <name val="Calibri"/>
      <family val="2"/>
      <scheme val="minor"/>
    </font>
    <font>
      <sz val="10"/>
      <color rgb="FF1A1A1A"/>
      <name val="Calibri"/>
      <family val="2"/>
      <scheme val="minor"/>
    </font>
    <font>
      <sz val="10"/>
      <color rgb="FF2A2A2A"/>
      <name val="Calibri"/>
      <family val="2"/>
      <scheme val="minor"/>
    </font>
    <font>
      <sz val="10"/>
      <color rgb="FF3D3D3D"/>
      <name val="Arial"/>
      <family val="2"/>
    </font>
    <font>
      <sz val="10"/>
      <color rgb="FF262626"/>
      <name val="Arial"/>
      <family val="2"/>
    </font>
    <font>
      <sz val="10"/>
      <color rgb="FF131313"/>
      <name val="Arial"/>
      <family val="2"/>
    </font>
    <font>
      <sz val="10"/>
      <color theme="0" tint="-0.499984740745262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0"/>
      <color rgb="FF262626"/>
      <name val="Arial"/>
      <family val="2"/>
    </font>
    <font>
      <b/>
      <sz val="10"/>
      <color rgb="FF3D3D3D"/>
      <name val="Arial"/>
      <family val="2"/>
    </font>
    <font>
      <sz val="10"/>
      <color rgb="FF444444"/>
      <name val="Arial"/>
      <family val="2"/>
    </font>
    <font>
      <sz val="10"/>
      <color rgb="FF2A2A2A"/>
      <name val="Arial"/>
      <family val="2"/>
    </font>
    <font>
      <sz val="10"/>
      <color rgb="FF151515"/>
      <name val="Arial"/>
      <family val="2"/>
    </font>
    <font>
      <sz val="10"/>
      <color rgb="FF545454"/>
      <name val="Arial"/>
      <family val="2"/>
    </font>
    <font>
      <b/>
      <sz val="10"/>
      <color rgb="FF2A2A2A"/>
      <name val="Arial"/>
      <family val="2"/>
    </font>
    <font>
      <b/>
      <sz val="10"/>
      <color rgb="FF151515"/>
      <name val="Arial"/>
      <family val="2"/>
    </font>
    <font>
      <b/>
      <sz val="10"/>
      <color theme="0"/>
      <name val="Arial"/>
      <family val="2"/>
    </font>
    <font>
      <sz val="10"/>
      <color rgb="FF2D2D2F"/>
      <name val="Calibri"/>
      <family val="2"/>
    </font>
    <font>
      <sz val="10"/>
      <color rgb="FF595469"/>
      <name val="Calibri"/>
      <family val="2"/>
    </font>
    <font>
      <sz val="10"/>
      <color rgb="FF413D46"/>
      <name val="Calibri"/>
      <family val="2"/>
    </font>
    <font>
      <sz val="10"/>
      <color rgb="FF2A2A2B"/>
      <name val="Calibri"/>
      <family val="2"/>
    </font>
    <font>
      <sz val="10"/>
      <color rgb="FF595264"/>
      <name val="Calibri"/>
      <family val="2"/>
    </font>
    <font>
      <sz val="10"/>
      <color rgb="FF2D2A2D"/>
      <name val="Calibri"/>
      <family val="2"/>
    </font>
    <font>
      <sz val="10"/>
      <color rgb="FF3F3A44"/>
      <name val="Calibri"/>
      <family val="2"/>
    </font>
    <font>
      <sz val="10"/>
      <color rgb="FF595464"/>
      <name val="Calibri"/>
      <family val="2"/>
    </font>
    <font>
      <sz val="10"/>
      <color rgb="FF3A4487"/>
      <name val="Calibri"/>
      <family val="2"/>
    </font>
    <font>
      <sz val="10"/>
      <color rgb="FF3B383F"/>
      <name val="Calibri"/>
      <family val="2"/>
    </font>
    <font>
      <sz val="10"/>
      <color rgb="FF595262"/>
      <name val="Calibri"/>
      <family val="2"/>
    </font>
    <font>
      <sz val="10"/>
      <color rgb="FF746B7C"/>
      <name val="Calibri"/>
      <family val="2"/>
    </font>
    <font>
      <sz val="10"/>
      <color rgb="FF603144"/>
      <name val="Calibri"/>
      <family val="2"/>
    </font>
    <font>
      <sz val="10"/>
      <color rgb="FF46424D"/>
      <name val="Calibri"/>
      <family val="2"/>
    </font>
    <font>
      <sz val="10"/>
      <color rgb="FF525269"/>
      <name val="Calibri"/>
      <family val="2"/>
    </font>
    <font>
      <sz val="10"/>
      <color rgb="FF64414B"/>
      <name val="Calibri"/>
      <family val="2"/>
    </font>
    <font>
      <sz val="10"/>
      <color rgb="FF79564D"/>
      <name val="Calibri"/>
      <family val="2"/>
    </font>
    <font>
      <sz val="10"/>
      <color rgb="FF416683"/>
      <name val="Calibri"/>
      <family val="2"/>
    </font>
    <font>
      <sz val="10"/>
      <color rgb="FF90959C"/>
      <name val="Calibri"/>
      <family val="2"/>
    </font>
    <font>
      <sz val="10"/>
      <color rgb="FF2A282A"/>
      <name val="Calibri"/>
      <family val="2"/>
    </font>
    <font>
      <sz val="10"/>
      <color rgb="FF3D3A44"/>
      <name val="Calibri"/>
      <family val="2"/>
    </font>
    <font>
      <sz val="10"/>
      <color rgb="FF5D3446"/>
      <name val="Calibri"/>
      <family val="2"/>
    </font>
    <font>
      <sz val="11"/>
      <color rgb="FF3D3A44"/>
      <name val="Arial"/>
      <family val="2"/>
    </font>
    <font>
      <sz val="11"/>
      <color rgb="FF2A282A"/>
      <name val="Arial"/>
      <family val="2"/>
    </font>
    <font>
      <sz val="11"/>
      <color rgb="FF5D3446"/>
      <name val="Arial"/>
      <family val="2"/>
    </font>
    <font>
      <sz val="11"/>
      <color rgb="FF575262"/>
      <name val="Arial"/>
      <family val="2"/>
    </font>
    <font>
      <sz val="11"/>
      <color rgb="FF72697C"/>
      <name val="Times New Roman"/>
      <family val="1"/>
    </font>
    <font>
      <sz val="11"/>
      <color rgb="FF575262"/>
      <name val="Times New Roman"/>
      <family val="1"/>
    </font>
    <font>
      <sz val="11"/>
      <color rgb="FF72697C"/>
      <name val="Arial"/>
      <family val="2"/>
    </font>
    <font>
      <sz val="11"/>
      <color rgb="FF3D3A44"/>
      <name val="Times New Roman"/>
      <family val="1"/>
    </font>
    <font>
      <sz val="11"/>
      <color rgb="FF797C90"/>
      <name val="Times New Roman"/>
      <family val="1"/>
    </font>
    <font>
      <sz val="11"/>
      <color rgb="FF524438"/>
      <name val="Times New Roman"/>
      <family val="1"/>
    </font>
    <font>
      <sz val="10"/>
      <color rgb="FF3D3842"/>
      <name val="Calibri"/>
      <family val="2"/>
    </font>
    <font>
      <sz val="10"/>
      <color rgb="FF282828"/>
      <name val="Calibri"/>
      <family val="2"/>
    </font>
    <font>
      <sz val="10"/>
      <color rgb="FF623149"/>
      <name val="Calibri"/>
      <family val="2"/>
    </font>
    <font>
      <sz val="10"/>
      <color rgb="FF424667"/>
      <name val="Calibri"/>
      <family val="2"/>
    </font>
    <font>
      <sz val="10"/>
      <color rgb="FF707789"/>
      <name val="Calibri"/>
      <family val="2"/>
    </font>
    <font>
      <sz val="10"/>
      <color rgb="FF696272"/>
      <name val="Calibri"/>
      <family val="2"/>
    </font>
    <font>
      <sz val="10"/>
      <color rgb="FF575060"/>
      <name val="Calibri"/>
      <family val="2"/>
    </font>
    <font>
      <sz val="10"/>
      <color rgb="FF57626E"/>
      <name val="Arial"/>
      <family val="2"/>
    </font>
    <font>
      <b/>
      <sz val="10"/>
      <color rgb="FF57626E"/>
      <name val="Arial"/>
      <family val="2"/>
    </font>
    <font>
      <b/>
      <i/>
      <sz val="22"/>
      <color theme="0"/>
      <name val="Calibri"/>
      <family val="2"/>
    </font>
    <font>
      <sz val="10"/>
      <color theme="0" tint="-0.249977111117893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</font>
    <font>
      <b/>
      <sz val="18"/>
      <color rgb="FFFF0000"/>
      <name val="Calibri"/>
      <family val="2"/>
    </font>
    <font>
      <i/>
      <sz val="1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sz val="8"/>
      <color theme="0" tint="-0.499984740745262"/>
      <name val="Calibri"/>
      <family val="2"/>
    </font>
    <font>
      <sz val="8"/>
      <name val="Calibri"/>
      <family val="2"/>
    </font>
    <font>
      <sz val="12"/>
      <color theme="0"/>
      <name val="Calibri"/>
      <family val="2"/>
    </font>
    <font>
      <sz val="10"/>
      <name val="Calibri"/>
    </font>
    <font>
      <sz val="8"/>
      <color theme="1"/>
      <name val="Arial"/>
    </font>
    <font>
      <sz val="10"/>
      <color theme="1"/>
      <name val="Calibri"/>
    </font>
  </fonts>
  <fills count="72">
    <fill>
      <patternFill patternType="none"/>
    </fill>
    <fill>
      <patternFill patternType="gray125"/>
    </fill>
    <fill>
      <patternFill patternType="solid">
        <fgColor rgb="FF002C5B"/>
        <bgColor indexed="64"/>
      </patternFill>
    </fill>
    <fill>
      <patternFill patternType="solid">
        <fgColor rgb="FF98A2BD"/>
        <bgColor indexed="6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57626E"/>
        <bgColor indexed="64"/>
      </patternFill>
    </fill>
    <fill>
      <patternFill patternType="solid">
        <fgColor rgb="FFA2A5AD"/>
        <bgColor indexed="64"/>
      </patternFill>
    </fill>
    <fill>
      <patternFill patternType="solid">
        <fgColor rgb="FFD6E7F2"/>
        <bgColor indexed="64"/>
      </patternFill>
    </fill>
    <fill>
      <patternFill patternType="solid">
        <fgColor rgb="FFC2A2C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E1231"/>
        <bgColor indexed="64"/>
      </patternFill>
    </fill>
    <fill>
      <patternFill patternType="solid">
        <fgColor rgb="FFFDE3D2"/>
        <bgColor indexed="64"/>
      </patternFill>
    </fill>
    <fill>
      <patternFill patternType="solid">
        <fgColor theme="9" tint="-9.9948118533890809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BC080"/>
        <bgColor indexed="64"/>
      </patternFill>
    </fill>
    <fill>
      <patternFill patternType="solid">
        <fgColor rgb="FFC6EFCE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6B3CB"/>
        <bgColor indexed="64"/>
      </patternFill>
    </fill>
    <fill>
      <patternFill patternType="solid">
        <fgColor rgb="FF86B3CB"/>
        <bgColor theme="6"/>
      </patternFill>
    </fill>
    <fill>
      <patternFill patternType="solid">
        <fgColor rgb="FFAE1231"/>
        <bgColor theme="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8F2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59999389629810485"/>
        <bgColor theme="6" tint="0.59999389629810485"/>
      </patternFill>
    </fill>
  </fills>
  <borders count="1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rgb="FF98A2BD"/>
      </bottom>
      <diagonal/>
    </border>
    <border>
      <left/>
      <right/>
      <top/>
      <bottom style="thick">
        <color rgb="FF002C5B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ck">
        <color rgb="FFAE1231"/>
      </bottom>
      <diagonal/>
    </border>
    <border>
      <left/>
      <right/>
      <top/>
      <bottom style="thin">
        <color rgb="FFAE123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6" tint="0.399975585192419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A3A3A3"/>
      </left>
      <right/>
      <top style="thin">
        <color rgb="FF000000"/>
      </top>
      <bottom/>
      <diagonal/>
    </border>
    <border>
      <left/>
      <right style="thin">
        <color rgb="FF545454"/>
      </right>
      <top style="thin">
        <color rgb="FF000000"/>
      </top>
      <bottom/>
      <diagonal/>
    </border>
    <border>
      <left style="thin">
        <color rgb="FF545454"/>
      </left>
      <right/>
      <top style="thin">
        <color rgb="FF000000"/>
      </top>
      <bottom style="thin">
        <color rgb="FF545454"/>
      </bottom>
      <diagonal/>
    </border>
    <border>
      <left/>
      <right/>
      <top style="thin">
        <color rgb="FF000000"/>
      </top>
      <bottom style="thin">
        <color rgb="FF545454"/>
      </bottom>
      <diagonal/>
    </border>
    <border>
      <left style="thin">
        <color rgb="FFA3A3A3"/>
      </left>
      <right/>
      <top/>
      <bottom/>
      <diagonal/>
    </border>
    <border>
      <left/>
      <right style="thin">
        <color rgb="FF545454"/>
      </right>
      <top/>
      <bottom/>
      <diagonal/>
    </border>
    <border>
      <left style="thin">
        <color rgb="FF545454"/>
      </left>
      <right/>
      <top style="thin">
        <color rgb="FF545454"/>
      </top>
      <bottom style="thin">
        <color rgb="FF545454"/>
      </bottom>
      <diagonal/>
    </border>
    <border>
      <left/>
      <right/>
      <top style="thin">
        <color rgb="FF545454"/>
      </top>
      <bottom style="thin">
        <color rgb="FF545454"/>
      </bottom>
      <diagonal/>
    </border>
    <border>
      <left/>
      <right/>
      <top/>
      <bottom style="thin">
        <color rgb="FFA0A0A0"/>
      </bottom>
      <diagonal/>
    </border>
    <border>
      <left style="thin">
        <color rgb="FFA3A3A3"/>
      </left>
      <right/>
      <top/>
      <bottom style="thin">
        <color rgb="FFA0A0A0"/>
      </bottom>
      <diagonal/>
    </border>
    <border>
      <left/>
      <right style="thin">
        <color rgb="FF545454"/>
      </right>
      <top/>
      <bottom style="thin">
        <color rgb="FFA0A0A0"/>
      </bottom>
      <diagonal/>
    </border>
    <border>
      <left style="thin">
        <color rgb="FF444444"/>
      </left>
      <right/>
      <top style="thin">
        <color rgb="FF545454"/>
      </top>
      <bottom style="thin">
        <color rgb="FFA0A0A0"/>
      </bottom>
      <diagonal/>
    </border>
    <border>
      <left/>
      <right/>
      <top style="thin">
        <color rgb="FFA0A0A0"/>
      </top>
      <bottom/>
      <diagonal/>
    </border>
    <border>
      <left style="thin">
        <color rgb="FFA3A3A3"/>
      </left>
      <right/>
      <top style="thin">
        <color rgb="FFA0A0A0"/>
      </top>
      <bottom/>
      <diagonal/>
    </border>
    <border>
      <left/>
      <right style="thin">
        <color rgb="FF545454"/>
      </right>
      <top style="thin">
        <color rgb="FFA0A0A0"/>
      </top>
      <bottom/>
      <diagonal/>
    </border>
    <border>
      <left style="thin">
        <color rgb="FF545454"/>
      </left>
      <right/>
      <top style="thin">
        <color rgb="FFA0A0A0"/>
      </top>
      <bottom/>
      <diagonal/>
    </border>
    <border>
      <left style="thin">
        <color rgb="FF444444"/>
      </left>
      <right/>
      <top style="thin">
        <color rgb="FFA0A0A0"/>
      </top>
      <bottom/>
      <diagonal/>
    </border>
    <border>
      <left style="thin">
        <color rgb="FF545454"/>
      </left>
      <right/>
      <top/>
      <bottom/>
      <diagonal/>
    </border>
    <border>
      <left style="thin">
        <color rgb="FF444444"/>
      </left>
      <right/>
      <top/>
      <bottom/>
      <diagonal/>
    </border>
    <border>
      <left/>
      <right/>
      <top/>
      <bottom style="thin">
        <color rgb="FF3F3F3F"/>
      </bottom>
      <diagonal/>
    </border>
    <border>
      <left style="thin">
        <color rgb="FFA3A3A3"/>
      </left>
      <right/>
      <top/>
      <bottom style="thin">
        <color rgb="FF3F3F3F"/>
      </bottom>
      <diagonal/>
    </border>
    <border>
      <left/>
      <right style="thin">
        <color rgb="FF545454"/>
      </right>
      <top/>
      <bottom style="thin">
        <color rgb="FF3F3F3F"/>
      </bottom>
      <diagonal/>
    </border>
    <border>
      <left style="thin">
        <color rgb="FF545454"/>
      </left>
      <right/>
      <top/>
      <bottom style="thin">
        <color rgb="FF3F3F3F"/>
      </bottom>
      <diagonal/>
    </border>
    <border>
      <left style="thin">
        <color rgb="FF444444"/>
      </left>
      <right/>
      <top/>
      <bottom style="thin">
        <color rgb="FF3F3F3F"/>
      </bottom>
      <diagonal/>
    </border>
    <border>
      <left/>
      <right/>
      <top style="thin">
        <color rgb="FF3F3F3F"/>
      </top>
      <bottom/>
      <diagonal/>
    </border>
    <border>
      <left style="thin">
        <color rgb="FFA3A3A3"/>
      </left>
      <right/>
      <top style="thin">
        <color rgb="FF3F3F3F"/>
      </top>
      <bottom/>
      <diagonal/>
    </border>
    <border>
      <left/>
      <right style="thin">
        <color rgb="FF545454"/>
      </right>
      <top style="thin">
        <color rgb="FF3F3F3F"/>
      </top>
      <bottom/>
      <diagonal/>
    </border>
    <border>
      <left style="thin">
        <color rgb="FF545454"/>
      </left>
      <right/>
      <top style="thin">
        <color rgb="FF3F3F3F"/>
      </top>
      <bottom/>
      <diagonal/>
    </border>
    <border>
      <left style="thin">
        <color rgb="FF444444"/>
      </left>
      <right/>
      <top style="thin">
        <color rgb="FF3F3F3F"/>
      </top>
      <bottom/>
      <diagonal/>
    </border>
    <border>
      <left/>
      <right/>
      <top/>
      <bottom style="thin">
        <color rgb="FF545454"/>
      </bottom>
      <diagonal/>
    </border>
    <border>
      <left style="thin">
        <color rgb="FFA3A3A3"/>
      </left>
      <right/>
      <top/>
      <bottom style="thin">
        <color rgb="FF545454"/>
      </bottom>
      <diagonal/>
    </border>
    <border>
      <left/>
      <right style="thin">
        <color rgb="FF545454"/>
      </right>
      <top/>
      <bottom style="thin">
        <color rgb="FF545454"/>
      </bottom>
      <diagonal/>
    </border>
    <border>
      <left style="thin">
        <color rgb="FF545454"/>
      </left>
      <right/>
      <top/>
      <bottom style="thin">
        <color rgb="FF545454"/>
      </bottom>
      <diagonal/>
    </border>
    <border>
      <left style="thin">
        <color rgb="FF444444"/>
      </left>
      <right/>
      <top/>
      <bottom style="thin">
        <color rgb="FF545454"/>
      </bottom>
      <diagonal/>
    </border>
    <border>
      <left/>
      <right/>
      <top style="thin">
        <color rgb="FF545454"/>
      </top>
      <bottom/>
      <diagonal/>
    </border>
    <border>
      <left style="thin">
        <color rgb="FFA3A3A3"/>
      </left>
      <right/>
      <top style="thin">
        <color rgb="FF545454"/>
      </top>
      <bottom/>
      <diagonal/>
    </border>
    <border>
      <left/>
      <right style="thin">
        <color rgb="FF545454"/>
      </right>
      <top style="thin">
        <color rgb="FF545454"/>
      </top>
      <bottom/>
      <diagonal/>
    </border>
    <border>
      <left style="thin">
        <color rgb="FF545454"/>
      </left>
      <right/>
      <top style="thin">
        <color rgb="FF545454"/>
      </top>
      <bottom/>
      <diagonal/>
    </border>
    <border>
      <left style="thin">
        <color rgb="FF444444"/>
      </left>
      <right/>
      <top style="thin">
        <color rgb="FF545454"/>
      </top>
      <bottom/>
      <diagonal/>
    </border>
    <border>
      <left/>
      <right/>
      <top/>
      <bottom style="thin">
        <color rgb="FFA8A8A8"/>
      </bottom>
      <diagonal/>
    </border>
    <border>
      <left style="thin">
        <color rgb="FFA3A3A3"/>
      </left>
      <right/>
      <top/>
      <bottom style="thin">
        <color rgb="FFA8A8A8"/>
      </bottom>
      <diagonal/>
    </border>
    <border>
      <left style="thin">
        <color rgb="FF545454"/>
      </left>
      <right/>
      <top/>
      <bottom style="thin">
        <color rgb="FFA8A8A8"/>
      </bottom>
      <diagonal/>
    </border>
    <border>
      <left style="thin">
        <color rgb="FF444444"/>
      </left>
      <right/>
      <top/>
      <bottom style="thin">
        <color rgb="FFA8A8A8"/>
      </bottom>
      <diagonal/>
    </border>
    <border>
      <left/>
      <right/>
      <top style="thin">
        <color rgb="FFA8A8A8"/>
      </top>
      <bottom/>
      <diagonal/>
    </border>
    <border>
      <left style="thin">
        <color rgb="FFA3A3A3"/>
      </left>
      <right/>
      <top style="thin">
        <color rgb="FFA8A8A8"/>
      </top>
      <bottom/>
      <diagonal/>
    </border>
    <border>
      <left style="thin">
        <color rgb="FF545454"/>
      </left>
      <right/>
      <top style="thin">
        <color rgb="FFA8A8A8"/>
      </top>
      <bottom/>
      <diagonal/>
    </border>
    <border>
      <left style="thin">
        <color rgb="FF444444"/>
      </left>
      <right/>
      <top style="thin">
        <color rgb="FFA8A8A8"/>
      </top>
      <bottom/>
      <diagonal/>
    </border>
    <border>
      <left/>
      <right/>
      <top/>
      <bottom style="thin">
        <color rgb="FF282828"/>
      </bottom>
      <diagonal/>
    </border>
    <border>
      <left style="thin">
        <color rgb="FFA3A3A3"/>
      </left>
      <right/>
      <top/>
      <bottom style="thin">
        <color rgb="FF282828"/>
      </bottom>
      <diagonal/>
    </border>
    <border>
      <left style="thin">
        <color rgb="FF545454"/>
      </left>
      <right/>
      <top/>
      <bottom style="thin">
        <color rgb="FF282828"/>
      </bottom>
      <diagonal/>
    </border>
    <border>
      <left style="thin">
        <color rgb="FF444444"/>
      </left>
      <right/>
      <top/>
      <bottom style="thin">
        <color rgb="FF282828"/>
      </bottom>
      <diagonal/>
    </border>
    <border>
      <left style="thin">
        <color rgb="FF444444"/>
      </left>
      <right/>
      <top style="thin">
        <color rgb="FF000000"/>
      </top>
      <bottom style="thin">
        <color rgb="FF545454"/>
      </bottom>
      <diagonal/>
    </border>
    <border>
      <left style="thin">
        <color rgb="FF444444"/>
      </left>
      <right/>
      <top style="thin">
        <color rgb="FF545454"/>
      </top>
      <bottom style="thin">
        <color rgb="FF545454"/>
      </bottom>
      <diagonal/>
    </border>
    <border>
      <left style="thin">
        <color rgb="FFA3A3A3"/>
      </left>
      <right/>
      <top style="thin">
        <color rgb="FF000000"/>
      </top>
      <bottom style="thin">
        <color rgb="FF444444"/>
      </bottom>
      <diagonal/>
    </border>
    <border>
      <left/>
      <right/>
      <top style="thin">
        <color rgb="FF000000"/>
      </top>
      <bottom style="thin">
        <color rgb="FF444444"/>
      </bottom>
      <diagonal/>
    </border>
    <border>
      <left style="thin">
        <color rgb="FFA3A3A3"/>
      </left>
      <right/>
      <top style="thin">
        <color rgb="FF444444"/>
      </top>
      <bottom style="thin">
        <color rgb="FFA0A0A0"/>
      </bottom>
      <diagonal/>
    </border>
    <border>
      <left/>
      <right/>
      <top style="thin">
        <color rgb="FF444444"/>
      </top>
      <bottom style="thin">
        <color rgb="FFA0A0A0"/>
      </bottom>
      <diagonal/>
    </border>
    <border>
      <left style="thin">
        <color rgb="FFA3A3A3"/>
      </left>
      <right/>
      <top style="thin">
        <color rgb="FFA0A0A0"/>
      </top>
      <bottom style="thin">
        <color rgb="FFA0A0A0"/>
      </bottom>
      <diagonal/>
    </border>
    <border>
      <left/>
      <right/>
      <top/>
      <bottom style="thin">
        <color rgb="FF444444"/>
      </bottom>
      <diagonal/>
    </border>
    <border>
      <left style="thin">
        <color rgb="FFA3A3A3"/>
      </left>
      <right/>
      <top/>
      <bottom style="thin">
        <color rgb="FF444444"/>
      </bottom>
      <diagonal/>
    </border>
    <border>
      <left/>
      <right/>
      <top style="thin">
        <color rgb="FF444444"/>
      </top>
      <bottom/>
      <diagonal/>
    </border>
    <border>
      <left style="thin">
        <color rgb="FFA3A3A3"/>
      </left>
      <right/>
      <top style="thin">
        <color rgb="FF44444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A3A3A3"/>
      </left>
      <right/>
      <top/>
      <bottom style="thin">
        <color rgb="FF000000"/>
      </bottom>
      <diagonal/>
    </border>
    <border>
      <left style="thin">
        <color rgb="FF545454"/>
      </left>
      <right/>
      <top style="thin">
        <color rgb="FF000000"/>
      </top>
      <bottom/>
      <diagonal/>
    </border>
    <border>
      <left style="thin">
        <color rgb="FF545454"/>
      </left>
      <right/>
      <top style="thin">
        <color rgb="FF000000"/>
      </top>
      <bottom style="thin">
        <color rgb="FF444444"/>
      </bottom>
      <diagonal/>
    </border>
    <border>
      <left style="thin">
        <color rgb="FF4F4F4F"/>
      </left>
      <right/>
      <top style="thin">
        <color rgb="FF000000"/>
      </top>
      <bottom/>
      <diagonal/>
    </border>
    <border>
      <left style="thin">
        <color rgb="FF545454"/>
      </left>
      <right/>
      <top style="thin">
        <color rgb="FF444444"/>
      </top>
      <bottom style="thin">
        <color rgb="FFA0A0A0"/>
      </bottom>
      <diagonal/>
    </border>
    <border>
      <left style="thin">
        <color rgb="FF4F4F4F"/>
      </left>
      <right/>
      <top/>
      <bottom/>
      <diagonal/>
    </border>
    <border>
      <left style="thin">
        <color rgb="FF545454"/>
      </left>
      <right/>
      <top style="thin">
        <color rgb="FFA0A0A0"/>
      </top>
      <bottom style="thin">
        <color rgb="FF545454"/>
      </bottom>
      <diagonal/>
    </border>
    <border>
      <left style="thin">
        <color rgb="FF444444"/>
      </left>
      <right/>
      <top style="thin">
        <color rgb="FFA0A0A0"/>
      </top>
      <bottom style="thin">
        <color rgb="FF545454"/>
      </bottom>
      <diagonal/>
    </border>
    <border>
      <left style="thin">
        <color rgb="FF4F4F4F"/>
      </left>
      <right/>
      <top/>
      <bottom style="thin">
        <color rgb="FF545454"/>
      </bottom>
      <diagonal/>
    </border>
    <border>
      <left style="thin">
        <color rgb="FF4F4F4F"/>
      </left>
      <right/>
      <top style="thin">
        <color rgb="FF545454"/>
      </top>
      <bottom/>
      <diagonal/>
    </border>
    <border>
      <left style="thin">
        <color rgb="FF545454"/>
      </left>
      <right/>
      <top/>
      <bottom style="thin">
        <color rgb="FFA0A0A0"/>
      </bottom>
      <diagonal/>
    </border>
    <border>
      <left style="thin">
        <color rgb="FF444444"/>
      </left>
      <right/>
      <top/>
      <bottom style="thin">
        <color rgb="FFA0A0A0"/>
      </bottom>
      <diagonal/>
    </border>
    <border>
      <left style="thin">
        <color rgb="FF4F4F4F"/>
      </left>
      <right/>
      <top/>
      <bottom style="thin">
        <color rgb="FFA0A0A0"/>
      </bottom>
      <diagonal/>
    </border>
    <border>
      <left style="thin">
        <color rgb="FF4F4F4F"/>
      </left>
      <right/>
      <top style="thin">
        <color rgb="FFA0A0A0"/>
      </top>
      <bottom/>
      <diagonal/>
    </border>
    <border>
      <left style="thin">
        <color rgb="FF4F4F4F"/>
      </left>
      <right/>
      <top/>
      <bottom style="thin">
        <color rgb="FF3F3F3F"/>
      </bottom>
      <diagonal/>
    </border>
    <border>
      <left style="thin">
        <color rgb="FF4F4F4F"/>
      </left>
      <right/>
      <top style="thin">
        <color rgb="FF3F3F3F"/>
      </top>
      <bottom/>
      <diagonal/>
    </border>
    <border>
      <left/>
      <right style="thin">
        <color rgb="FF545454"/>
      </right>
      <top/>
      <bottom style="thin">
        <color rgb="FF000000"/>
      </bottom>
      <diagonal/>
    </border>
    <border>
      <left style="thin">
        <color rgb="FF545454"/>
      </left>
      <right/>
      <top/>
      <bottom style="thin">
        <color rgb="FF000000"/>
      </bottom>
      <diagonal/>
    </border>
    <border>
      <left style="thin">
        <color rgb="FF444444"/>
      </left>
      <right/>
      <top/>
      <bottom style="thin">
        <color rgb="FF000000"/>
      </bottom>
      <diagonal/>
    </border>
    <border>
      <left style="thin">
        <color rgb="FF4F4F4F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6" tint="0.39997558519241921"/>
      </top>
      <bottom style="medium">
        <color theme="6" tint="0.3999450666829432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6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 style="medium">
        <color theme="8" tint="0.399945066682943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theme="8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14">
    <xf numFmtId="0" fontId="0" fillId="0" borderId="0">
      <alignment vertical="center"/>
    </xf>
    <xf numFmtId="0" fontId="13" fillId="0" borderId="0" applyNumberFormat="0" applyFill="0" applyBorder="0" applyAlignment="0" applyProtection="0"/>
    <xf numFmtId="0" fontId="19" fillId="2" borderId="1" applyNumberFormat="0" applyAlignment="0" applyProtection="0"/>
    <xf numFmtId="0" fontId="18" fillId="3" borderId="0" applyNumberFormat="0" applyAlignment="0" applyProtection="0"/>
    <xf numFmtId="0" fontId="17" fillId="0" borderId="3" applyNumberFormat="0" applyFill="0" applyAlignment="0" applyProtection="0"/>
    <xf numFmtId="0" fontId="17" fillId="0" borderId="2" applyNumberFormat="0" applyFill="0" applyAlignment="0" applyProtection="0"/>
    <xf numFmtId="174" fontId="28" fillId="0" borderId="0">
      <alignment horizontal="left" vertical="center"/>
    </xf>
    <xf numFmtId="0" fontId="39" fillId="0" borderId="0">
      <alignment vertical="center"/>
    </xf>
    <xf numFmtId="173" fontId="26" fillId="40" borderId="13">
      <alignment vertical="center"/>
    </xf>
    <xf numFmtId="172" fontId="26" fillId="14" borderId="13">
      <alignment horizontal="right" vertical="center"/>
    </xf>
    <xf numFmtId="173" fontId="27" fillId="0" borderId="10">
      <alignment vertical="center"/>
    </xf>
    <xf numFmtId="170" fontId="26" fillId="0" borderId="0">
      <alignment horizontal="center" vertical="center"/>
    </xf>
    <xf numFmtId="169" fontId="31" fillId="0" borderId="0">
      <alignment horizontal="left"/>
    </xf>
    <xf numFmtId="171" fontId="32" fillId="0" borderId="0"/>
    <xf numFmtId="0" fontId="33" fillId="0" borderId="0">
      <alignment vertical="center"/>
    </xf>
    <xf numFmtId="0" fontId="26" fillId="8" borderId="13">
      <alignment vertical="center"/>
    </xf>
    <xf numFmtId="15" fontId="26" fillId="14" borderId="13">
      <alignment vertical="center"/>
    </xf>
    <xf numFmtId="0" fontId="20" fillId="4" borderId="4" applyNumberFormat="0" applyAlignment="0" applyProtection="0"/>
    <xf numFmtId="168" fontId="26" fillId="10" borderId="0">
      <alignment horizontal="right" vertical="center"/>
    </xf>
    <xf numFmtId="168" fontId="27" fillId="0" borderId="10">
      <alignment horizontal="right" vertical="center"/>
    </xf>
    <xf numFmtId="0" fontId="21" fillId="0" borderId="5" applyNumberFormat="0" applyFill="0" applyAlignment="0" applyProtection="0"/>
    <xf numFmtId="0" fontId="14" fillId="5" borderId="6" applyNumberFormat="0" applyAlignment="0" applyProtection="0"/>
    <xf numFmtId="0" fontId="15" fillId="0" borderId="0" applyNumberFormat="0" applyFill="0" applyBorder="0" applyAlignment="0" applyProtection="0"/>
    <xf numFmtId="0" fontId="12" fillId="6" borderId="7" applyNumberFormat="0" applyFont="0" applyAlignment="0" applyProtection="0"/>
    <xf numFmtId="0" fontId="22" fillId="0" borderId="0" applyNumberFormat="0" applyFill="0" applyBorder="0" applyAlignment="0" applyProtection="0"/>
    <xf numFmtId="0" fontId="16" fillId="0" borderId="8" applyNumberFormat="0" applyFill="0" applyAlignment="0" applyProtection="0"/>
    <xf numFmtId="172" fontId="26" fillId="9" borderId="13">
      <alignment horizontal="right" vertical="center"/>
    </xf>
    <xf numFmtId="15" fontId="26" fillId="9" borderId="13">
      <alignment vertical="center"/>
    </xf>
    <xf numFmtId="173" fontId="26" fillId="0" borderId="9">
      <alignment vertical="center"/>
    </xf>
    <xf numFmtId="172" fontId="26" fillId="0" borderId="9">
      <alignment horizontal="right" vertical="center"/>
    </xf>
    <xf numFmtId="15" fontId="26" fillId="0" borderId="9">
      <alignment vertical="center"/>
    </xf>
    <xf numFmtId="0" fontId="24" fillId="7" borderId="0" applyProtection="0">
      <alignment vertical="center"/>
    </xf>
    <xf numFmtId="0" fontId="23" fillId="8" borderId="0" applyProtection="0">
      <alignment vertical="center"/>
    </xf>
    <xf numFmtId="0" fontId="25" fillId="0" borderId="11" applyProtection="0">
      <alignment vertical="center"/>
    </xf>
    <xf numFmtId="0" fontId="25" fillId="0" borderId="12" applyFill="0" applyProtection="0">
      <alignment vertical="center"/>
    </xf>
    <xf numFmtId="173" fontId="26" fillId="9" borderId="13">
      <alignment vertical="center"/>
    </xf>
    <xf numFmtId="172" fontId="27" fillId="0" borderId="10">
      <alignment horizontal="right" vertical="center"/>
    </xf>
    <xf numFmtId="17" fontId="26" fillId="14" borderId="13">
      <alignment vertical="center"/>
    </xf>
    <xf numFmtId="17" fontId="26" fillId="0" borderId="9">
      <alignment vertical="center"/>
    </xf>
    <xf numFmtId="17" fontId="26" fillId="9" borderId="13">
      <alignment vertical="center"/>
    </xf>
    <xf numFmtId="49" fontId="26" fillId="40" borderId="13">
      <alignment vertical="center"/>
    </xf>
    <xf numFmtId="49" fontId="26" fillId="14" borderId="13">
      <alignment vertical="center"/>
    </xf>
    <xf numFmtId="167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49" fontId="35" fillId="15" borderId="0">
      <alignment vertical="center"/>
    </xf>
    <xf numFmtId="0" fontId="34" fillId="11" borderId="0" applyNumberFormat="0" applyBorder="0" applyAlignment="0" applyProtection="0"/>
    <xf numFmtId="0" fontId="36" fillId="12" borderId="0" applyNumberFormat="0" applyBorder="0" applyAlignment="0" applyProtection="0"/>
    <xf numFmtId="49" fontId="26" fillId="9" borderId="13">
      <alignment vertical="center"/>
    </xf>
    <xf numFmtId="49" fontId="26" fillId="9" borderId="13">
      <alignment vertical="center"/>
    </xf>
    <xf numFmtId="0" fontId="38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7" fillId="21" borderId="0" applyNumberFormat="0" applyBorder="0" applyAlignment="0" applyProtection="0"/>
    <xf numFmtId="0" fontId="37" fillId="22" borderId="0" applyNumberFormat="0" applyBorder="0" applyAlignment="0" applyProtection="0"/>
    <xf numFmtId="0" fontId="38" fillId="23" borderId="0" applyNumberFormat="0" applyBorder="0" applyAlignment="0" applyProtection="0"/>
    <xf numFmtId="0" fontId="37" fillId="24" borderId="0" applyNumberFormat="0" applyBorder="0" applyAlignment="0" applyProtection="0"/>
    <xf numFmtId="0" fontId="37" fillId="25" borderId="0" applyNumberFormat="0" applyBorder="0" applyAlignment="0" applyProtection="0"/>
    <xf numFmtId="0" fontId="37" fillId="26" borderId="0" applyNumberFormat="0" applyBorder="0" applyAlignment="0" applyProtection="0"/>
    <xf numFmtId="0" fontId="37" fillId="27" borderId="0" applyNumberFormat="0" applyBorder="0" applyAlignment="0" applyProtection="0"/>
    <xf numFmtId="0" fontId="38" fillId="28" borderId="0" applyNumberFormat="0" applyBorder="0" applyAlignment="0" applyProtection="0"/>
    <xf numFmtId="0" fontId="37" fillId="29" borderId="0" applyNumberFormat="0" applyBorder="0" applyAlignment="0" applyProtection="0"/>
    <xf numFmtId="0" fontId="37" fillId="30" borderId="0" applyNumberFormat="0" applyBorder="0" applyAlignment="0" applyProtection="0"/>
    <xf numFmtId="0" fontId="38" fillId="31" borderId="0" applyNumberFormat="0" applyBorder="0" applyAlignment="0" applyProtection="0"/>
    <xf numFmtId="0" fontId="38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4" borderId="0" applyNumberFormat="0" applyBorder="0" applyAlignment="0" applyProtection="0"/>
    <xf numFmtId="0" fontId="38" fillId="35" borderId="0" applyNumberFormat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15" fontId="26" fillId="40" borderId="13">
      <alignment vertical="center"/>
    </xf>
    <xf numFmtId="17" fontId="26" fillId="40" borderId="13">
      <alignment vertical="center"/>
    </xf>
    <xf numFmtId="173" fontId="26" fillId="14" borderId="13">
      <alignment vertical="center"/>
    </xf>
    <xf numFmtId="172" fontId="26" fillId="40" borderId="13">
      <alignment horizontal="right" vertical="center"/>
    </xf>
    <xf numFmtId="49" fontId="26" fillId="14" borderId="13">
      <alignment vertical="center"/>
    </xf>
    <xf numFmtId="49" fontId="26" fillId="40" borderId="13">
      <alignment vertical="center"/>
    </xf>
    <xf numFmtId="0" fontId="40" fillId="0" borderId="0" applyNumberFormat="0" applyFill="0" applyBorder="0" applyAlignment="0" applyProtection="0"/>
    <xf numFmtId="0" fontId="41" fillId="0" borderId="0">
      <alignment vertical="center"/>
    </xf>
    <xf numFmtId="0" fontId="42" fillId="0" borderId="0"/>
    <xf numFmtId="175" fontId="40" fillId="0" borderId="0" applyFont="0" applyFill="0" applyBorder="0" applyAlignment="0" applyProtection="0"/>
    <xf numFmtId="0" fontId="43" fillId="41" borderId="13" applyNumberFormat="0" applyAlignment="0" applyProtection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52" fillId="12" borderId="0" applyNumberFormat="0" applyBorder="0" applyAlignment="0" applyProtection="0"/>
    <xf numFmtId="0" fontId="11" fillId="0" borderId="0"/>
    <xf numFmtId="0" fontId="55" fillId="0" borderId="0"/>
    <xf numFmtId="0" fontId="10" fillId="0" borderId="0"/>
    <xf numFmtId="0" fontId="9" fillId="0" borderId="0"/>
    <xf numFmtId="43" fontId="132" fillId="0" borderId="0" applyFont="0" applyFill="0" applyBorder="0" applyAlignment="0" applyProtection="0"/>
    <xf numFmtId="0" fontId="8" fillId="0" borderId="0"/>
    <xf numFmtId="0" fontId="133" fillId="0" borderId="0">
      <alignment vertical="center"/>
    </xf>
    <xf numFmtId="0" fontId="7" fillId="0" borderId="0"/>
    <xf numFmtId="167" fontId="6" fillId="0" borderId="0" applyFont="0" applyFill="0" applyBorder="0" applyAlignment="0" applyProtection="0"/>
    <xf numFmtId="0" fontId="5" fillId="0" borderId="0"/>
    <xf numFmtId="0" fontId="12" fillId="0" borderId="0"/>
    <xf numFmtId="0" fontId="135" fillId="32" borderId="0" applyNumberFormat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9" fillId="2" borderId="1" applyNumberFormat="0" applyAlignment="0" applyProtection="0"/>
    <xf numFmtId="0" fontId="18" fillId="3" borderId="0" applyNumberFormat="0" applyAlignment="0" applyProtection="0"/>
    <xf numFmtId="0" fontId="17" fillId="0" borderId="3" applyNumberFormat="0" applyFill="0" applyAlignment="0" applyProtection="0"/>
    <xf numFmtId="0" fontId="17" fillId="0" borderId="2" applyNumberFormat="0" applyFill="0" applyAlignment="0" applyProtection="0"/>
    <xf numFmtId="0" fontId="20" fillId="4" borderId="4" applyNumberFormat="0" applyAlignment="0" applyProtection="0"/>
    <xf numFmtId="168" fontId="26" fillId="10" borderId="0">
      <alignment horizontal="right" vertical="center"/>
    </xf>
    <xf numFmtId="168" fontId="27" fillId="0" borderId="10">
      <alignment horizontal="right" vertical="center"/>
    </xf>
    <xf numFmtId="0" fontId="21" fillId="0" borderId="5" applyNumberFormat="0" applyFill="0" applyAlignment="0" applyProtection="0"/>
    <xf numFmtId="0" fontId="14" fillId="5" borderId="6" applyNumberFormat="0" applyAlignment="0" applyProtection="0"/>
    <xf numFmtId="0" fontId="15" fillId="0" borderId="0" applyNumberFormat="0" applyFill="0" applyBorder="0" applyAlignment="0" applyProtection="0"/>
    <xf numFmtId="0" fontId="12" fillId="6" borderId="7" applyNumberFormat="0" applyFont="0" applyAlignment="0" applyProtection="0"/>
    <xf numFmtId="0" fontId="22" fillId="0" borderId="0" applyNumberFormat="0" applyFill="0" applyBorder="0" applyAlignment="0" applyProtection="0"/>
    <xf numFmtId="0" fontId="16" fillId="0" borderId="8" applyNumberFormat="0" applyFill="0" applyAlignment="0" applyProtection="0"/>
    <xf numFmtId="167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13" fillId="0" borderId="0" applyNumberFormat="0" applyFill="0" applyBorder="0" applyAlignment="0" applyProtection="0"/>
    <xf numFmtId="0" fontId="20" fillId="4" borderId="4" applyNumberFormat="0" applyAlignment="0" applyProtection="0"/>
    <xf numFmtId="0" fontId="21" fillId="0" borderId="5" applyNumberFormat="0" applyFill="0" applyAlignment="0" applyProtection="0"/>
    <xf numFmtId="0" fontId="14" fillId="5" borderId="6" applyNumberFormat="0" applyAlignment="0" applyProtection="0"/>
    <xf numFmtId="0" fontId="15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6" fillId="0" borderId="8" applyNumberFormat="0" applyFill="0" applyAlignment="0" applyProtection="0"/>
    <xf numFmtId="0" fontId="26" fillId="0" borderId="0">
      <alignment vertical="center"/>
    </xf>
    <xf numFmtId="0" fontId="19" fillId="2" borderId="1" applyNumberFormat="0" applyAlignment="0" applyProtection="0"/>
    <xf numFmtId="0" fontId="18" fillId="3" borderId="0" applyNumberFormat="0" applyAlignment="0" applyProtection="0"/>
    <xf numFmtId="0" fontId="17" fillId="0" borderId="3" applyNumberFormat="0" applyFill="0" applyAlignment="0" applyProtection="0"/>
    <xf numFmtId="0" fontId="17" fillId="0" borderId="2" applyNumberFormat="0" applyFill="0" applyAlignment="0" applyProtection="0"/>
    <xf numFmtId="168" fontId="26" fillId="10" borderId="0">
      <alignment horizontal="right" vertical="center"/>
    </xf>
    <xf numFmtId="168" fontId="27" fillId="0" borderId="10">
      <alignment horizontal="right" vertical="center"/>
    </xf>
    <xf numFmtId="0" fontId="12" fillId="6" borderId="7" applyNumberFormat="0" applyFont="0" applyAlignment="0" applyProtection="0"/>
    <xf numFmtId="167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34" fillId="11" borderId="0" applyNumberFormat="0" applyBorder="0" applyAlignment="0" applyProtection="0"/>
    <xf numFmtId="0" fontId="36" fillId="12" borderId="0" applyNumberFormat="0" applyBorder="0" applyAlignment="0" applyProtection="0"/>
    <xf numFmtId="0" fontId="38" fillId="16" borderId="0" applyNumberFormat="0" applyBorder="0" applyAlignment="0" applyProtection="0"/>
    <xf numFmtId="0" fontId="37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7" fillId="22" borderId="0" applyNumberFormat="0" applyBorder="0" applyAlignment="0" applyProtection="0"/>
    <xf numFmtId="0" fontId="38" fillId="23" borderId="0" applyNumberFormat="0" applyBorder="0" applyAlignment="0" applyProtection="0"/>
    <xf numFmtId="0" fontId="37" fillId="24" borderId="0" applyNumberFormat="0" applyBorder="0" applyAlignment="0" applyProtection="0"/>
    <xf numFmtId="0" fontId="37" fillId="25" borderId="0" applyNumberFormat="0" applyBorder="0" applyAlignment="0" applyProtection="0"/>
    <xf numFmtId="0" fontId="37" fillId="26" borderId="0" applyNumberFormat="0" applyBorder="0" applyAlignment="0" applyProtection="0"/>
    <xf numFmtId="0" fontId="37" fillId="27" borderId="0" applyNumberFormat="0" applyBorder="0" applyAlignment="0" applyProtection="0"/>
    <xf numFmtId="0" fontId="38" fillId="28" borderId="0" applyNumberFormat="0" applyBorder="0" applyAlignment="0" applyProtection="0"/>
    <xf numFmtId="0" fontId="37" fillId="29" borderId="0" applyNumberFormat="0" applyBorder="0" applyAlignment="0" applyProtection="0"/>
    <xf numFmtId="0" fontId="37" fillId="30" borderId="0" applyNumberFormat="0" applyBorder="0" applyAlignment="0" applyProtection="0"/>
    <xf numFmtId="0" fontId="38" fillId="31" borderId="0" applyNumberFormat="0" applyBorder="0" applyAlignment="0" applyProtection="0"/>
    <xf numFmtId="0" fontId="38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4" borderId="0" applyNumberFormat="0" applyBorder="0" applyAlignment="0" applyProtection="0"/>
    <xf numFmtId="0" fontId="38" fillId="35" borderId="0" applyNumberFormat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9" fillId="2" borderId="1" applyNumberFormat="0" applyAlignment="0" applyProtection="0"/>
    <xf numFmtId="0" fontId="18" fillId="3" borderId="0" applyNumberFormat="0" applyAlignment="0" applyProtection="0"/>
    <xf numFmtId="0" fontId="17" fillId="0" borderId="3" applyNumberFormat="0" applyFill="0" applyAlignment="0" applyProtection="0"/>
    <xf numFmtId="0" fontId="17" fillId="0" borderId="2" applyNumberFormat="0" applyFill="0" applyAlignment="0" applyProtection="0"/>
    <xf numFmtId="0" fontId="20" fillId="4" borderId="4" applyNumberFormat="0" applyAlignment="0" applyProtection="0"/>
    <xf numFmtId="168" fontId="26" fillId="10" borderId="0">
      <alignment horizontal="right" vertical="center"/>
    </xf>
    <xf numFmtId="168" fontId="27" fillId="0" borderId="10">
      <alignment horizontal="right" vertical="center"/>
    </xf>
    <xf numFmtId="0" fontId="21" fillId="0" borderId="5" applyNumberFormat="0" applyFill="0" applyAlignment="0" applyProtection="0"/>
    <xf numFmtId="0" fontId="14" fillId="5" borderId="6" applyNumberFormat="0" applyAlignment="0" applyProtection="0"/>
    <xf numFmtId="0" fontId="15" fillId="0" borderId="0" applyNumberFormat="0" applyFill="0" applyBorder="0" applyAlignment="0" applyProtection="0"/>
    <xf numFmtId="0" fontId="12" fillId="6" borderId="7" applyNumberFormat="0" applyFont="0" applyAlignment="0" applyProtection="0"/>
    <xf numFmtId="0" fontId="22" fillId="0" borderId="0" applyNumberFormat="0" applyFill="0" applyBorder="0" applyAlignment="0" applyProtection="0"/>
    <xf numFmtId="0" fontId="16" fillId="0" borderId="8" applyNumberFormat="0" applyFill="0" applyAlignment="0" applyProtection="0"/>
    <xf numFmtId="165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8" fontId="27" fillId="0" borderId="10">
      <alignment horizontal="right" vertical="center"/>
    </xf>
    <xf numFmtId="0" fontId="21" fillId="0" borderId="5" applyNumberFormat="0" applyFill="0" applyAlignment="0" applyProtection="0"/>
    <xf numFmtId="0" fontId="20" fillId="4" borderId="4" applyNumberFormat="0" applyAlignment="0" applyProtection="0"/>
    <xf numFmtId="0" fontId="12" fillId="6" borderId="7" applyNumberFormat="0" applyFont="0" applyAlignment="0" applyProtection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0" fontId="14" fillId="5" borderId="6" applyNumberFormat="0" applyAlignment="0" applyProtection="0"/>
    <xf numFmtId="0" fontId="14" fillId="5" borderId="6" applyNumberFormat="0" applyAlignment="0" applyProtection="0"/>
    <xf numFmtId="164" fontId="29" fillId="0" borderId="0" applyFont="0" applyFill="0" applyBorder="0" applyAlignment="0" applyProtection="0"/>
    <xf numFmtId="0" fontId="12" fillId="6" borderId="7" applyNumberFormat="0" applyFont="0" applyAlignment="0" applyProtection="0"/>
    <xf numFmtId="0" fontId="21" fillId="0" borderId="5" applyNumberFormat="0" applyFill="0" applyAlignment="0" applyProtection="0"/>
    <xf numFmtId="168" fontId="27" fillId="0" borderId="10">
      <alignment horizontal="right" vertical="center"/>
    </xf>
    <xf numFmtId="0" fontId="20" fillId="4" borderId="4" applyNumberFormat="0" applyAlignment="0" applyProtection="0"/>
    <xf numFmtId="168" fontId="27" fillId="0" borderId="10">
      <alignment horizontal="right" vertical="center"/>
    </xf>
    <xf numFmtId="0" fontId="21" fillId="0" borderId="5" applyNumberFormat="0" applyFill="0" applyAlignment="0" applyProtection="0"/>
    <xf numFmtId="0" fontId="14" fillId="5" borderId="6" applyNumberFormat="0" applyAlignment="0" applyProtection="0"/>
    <xf numFmtId="166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14" fillId="5" borderId="6" applyNumberFormat="0" applyAlignment="0" applyProtection="0"/>
    <xf numFmtId="0" fontId="20" fillId="4" borderId="4" applyNumberFormat="0" applyAlignment="0" applyProtection="0"/>
    <xf numFmtId="0" fontId="20" fillId="4" borderId="4" applyNumberFormat="0" applyAlignment="0" applyProtection="0"/>
    <xf numFmtId="0" fontId="21" fillId="0" borderId="5" applyNumberFormat="0" applyFill="0" applyAlignment="0" applyProtection="0"/>
    <xf numFmtId="0" fontId="20" fillId="4" borderId="4" applyNumberFormat="0" applyAlignment="0" applyProtection="0"/>
    <xf numFmtId="168" fontId="27" fillId="0" borderId="10">
      <alignment horizontal="right" vertical="center"/>
    </xf>
    <xf numFmtId="0" fontId="21" fillId="0" borderId="5" applyNumberFormat="0" applyFill="0" applyAlignment="0" applyProtection="0"/>
    <xf numFmtId="0" fontId="14" fillId="5" borderId="6" applyNumberFormat="0" applyAlignment="0" applyProtection="0"/>
    <xf numFmtId="0" fontId="12" fillId="6" borderId="7" applyNumberFormat="0" applyFont="0" applyAlignment="0" applyProtection="0"/>
    <xf numFmtId="16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168" fontId="27" fillId="0" borderId="10">
      <alignment horizontal="right" vertical="center"/>
    </xf>
    <xf numFmtId="0" fontId="20" fillId="4" borderId="4" applyNumberFormat="0" applyAlignment="0" applyProtection="0"/>
    <xf numFmtId="168" fontId="27" fillId="0" borderId="10">
      <alignment horizontal="right" vertical="center"/>
    </xf>
    <xf numFmtId="0" fontId="21" fillId="0" borderId="5" applyNumberFormat="0" applyFill="0" applyAlignment="0" applyProtection="0"/>
    <xf numFmtId="0" fontId="14" fillId="5" borderId="6" applyNumberFormat="0" applyAlignment="0" applyProtection="0"/>
    <xf numFmtId="0" fontId="12" fillId="6" borderId="7" applyNumberFormat="0" applyFont="0" applyAlignment="0" applyProtection="0"/>
    <xf numFmtId="166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" fillId="0" borderId="0"/>
    <xf numFmtId="0" fontId="1" fillId="0" borderId="0"/>
    <xf numFmtId="0" fontId="13" fillId="0" borderId="0" applyNumberFormat="0" applyFill="0" applyBorder="0" applyAlignment="0" applyProtection="0"/>
    <xf numFmtId="0" fontId="20" fillId="4" borderId="4" applyNumberFormat="0" applyAlignment="0" applyProtection="0"/>
    <xf numFmtId="0" fontId="21" fillId="0" borderId="5" applyNumberFormat="0" applyFill="0" applyAlignment="0" applyProtection="0"/>
    <xf numFmtId="0" fontId="14" fillId="5" borderId="6" applyNumberFormat="0" applyAlignment="0" applyProtection="0"/>
    <xf numFmtId="0" fontId="15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6" fillId="0" borderId="8" applyNumberFormat="0" applyFill="0" applyAlignment="0" applyProtection="0"/>
    <xf numFmtId="0" fontId="26" fillId="0" borderId="0">
      <alignment vertical="center"/>
    </xf>
    <xf numFmtId="0" fontId="19" fillId="2" borderId="1" applyNumberFormat="0" applyAlignment="0" applyProtection="0"/>
    <xf numFmtId="0" fontId="18" fillId="3" borderId="0" applyNumberFormat="0" applyAlignment="0" applyProtection="0"/>
    <xf numFmtId="0" fontId="17" fillId="0" borderId="3" applyNumberFormat="0" applyFill="0" applyAlignment="0" applyProtection="0"/>
    <xf numFmtId="0" fontId="17" fillId="0" borderId="2" applyNumberFormat="0" applyFill="0" applyAlignment="0" applyProtection="0"/>
    <xf numFmtId="168" fontId="26" fillId="10" borderId="0">
      <alignment horizontal="right" vertical="center"/>
    </xf>
    <xf numFmtId="168" fontId="27" fillId="0" borderId="10">
      <alignment horizontal="right" vertical="center"/>
    </xf>
    <xf numFmtId="0" fontId="12" fillId="6" borderId="7" applyNumberFormat="0" applyFont="0" applyAlignment="0" applyProtection="0"/>
    <xf numFmtId="167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49" fontId="35" fillId="15" borderId="0">
      <alignment vertical="center"/>
    </xf>
    <xf numFmtId="0" fontId="34" fillId="11" borderId="0" applyNumberFormat="0" applyBorder="0" applyAlignment="0" applyProtection="0"/>
    <xf numFmtId="0" fontId="36" fillId="12" borderId="0" applyNumberFormat="0" applyBorder="0" applyAlignment="0" applyProtection="0"/>
    <xf numFmtId="0" fontId="38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7" fillId="21" borderId="0" applyNumberFormat="0" applyBorder="0" applyAlignment="0" applyProtection="0"/>
    <xf numFmtId="0" fontId="37" fillId="22" borderId="0" applyNumberFormat="0" applyBorder="0" applyAlignment="0" applyProtection="0"/>
    <xf numFmtId="0" fontId="38" fillId="23" borderId="0" applyNumberFormat="0" applyBorder="0" applyAlignment="0" applyProtection="0"/>
    <xf numFmtId="0" fontId="37" fillId="24" borderId="0" applyNumberFormat="0" applyBorder="0" applyAlignment="0" applyProtection="0"/>
    <xf numFmtId="0" fontId="37" fillId="25" borderId="0" applyNumberFormat="0" applyBorder="0" applyAlignment="0" applyProtection="0"/>
    <xf numFmtId="0" fontId="37" fillId="26" borderId="0" applyNumberFormat="0" applyBorder="0" applyAlignment="0" applyProtection="0"/>
    <xf numFmtId="0" fontId="37" fillId="27" borderId="0" applyNumberFormat="0" applyBorder="0" applyAlignment="0" applyProtection="0"/>
    <xf numFmtId="0" fontId="38" fillId="28" borderId="0" applyNumberFormat="0" applyBorder="0" applyAlignment="0" applyProtection="0"/>
    <xf numFmtId="0" fontId="37" fillId="29" borderId="0" applyNumberFormat="0" applyBorder="0" applyAlignment="0" applyProtection="0"/>
    <xf numFmtId="0" fontId="37" fillId="30" borderId="0" applyNumberFormat="0" applyBorder="0" applyAlignment="0" applyProtection="0"/>
    <xf numFmtId="0" fontId="38" fillId="31" borderId="0" applyNumberFormat="0" applyBorder="0" applyAlignment="0" applyProtection="0"/>
    <xf numFmtId="0" fontId="38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4" borderId="0" applyNumberFormat="0" applyBorder="0" applyAlignment="0" applyProtection="0"/>
    <xf numFmtId="0" fontId="38" fillId="35" borderId="0" applyNumberFormat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" fillId="0" borderId="0" applyFont="0" applyFill="0" applyBorder="0" applyAlignment="0" applyProtection="0"/>
    <xf numFmtId="0" fontId="1" fillId="0" borderId="0"/>
    <xf numFmtId="0" fontId="1" fillId="0" borderId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9" fillId="2" borderId="1" applyNumberFormat="0" applyAlignment="0" applyProtection="0"/>
    <xf numFmtId="0" fontId="18" fillId="3" borderId="0" applyNumberFormat="0" applyAlignment="0" applyProtection="0"/>
    <xf numFmtId="0" fontId="17" fillId="0" borderId="3" applyNumberFormat="0" applyFill="0" applyAlignment="0" applyProtection="0"/>
    <xf numFmtId="0" fontId="17" fillId="0" borderId="2" applyNumberFormat="0" applyFill="0" applyAlignment="0" applyProtection="0"/>
    <xf numFmtId="0" fontId="20" fillId="4" borderId="4" applyNumberFormat="0" applyAlignment="0" applyProtection="0"/>
    <xf numFmtId="168" fontId="26" fillId="10" borderId="0">
      <alignment horizontal="right" vertical="center"/>
    </xf>
    <xf numFmtId="168" fontId="27" fillId="0" borderId="10">
      <alignment horizontal="right" vertical="center"/>
    </xf>
    <xf numFmtId="0" fontId="21" fillId="0" borderId="5" applyNumberFormat="0" applyFill="0" applyAlignment="0" applyProtection="0"/>
    <xf numFmtId="0" fontId="14" fillId="5" borderId="6" applyNumberFormat="0" applyAlignment="0" applyProtection="0"/>
    <xf numFmtId="0" fontId="15" fillId="0" borderId="0" applyNumberFormat="0" applyFill="0" applyBorder="0" applyAlignment="0" applyProtection="0"/>
    <xf numFmtId="0" fontId="12" fillId="6" borderId="7" applyNumberFormat="0" applyFont="0" applyAlignment="0" applyProtection="0"/>
    <xf numFmtId="0" fontId="22" fillId="0" borderId="0" applyNumberFormat="0" applyFill="0" applyBorder="0" applyAlignment="0" applyProtection="0"/>
    <xf numFmtId="0" fontId="16" fillId="0" borderId="8" applyNumberFormat="0" applyFill="0" applyAlignment="0" applyProtection="0"/>
    <xf numFmtId="165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 applyNumberFormat="0" applyFill="0" applyBorder="0" applyAlignment="0" applyProtection="0"/>
    <xf numFmtId="0" fontId="20" fillId="4" borderId="4" applyNumberFormat="0" applyAlignment="0" applyProtection="0"/>
    <xf numFmtId="0" fontId="21" fillId="0" borderId="5" applyNumberFormat="0" applyFill="0" applyAlignment="0" applyProtection="0"/>
    <xf numFmtId="0" fontId="14" fillId="5" borderId="6" applyNumberFormat="0" applyAlignment="0" applyProtection="0"/>
    <xf numFmtId="0" fontId="15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6" fillId="0" borderId="8" applyNumberFormat="0" applyFill="0" applyAlignment="0" applyProtection="0"/>
    <xf numFmtId="168" fontId="26" fillId="10" borderId="0">
      <alignment horizontal="right" vertical="center"/>
    </xf>
    <xf numFmtId="168" fontId="27" fillId="0" borderId="10">
      <alignment horizontal="right" vertical="center"/>
    </xf>
    <xf numFmtId="0" fontId="12" fillId="6" borderId="7" applyNumberFormat="0" applyFont="0" applyAlignment="0" applyProtection="0"/>
    <xf numFmtId="166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" fillId="0" borderId="0" applyFont="0" applyFill="0" applyBorder="0" applyAlignment="0" applyProtection="0"/>
    <xf numFmtId="0" fontId="1" fillId="0" borderId="0"/>
    <xf numFmtId="0" fontId="1" fillId="0" borderId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20" fillId="4" borderId="4" applyNumberFormat="0" applyAlignment="0" applyProtection="0"/>
    <xf numFmtId="0" fontId="134" fillId="66" borderId="0">
      <alignment horizontal="left" vertical="center" wrapText="1"/>
    </xf>
    <xf numFmtId="168" fontId="27" fillId="0" borderId="10">
      <alignment horizontal="right" vertical="center"/>
    </xf>
    <xf numFmtId="0" fontId="21" fillId="0" borderId="5" applyNumberFormat="0" applyFill="0" applyAlignment="0" applyProtection="0"/>
    <xf numFmtId="0" fontId="14" fillId="5" borderId="6" applyNumberFormat="0" applyAlignment="0" applyProtection="0"/>
    <xf numFmtId="0" fontId="15" fillId="0" borderId="0" applyNumberFormat="0" applyFill="0" applyBorder="0" applyAlignment="0" applyProtection="0"/>
    <xf numFmtId="0" fontId="12" fillId="6" borderId="7" applyNumberFormat="0" applyFont="0" applyAlignment="0" applyProtection="0"/>
    <xf numFmtId="0" fontId="22" fillId="0" borderId="0" applyNumberFormat="0" applyFill="0" applyBorder="0" applyAlignment="0" applyProtection="0"/>
    <xf numFmtId="0" fontId="16" fillId="0" borderId="8" applyNumberFormat="0" applyFill="0" applyAlignment="0" applyProtection="0"/>
    <xf numFmtId="166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27" fillId="0" borderId="10">
      <alignment horizontal="right" vertical="center"/>
    </xf>
    <xf numFmtId="0" fontId="21" fillId="0" borderId="5" applyNumberFormat="0" applyFill="0" applyAlignment="0" applyProtection="0"/>
    <xf numFmtId="0" fontId="20" fillId="4" borderId="4" applyNumberFormat="0" applyAlignment="0" applyProtection="0"/>
    <xf numFmtId="0" fontId="12" fillId="6" borderId="7" applyNumberFormat="0" applyFont="0" applyAlignment="0" applyProtection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0" fontId="14" fillId="5" borderId="6" applyNumberFormat="0" applyAlignment="0" applyProtection="0"/>
    <xf numFmtId="0" fontId="14" fillId="5" borderId="6" applyNumberFormat="0" applyAlignment="0" applyProtection="0"/>
    <xf numFmtId="164" fontId="29" fillId="0" borderId="0" applyFont="0" applyFill="0" applyBorder="0" applyAlignment="0" applyProtection="0"/>
    <xf numFmtId="0" fontId="12" fillId="6" borderId="7" applyNumberFormat="0" applyFont="0" applyAlignment="0" applyProtection="0"/>
    <xf numFmtId="0" fontId="21" fillId="0" borderId="5" applyNumberFormat="0" applyFill="0" applyAlignment="0" applyProtection="0"/>
    <xf numFmtId="168" fontId="27" fillId="0" borderId="10">
      <alignment horizontal="right" vertical="center"/>
    </xf>
    <xf numFmtId="0" fontId="20" fillId="4" borderId="4" applyNumberFormat="0" applyAlignment="0" applyProtection="0"/>
    <xf numFmtId="168" fontId="27" fillId="0" borderId="10">
      <alignment horizontal="right" vertical="center"/>
    </xf>
    <xf numFmtId="0" fontId="21" fillId="0" borderId="5" applyNumberFormat="0" applyFill="0" applyAlignment="0" applyProtection="0"/>
    <xf numFmtId="0" fontId="14" fillId="5" borderId="6" applyNumberFormat="0" applyAlignment="0" applyProtection="0"/>
    <xf numFmtId="166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14" fillId="5" borderId="6" applyNumberFormat="0" applyAlignment="0" applyProtection="0"/>
    <xf numFmtId="0" fontId="20" fillId="4" borderId="4" applyNumberFormat="0" applyAlignment="0" applyProtection="0"/>
    <xf numFmtId="0" fontId="20" fillId="4" borderId="4" applyNumberFormat="0" applyAlignment="0" applyProtection="0"/>
    <xf numFmtId="0" fontId="21" fillId="0" borderId="5" applyNumberFormat="0" applyFill="0" applyAlignment="0" applyProtection="0"/>
    <xf numFmtId="0" fontId="20" fillId="4" borderId="4" applyNumberFormat="0" applyAlignment="0" applyProtection="0"/>
    <xf numFmtId="168" fontId="27" fillId="0" borderId="10">
      <alignment horizontal="right" vertical="center"/>
    </xf>
    <xf numFmtId="0" fontId="21" fillId="0" borderId="5" applyNumberFormat="0" applyFill="0" applyAlignment="0" applyProtection="0"/>
    <xf numFmtId="0" fontId="14" fillId="5" borderId="6" applyNumberFormat="0" applyAlignment="0" applyProtection="0"/>
    <xf numFmtId="0" fontId="12" fillId="6" borderId="7" applyNumberFormat="0" applyFont="0" applyAlignment="0" applyProtection="0"/>
    <xf numFmtId="16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168" fontId="27" fillId="0" borderId="10">
      <alignment horizontal="right" vertical="center"/>
    </xf>
    <xf numFmtId="0" fontId="20" fillId="4" borderId="4" applyNumberFormat="0" applyAlignment="0" applyProtection="0"/>
    <xf numFmtId="168" fontId="27" fillId="0" borderId="10">
      <alignment horizontal="right" vertical="center"/>
    </xf>
    <xf numFmtId="0" fontId="21" fillId="0" borderId="5" applyNumberFormat="0" applyFill="0" applyAlignment="0" applyProtection="0"/>
    <xf numFmtId="0" fontId="14" fillId="5" borderId="6" applyNumberFormat="0" applyAlignment="0" applyProtection="0"/>
    <xf numFmtId="0" fontId="12" fillId="6" borderId="7" applyNumberFormat="0" applyFont="0" applyAlignment="0" applyProtection="0"/>
    <xf numFmtId="166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1" fillId="0" borderId="0"/>
    <xf numFmtId="168" fontId="27" fillId="0" borderId="10">
      <alignment horizontal="right" vertical="center"/>
    </xf>
    <xf numFmtId="0" fontId="30" fillId="70" borderId="145">
      <alignment horizontal="center"/>
    </xf>
  </cellStyleXfs>
  <cellXfs count="692">
    <xf numFmtId="0" fontId="0" fillId="0" borderId="0" xfId="0">
      <alignment vertical="center"/>
    </xf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>
      <alignment vertical="center"/>
    </xf>
    <xf numFmtId="9" fontId="0" fillId="0" borderId="0" xfId="0" applyNumberFormat="1" applyAlignment="1">
      <alignment vertical="center" wrapText="1"/>
    </xf>
    <xf numFmtId="0" fontId="0" fillId="0" borderId="14" xfId="0" applyBorder="1" applyAlignment="1">
      <alignment vertical="center" wrapText="1"/>
    </xf>
    <xf numFmtId="2" fontId="0" fillId="0" borderId="14" xfId="0" applyNumberFormat="1" applyBorder="1" applyAlignment="1">
      <alignment horizontal="center" vertical="center" wrapText="1"/>
    </xf>
    <xf numFmtId="0" fontId="0" fillId="0" borderId="0" xfId="0" quotePrefix="1" applyAlignment="1">
      <alignment vertical="center" wrapText="1"/>
    </xf>
    <xf numFmtId="2" fontId="0" fillId="0" borderId="14" xfId="0" applyNumberFormat="1" applyBorder="1" applyAlignment="1">
      <alignment vertical="center" wrapText="1"/>
    </xf>
    <xf numFmtId="0" fontId="30" fillId="42" borderId="19" xfId="0" applyFont="1" applyFill="1" applyBorder="1">
      <alignment vertical="center"/>
    </xf>
    <xf numFmtId="0" fontId="37" fillId="43" borderId="19" xfId="0" applyFont="1" applyFill="1" applyBorder="1">
      <alignment vertical="center"/>
    </xf>
    <xf numFmtId="0" fontId="37" fillId="0" borderId="19" xfId="0" applyFont="1" applyBorder="1">
      <alignment vertical="center"/>
    </xf>
    <xf numFmtId="0" fontId="30" fillId="42" borderId="19" xfId="0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45" fillId="0" borderId="0" xfId="0" applyFont="1" applyAlignment="1">
      <alignment vertical="center" wrapText="1"/>
    </xf>
    <xf numFmtId="0" fontId="45" fillId="0" borderId="14" xfId="0" applyFont="1" applyBorder="1" applyAlignment="1">
      <alignment horizontal="center" vertical="center" wrapText="1"/>
    </xf>
    <xf numFmtId="0" fontId="45" fillId="0" borderId="20" xfId="0" applyFont="1" applyBorder="1" applyAlignment="1">
      <alignment horizontal="center" vertical="center" wrapText="1"/>
    </xf>
    <xf numFmtId="0" fontId="45" fillId="0" borderId="16" xfId="0" applyFont="1" applyBorder="1" applyAlignment="1">
      <alignment horizontal="center" vertical="center" wrapText="1"/>
    </xf>
    <xf numFmtId="0" fontId="45" fillId="0" borderId="14" xfId="0" quotePrefix="1" applyFont="1" applyBorder="1" applyAlignment="1">
      <alignment horizontal="center" vertical="center" wrapText="1"/>
    </xf>
    <xf numFmtId="0" fontId="30" fillId="42" borderId="19" xfId="0" applyFont="1" applyFill="1" applyBorder="1" applyAlignment="1">
      <alignment horizontal="left" vertical="center"/>
    </xf>
    <xf numFmtId="9" fontId="37" fillId="43" borderId="19" xfId="0" applyNumberFormat="1" applyFont="1" applyFill="1" applyBorder="1">
      <alignment vertical="center"/>
    </xf>
    <xf numFmtId="1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0" fillId="44" borderId="19" xfId="0" applyFont="1" applyFill="1" applyBorder="1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9" fontId="27" fillId="0" borderId="14" xfId="0" applyNumberFormat="1" applyFont="1" applyBorder="1" applyAlignment="1">
      <alignment horizontal="center" vertical="center" wrapText="1"/>
    </xf>
    <xf numFmtId="0" fontId="0" fillId="0" borderId="15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176" fontId="0" fillId="0" borderId="0" xfId="0" applyNumberFormat="1" applyBorder="1" applyAlignment="1">
      <alignment horizontal="center" vertical="center" wrapText="1"/>
    </xf>
    <xf numFmtId="176" fontId="0" fillId="45" borderId="0" xfId="0" applyNumberFormat="1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176" fontId="0" fillId="45" borderId="0" xfId="0" applyNumberFormat="1" applyFill="1" applyBorder="1" applyAlignment="1">
      <alignment horizontal="center" vertical="center" wrapText="1"/>
    </xf>
    <xf numFmtId="0" fontId="46" fillId="46" borderId="0" xfId="0" applyFont="1" applyFill="1">
      <alignment vertical="center"/>
    </xf>
    <xf numFmtId="176" fontId="0" fillId="0" borderId="14" xfId="0" applyNumberFormat="1" applyBorder="1" applyAlignment="1">
      <alignment horizontal="center" vertical="center" wrapText="1"/>
    </xf>
    <xf numFmtId="1" fontId="0" fillId="0" borderId="14" xfId="0" applyNumberFormat="1" applyBorder="1" applyAlignment="1">
      <alignment horizontal="center" vertical="center" wrapText="1"/>
    </xf>
    <xf numFmtId="0" fontId="0" fillId="45" borderId="14" xfId="0" applyFill="1" applyBorder="1" applyAlignment="1">
      <alignment vertical="center" wrapText="1"/>
    </xf>
    <xf numFmtId="0" fontId="0" fillId="0" borderId="0" xfId="0" applyAlignment="1">
      <alignment vertical="top"/>
    </xf>
    <xf numFmtId="0" fontId="47" fillId="45" borderId="26" xfId="0" applyFont="1" applyFill="1" applyBorder="1" applyAlignment="1">
      <alignment horizontal="center" vertical="center" wrapText="1"/>
    </xf>
    <xf numFmtId="0" fontId="47" fillId="45" borderId="26" xfId="0" applyFont="1" applyFill="1" applyBorder="1" applyAlignment="1">
      <alignment horizontal="center" vertical="center"/>
    </xf>
    <xf numFmtId="0" fontId="47" fillId="45" borderId="27" xfId="0" applyFont="1" applyFill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30" fillId="7" borderId="19" xfId="0" applyFont="1" applyFill="1" applyBorder="1" applyAlignment="1">
      <alignment horizontal="center" vertical="center" wrapText="1"/>
    </xf>
    <xf numFmtId="176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left" vertical="top"/>
    </xf>
    <xf numFmtId="1" fontId="0" fillId="0" borderId="25" xfId="0" applyNumberFormat="1" applyBorder="1" applyAlignment="1">
      <alignment wrapText="1"/>
    </xf>
    <xf numFmtId="1" fontId="0" fillId="0" borderId="26" xfId="0" applyNumberFormat="1" applyBorder="1" applyAlignment="1">
      <alignment vertical="center" wrapText="1"/>
    </xf>
    <xf numFmtId="1" fontId="0" fillId="0" borderId="27" xfId="0" applyNumberFormat="1" applyBorder="1" applyAlignment="1">
      <alignment vertical="center" wrapText="1"/>
    </xf>
    <xf numFmtId="0" fontId="50" fillId="46" borderId="0" xfId="0" applyFont="1" applyFill="1" applyAlignment="1">
      <alignment horizontal="right"/>
    </xf>
    <xf numFmtId="0" fontId="0" fillId="0" borderId="0" xfId="0" applyFill="1" applyAlignment="1">
      <alignment horizontal="center" vertical="center"/>
    </xf>
    <xf numFmtId="0" fontId="30" fillId="48" borderId="29" xfId="0" applyFont="1" applyFill="1" applyBorder="1" applyAlignment="1">
      <alignment horizontal="center" vertical="center" wrapText="1"/>
    </xf>
    <xf numFmtId="0" fontId="0" fillId="0" borderId="28" xfId="0" applyBorder="1">
      <alignment vertical="center"/>
    </xf>
    <xf numFmtId="0" fontId="51" fillId="0" borderId="0" xfId="0" applyFont="1">
      <alignment vertical="center"/>
    </xf>
    <xf numFmtId="0" fontId="27" fillId="0" borderId="28" xfId="0" applyFont="1" applyBorder="1">
      <alignment vertical="center"/>
    </xf>
    <xf numFmtId="0" fontId="27" fillId="0" borderId="14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27" fillId="48" borderId="0" xfId="0" applyFont="1" applyFill="1" applyAlignment="1">
      <alignment horizontal="right" vertical="center"/>
    </xf>
    <xf numFmtId="0" fontId="0" fillId="0" borderId="0" xfId="0">
      <alignment vertical="center"/>
    </xf>
    <xf numFmtId="0" fontId="54" fillId="0" borderId="0" xfId="91" applyFont="1"/>
    <xf numFmtId="0" fontId="54" fillId="0" borderId="0" xfId="91" applyFont="1" applyFill="1"/>
    <xf numFmtId="0" fontId="54" fillId="0" borderId="0" xfId="91" applyFont="1" applyFill="1" applyAlignment="1">
      <alignment horizontal="center" vertical="center"/>
    </xf>
    <xf numFmtId="0" fontId="53" fillId="46" borderId="0" xfId="91" applyFont="1" applyFill="1"/>
    <xf numFmtId="0" fontId="56" fillId="0" borderId="0" xfId="0" applyFont="1" applyFill="1" applyBorder="1" applyAlignment="1">
      <alignment horizontal="center" vertical="top"/>
    </xf>
    <xf numFmtId="0" fontId="59" fillId="0" borderId="0" xfId="0" applyFont="1" applyFill="1" applyBorder="1" applyAlignment="1">
      <alignment horizontal="left" vertical="top"/>
    </xf>
    <xf numFmtId="0" fontId="59" fillId="0" borderId="45" xfId="0" applyFont="1" applyFill="1" applyBorder="1" applyAlignment="1">
      <alignment horizontal="left" vertical="top" wrapText="1"/>
    </xf>
    <xf numFmtId="0" fontId="59" fillId="0" borderId="45" xfId="0" applyFont="1" applyFill="1" applyBorder="1" applyAlignment="1">
      <alignment horizontal="center" vertical="top" wrapText="1"/>
    </xf>
    <xf numFmtId="178" fontId="57" fillId="0" borderId="47" xfId="0" applyNumberFormat="1" applyFont="1" applyFill="1" applyBorder="1" applyAlignment="1">
      <alignment horizontal="center" vertical="top" wrapText="1"/>
    </xf>
    <xf numFmtId="179" fontId="57" fillId="0" borderId="49" xfId="0" applyNumberFormat="1" applyFont="1" applyFill="1" applyBorder="1" applyAlignment="1">
      <alignment horizontal="center" vertical="top" wrapText="1"/>
    </xf>
    <xf numFmtId="179" fontId="57" fillId="0" borderId="50" xfId="0" applyNumberFormat="1" applyFont="1" applyFill="1" applyBorder="1" applyAlignment="1">
      <alignment horizontal="center" vertical="top" wrapText="1"/>
    </xf>
    <xf numFmtId="178" fontId="57" fillId="0" borderId="38" xfId="0" applyNumberFormat="1" applyFont="1" applyFill="1" applyBorder="1" applyAlignment="1">
      <alignment horizontal="center" vertical="top" wrapText="1"/>
    </xf>
    <xf numFmtId="179" fontId="57" fillId="0" borderId="51" xfId="0" applyNumberFormat="1" applyFont="1" applyFill="1" applyBorder="1" applyAlignment="1">
      <alignment horizontal="center" vertical="top" wrapText="1"/>
    </xf>
    <xf numFmtId="179" fontId="57" fillId="0" borderId="52" xfId="0" applyNumberFormat="1" applyFont="1" applyFill="1" applyBorder="1" applyAlignment="1">
      <alignment horizontal="center" vertical="top" wrapText="1"/>
    </xf>
    <xf numFmtId="178" fontId="58" fillId="0" borderId="38" xfId="0" applyNumberFormat="1" applyFont="1" applyFill="1" applyBorder="1" applyAlignment="1">
      <alignment horizontal="center" vertical="top" wrapText="1"/>
    </xf>
    <xf numFmtId="179" fontId="59" fillId="0" borderId="52" xfId="0" applyNumberFormat="1" applyFont="1" applyFill="1" applyBorder="1" applyAlignment="1">
      <alignment horizontal="center" vertical="top" wrapText="1"/>
    </xf>
    <xf numFmtId="0" fontId="59" fillId="0" borderId="54" xfId="0" applyFont="1" applyFill="1" applyBorder="1" applyAlignment="1">
      <alignment horizontal="center" vertical="top" wrapText="1"/>
    </xf>
    <xf numFmtId="179" fontId="57" fillId="0" borderId="56" xfId="0" applyNumberFormat="1" applyFont="1" applyFill="1" applyBorder="1" applyAlignment="1">
      <alignment horizontal="center" vertical="top" wrapText="1"/>
    </xf>
    <xf numFmtId="179" fontId="57" fillId="0" borderId="57" xfId="0" applyNumberFormat="1" applyFont="1" applyFill="1" applyBorder="1" applyAlignment="1">
      <alignment horizontal="center" vertical="top" wrapText="1"/>
    </xf>
    <xf numFmtId="178" fontId="57" fillId="0" borderId="59" xfId="0" applyNumberFormat="1" applyFont="1" applyFill="1" applyBorder="1" applyAlignment="1">
      <alignment horizontal="center" vertical="top" wrapText="1"/>
    </xf>
    <xf numFmtId="179" fontId="57" fillId="0" borderId="61" xfId="0" applyNumberFormat="1" applyFont="1" applyFill="1" applyBorder="1" applyAlignment="1">
      <alignment horizontal="center" vertical="top" wrapText="1"/>
    </xf>
    <xf numFmtId="179" fontId="57" fillId="0" borderId="62" xfId="0" applyNumberFormat="1" applyFont="1" applyFill="1" applyBorder="1" applyAlignment="1">
      <alignment horizontal="center" vertical="top" wrapText="1"/>
    </xf>
    <xf numFmtId="0" fontId="59" fillId="0" borderId="64" xfId="0" applyFont="1" applyFill="1" applyBorder="1" applyAlignment="1">
      <alignment horizontal="center" vertical="top" wrapText="1"/>
    </xf>
    <xf numFmtId="179" fontId="57" fillId="0" borderId="66" xfId="0" applyNumberFormat="1" applyFont="1" applyFill="1" applyBorder="1" applyAlignment="1">
      <alignment horizontal="center" vertical="top" wrapText="1"/>
    </xf>
    <xf numFmtId="179" fontId="57" fillId="0" borderId="67" xfId="0" applyNumberFormat="1" applyFont="1" applyFill="1" applyBorder="1" applyAlignment="1">
      <alignment horizontal="center" vertical="top" wrapText="1"/>
    </xf>
    <xf numFmtId="178" fontId="57" fillId="0" borderId="69" xfId="0" applyNumberFormat="1" applyFont="1" applyFill="1" applyBorder="1" applyAlignment="1">
      <alignment horizontal="center" vertical="top" wrapText="1"/>
    </xf>
    <xf numFmtId="179" fontId="57" fillId="0" borderId="71" xfId="0" applyNumberFormat="1" applyFont="1" applyFill="1" applyBorder="1" applyAlignment="1">
      <alignment horizontal="center" vertical="top" wrapText="1"/>
    </xf>
    <xf numFmtId="179" fontId="57" fillId="0" borderId="72" xfId="0" applyNumberFormat="1" applyFont="1" applyFill="1" applyBorder="1" applyAlignment="1">
      <alignment horizontal="center" vertical="top" wrapText="1"/>
    </xf>
    <xf numFmtId="179" fontId="57" fillId="0" borderId="75" xfId="0" applyNumberFormat="1" applyFont="1" applyFill="1" applyBorder="1" applyAlignment="1">
      <alignment horizontal="center" vertical="top" wrapText="1"/>
    </xf>
    <xf numFmtId="179" fontId="57" fillId="0" borderId="76" xfId="0" applyNumberFormat="1" applyFont="1" applyFill="1" applyBorder="1" applyAlignment="1">
      <alignment horizontal="center" vertical="top" wrapText="1"/>
    </xf>
    <xf numFmtId="178" fontId="57" fillId="0" borderId="78" xfId="0" applyNumberFormat="1" applyFont="1" applyFill="1" applyBorder="1" applyAlignment="1">
      <alignment horizontal="center" vertical="top" wrapText="1"/>
    </xf>
    <xf numFmtId="179" fontId="57" fillId="0" borderId="79" xfId="0" applyNumberFormat="1" applyFont="1" applyFill="1" applyBorder="1" applyAlignment="1">
      <alignment horizontal="center" vertical="top" wrapText="1"/>
    </xf>
    <xf numFmtId="179" fontId="57" fillId="0" borderId="80" xfId="0" applyNumberFormat="1" applyFont="1" applyFill="1" applyBorder="1" applyAlignment="1">
      <alignment horizontal="center" vertical="top" wrapText="1"/>
    </xf>
    <xf numFmtId="0" fontId="59" fillId="0" borderId="82" xfId="0" applyFont="1" applyFill="1" applyBorder="1" applyAlignment="1">
      <alignment horizontal="center" vertical="top" wrapText="1"/>
    </xf>
    <xf numFmtId="179" fontId="57" fillId="0" borderId="83" xfId="0" applyNumberFormat="1" applyFont="1" applyFill="1" applyBorder="1" applyAlignment="1">
      <alignment horizontal="center" vertical="top" wrapText="1"/>
    </xf>
    <xf numFmtId="179" fontId="57" fillId="0" borderId="84" xfId="0" applyNumberFormat="1" applyFont="1" applyFill="1" applyBorder="1" applyAlignment="1">
      <alignment horizontal="center" vertical="top" wrapText="1"/>
    </xf>
    <xf numFmtId="0" fontId="56" fillId="0" borderId="45" xfId="0" applyFont="1" applyFill="1" applyBorder="1" applyAlignment="1">
      <alignment horizontal="center" vertical="top" wrapText="1"/>
    </xf>
    <xf numFmtId="178" fontId="63" fillId="0" borderId="47" xfId="0" applyNumberFormat="1" applyFont="1" applyFill="1" applyBorder="1" applyAlignment="1">
      <alignment horizontal="center" vertical="top" wrapText="1"/>
    </xf>
    <xf numFmtId="179" fontId="63" fillId="0" borderId="50" xfId="0" applyNumberFormat="1" applyFont="1" applyFill="1" applyBorder="1" applyAlignment="1">
      <alignment horizontal="center" vertical="top" wrapText="1"/>
    </xf>
    <xf numFmtId="178" fontId="63" fillId="0" borderId="38" xfId="0" applyNumberFormat="1" applyFont="1" applyFill="1" applyBorder="1" applyAlignment="1">
      <alignment horizontal="center" vertical="top" wrapText="1"/>
    </xf>
    <xf numFmtId="179" fontId="63" fillId="0" borderId="52" xfId="0" applyNumberFormat="1" applyFont="1" applyFill="1" applyBorder="1" applyAlignment="1">
      <alignment horizontal="center" vertical="top" wrapText="1"/>
    </xf>
    <xf numFmtId="178" fontId="64" fillId="0" borderId="38" xfId="0" applyNumberFormat="1" applyFont="1" applyFill="1" applyBorder="1" applyAlignment="1">
      <alignment horizontal="center" vertical="top" wrapText="1"/>
    </xf>
    <xf numFmtId="179" fontId="63" fillId="0" borderId="57" xfId="0" applyNumberFormat="1" applyFont="1" applyFill="1" applyBorder="1" applyAlignment="1">
      <alignment horizontal="center" vertical="top" wrapText="1"/>
    </xf>
    <xf numFmtId="178" fontId="63" fillId="0" borderId="59" xfId="0" applyNumberFormat="1" applyFont="1" applyFill="1" applyBorder="1" applyAlignment="1">
      <alignment horizontal="center" vertical="top" wrapText="1"/>
    </xf>
    <xf numFmtId="179" fontId="63" fillId="0" borderId="62" xfId="0" applyNumberFormat="1" applyFont="1" applyFill="1" applyBorder="1" applyAlignment="1">
      <alignment horizontal="center" vertical="top" wrapText="1"/>
    </xf>
    <xf numFmtId="179" fontId="63" fillId="0" borderId="67" xfId="0" applyNumberFormat="1" applyFont="1" applyFill="1" applyBorder="1" applyAlignment="1">
      <alignment horizontal="center" vertical="top" wrapText="1"/>
    </xf>
    <xf numFmtId="178" fontId="63" fillId="0" borderId="69" xfId="0" applyNumberFormat="1" applyFont="1" applyFill="1" applyBorder="1" applyAlignment="1">
      <alignment horizontal="center" vertical="top" wrapText="1"/>
    </xf>
    <xf numFmtId="179" fontId="63" fillId="0" borderId="72" xfId="0" applyNumberFormat="1" applyFont="1" applyFill="1" applyBorder="1" applyAlignment="1">
      <alignment horizontal="center" vertical="top" wrapText="1"/>
    </xf>
    <xf numFmtId="0" fontId="59" fillId="0" borderId="74" xfId="0" applyFont="1" applyFill="1" applyBorder="1" applyAlignment="1">
      <alignment horizontal="center" vertical="top" wrapText="1"/>
    </xf>
    <xf numFmtId="179" fontId="63" fillId="0" borderId="76" xfId="0" applyNumberFormat="1" applyFont="1" applyFill="1" applyBorder="1" applyAlignment="1">
      <alignment horizontal="center" vertical="top" wrapText="1"/>
    </xf>
    <xf numFmtId="178" fontId="63" fillId="0" borderId="78" xfId="0" applyNumberFormat="1" applyFont="1" applyFill="1" applyBorder="1" applyAlignment="1">
      <alignment horizontal="center" vertical="top" wrapText="1"/>
    </xf>
    <xf numFmtId="179" fontId="63" fillId="0" borderId="80" xfId="0" applyNumberFormat="1" applyFont="1" applyFill="1" applyBorder="1" applyAlignment="1">
      <alignment horizontal="center" vertical="top" wrapText="1"/>
    </xf>
    <xf numFmtId="179" fontId="63" fillId="0" borderId="84" xfId="0" applyNumberFormat="1" applyFont="1" applyFill="1" applyBorder="1" applyAlignment="1">
      <alignment horizontal="center" vertical="top" wrapText="1"/>
    </xf>
    <xf numFmtId="0" fontId="56" fillId="0" borderId="91" xfId="0" applyFont="1" applyFill="1" applyBorder="1" applyAlignment="1">
      <alignment horizontal="center" vertical="top" wrapText="1"/>
    </xf>
    <xf numFmtId="0" fontId="59" fillId="0" borderId="91" xfId="0" applyFont="1" applyFill="1" applyBorder="1" applyAlignment="1">
      <alignment horizontal="left" vertical="top" wrapText="1"/>
    </xf>
    <xf numFmtId="0" fontId="59" fillId="0" borderId="91" xfId="0" applyFont="1" applyFill="1" applyBorder="1" applyAlignment="1">
      <alignment horizontal="center" vertical="top" wrapText="1"/>
    </xf>
    <xf numFmtId="178" fontId="67" fillId="0" borderId="47" xfId="0" applyNumberFormat="1" applyFont="1" applyFill="1" applyBorder="1" applyAlignment="1">
      <alignment horizontal="center" vertical="top" wrapText="1"/>
    </xf>
    <xf numFmtId="178" fontId="58" fillId="0" borderId="47" xfId="0" applyNumberFormat="1" applyFont="1" applyFill="1" applyBorder="1" applyAlignment="1">
      <alignment horizontal="center" vertical="top" wrapText="1"/>
    </xf>
    <xf numFmtId="178" fontId="67" fillId="0" borderId="38" xfId="0" applyNumberFormat="1" applyFont="1" applyFill="1" applyBorder="1" applyAlignment="1">
      <alignment horizontal="center" vertical="top" wrapText="1"/>
    </xf>
    <xf numFmtId="178" fontId="59" fillId="0" borderId="38" xfId="0" applyNumberFormat="1" applyFont="1" applyFill="1" applyBorder="1" applyAlignment="1">
      <alignment horizontal="center" vertical="top" wrapText="1"/>
    </xf>
    <xf numFmtId="178" fontId="58" fillId="0" borderId="64" xfId="0" applyNumberFormat="1" applyFont="1" applyFill="1" applyBorder="1" applyAlignment="1">
      <alignment horizontal="center" vertical="top" wrapText="1"/>
    </xf>
    <xf numFmtId="178" fontId="67" fillId="0" borderId="69" xfId="0" applyNumberFormat="1" applyFont="1" applyFill="1" applyBorder="1" applyAlignment="1">
      <alignment horizontal="center" vertical="top" wrapText="1"/>
    </xf>
    <xf numFmtId="178" fontId="58" fillId="0" borderId="69" xfId="0" applyNumberFormat="1" applyFont="1" applyFill="1" applyBorder="1" applyAlignment="1">
      <alignment horizontal="center" vertical="top" wrapText="1"/>
    </xf>
    <xf numFmtId="0" fontId="59" fillId="0" borderId="93" xfId="0" applyFont="1" applyFill="1" applyBorder="1" applyAlignment="1">
      <alignment horizontal="center" vertical="top" wrapText="1"/>
    </xf>
    <xf numFmtId="178" fontId="67" fillId="0" borderId="93" xfId="0" applyNumberFormat="1" applyFont="1" applyFill="1" applyBorder="1" applyAlignment="1">
      <alignment horizontal="center" vertical="top" wrapText="1"/>
    </xf>
    <xf numFmtId="178" fontId="67" fillId="0" borderId="95" xfId="0" applyNumberFormat="1" applyFont="1" applyFill="1" applyBorder="1" applyAlignment="1">
      <alignment horizontal="center" vertical="top" wrapText="1"/>
    </xf>
    <xf numFmtId="178" fontId="58" fillId="0" borderId="95" xfId="0" applyNumberFormat="1" applyFont="1" applyFill="1" applyBorder="1" applyAlignment="1">
      <alignment horizontal="center" vertical="top" wrapText="1"/>
    </xf>
    <xf numFmtId="178" fontId="67" fillId="0" borderId="64" xfId="0" applyNumberFormat="1" applyFont="1" applyFill="1" applyBorder="1" applyAlignment="1">
      <alignment horizontal="center" vertical="top" wrapText="1"/>
    </xf>
    <xf numFmtId="178" fontId="67" fillId="0" borderId="74" xfId="0" applyNumberFormat="1" applyFont="1" applyFill="1" applyBorder="1" applyAlignment="1">
      <alignment horizontal="center" vertical="top" wrapText="1"/>
    </xf>
    <xf numFmtId="178" fontId="67" fillId="0" borderId="78" xfId="0" applyNumberFormat="1" applyFont="1" applyFill="1" applyBorder="1" applyAlignment="1">
      <alignment horizontal="center" vertical="top" wrapText="1"/>
    </xf>
    <xf numFmtId="178" fontId="58" fillId="0" borderId="78" xfId="0" applyNumberFormat="1" applyFont="1" applyFill="1" applyBorder="1" applyAlignment="1">
      <alignment horizontal="center" vertical="top" wrapText="1"/>
    </xf>
    <xf numFmtId="178" fontId="67" fillId="0" borderId="97" xfId="0" applyNumberFormat="1" applyFont="1" applyFill="1" applyBorder="1" applyAlignment="1">
      <alignment horizontal="center" vertical="top" wrapText="1"/>
    </xf>
    <xf numFmtId="178" fontId="70" fillId="0" borderId="38" xfId="0" applyNumberFormat="1" applyFont="1" applyFill="1" applyBorder="1" applyAlignment="1">
      <alignment horizontal="center" vertical="top" wrapText="1"/>
    </xf>
    <xf numFmtId="178" fontId="63" fillId="0" borderId="64" xfId="0" applyNumberFormat="1" applyFont="1" applyFill="1" applyBorder="1" applyAlignment="1">
      <alignment horizontal="center" vertical="top" wrapText="1"/>
    </xf>
    <xf numFmtId="178" fontId="63" fillId="0" borderId="54" xfId="0" applyNumberFormat="1" applyFont="1" applyFill="1" applyBorder="1" applyAlignment="1">
      <alignment horizontal="center" vertical="top" wrapText="1"/>
    </xf>
    <xf numFmtId="178" fontId="63" fillId="0" borderId="74" xfId="0" applyNumberFormat="1" applyFont="1" applyFill="1" applyBorder="1" applyAlignment="1">
      <alignment horizontal="center" vertical="top" wrapText="1"/>
    </xf>
    <xf numFmtId="178" fontId="63" fillId="0" borderId="97" xfId="0" applyNumberFormat="1" applyFont="1" applyFill="1" applyBorder="1" applyAlignment="1">
      <alignment horizontal="center" vertical="top" wrapText="1"/>
    </xf>
    <xf numFmtId="0" fontId="59" fillId="0" borderId="0" xfId="0" applyFont="1" applyFill="1" applyBorder="1" applyAlignment="1">
      <alignment horizontal="center" vertical="top" wrapText="1"/>
    </xf>
    <xf numFmtId="0" fontId="56" fillId="0" borderId="103" xfId="0" applyFont="1" applyFill="1" applyBorder="1" applyAlignment="1">
      <alignment horizontal="left" vertical="top" wrapText="1"/>
    </xf>
    <xf numFmtId="0" fontId="59" fillId="0" borderId="103" xfId="0" applyFont="1" applyFill="1" applyBorder="1" applyAlignment="1">
      <alignment horizontal="left" vertical="top" wrapText="1"/>
    </xf>
    <xf numFmtId="0" fontId="59" fillId="0" borderId="104" xfId="0" applyFont="1" applyFill="1" applyBorder="1" applyAlignment="1">
      <alignment horizontal="left" vertical="top" wrapText="1"/>
    </xf>
    <xf numFmtId="178" fontId="72" fillId="0" borderId="71" xfId="0" applyNumberFormat="1" applyFont="1" applyFill="1" applyBorder="1" applyAlignment="1">
      <alignment horizontal="center" vertical="top" wrapText="1"/>
    </xf>
    <xf numFmtId="178" fontId="71" fillId="0" borderId="71" xfId="0" applyNumberFormat="1" applyFont="1" applyFill="1" applyBorder="1" applyAlignment="1">
      <alignment horizontal="center" vertical="top" wrapText="1"/>
    </xf>
    <xf numFmtId="178" fontId="71" fillId="0" borderId="72" xfId="0" applyNumberFormat="1" applyFont="1" applyFill="1" applyBorder="1" applyAlignment="1">
      <alignment horizontal="center" vertical="top" wrapText="1"/>
    </xf>
    <xf numFmtId="178" fontId="71" fillId="0" borderId="106" xfId="0" applyNumberFormat="1" applyFont="1" applyFill="1" applyBorder="1" applyAlignment="1">
      <alignment horizontal="center" vertical="top" wrapText="1"/>
    </xf>
    <xf numFmtId="178" fontId="72" fillId="0" borderId="51" xfId="0" applyNumberFormat="1" applyFont="1" applyFill="1" applyBorder="1" applyAlignment="1">
      <alignment horizontal="center" vertical="top" wrapText="1"/>
    </xf>
    <xf numFmtId="178" fontId="71" fillId="0" borderId="51" xfId="0" applyNumberFormat="1" applyFont="1" applyFill="1" applyBorder="1" applyAlignment="1">
      <alignment horizontal="center" vertical="top" wrapText="1"/>
    </xf>
    <xf numFmtId="178" fontId="71" fillId="0" borderId="52" xfId="0" applyNumberFormat="1" applyFont="1" applyFill="1" applyBorder="1" applyAlignment="1">
      <alignment horizontal="center" vertical="top" wrapText="1"/>
    </xf>
    <xf numFmtId="178" fontId="71" fillId="0" borderId="102" xfId="0" applyNumberFormat="1" applyFont="1" applyFill="1" applyBorder="1" applyAlignment="1">
      <alignment horizontal="center" vertical="top" wrapText="1"/>
    </xf>
    <xf numFmtId="0" fontId="59" fillId="0" borderId="66" xfId="0" applyFont="1" applyFill="1" applyBorder="1" applyAlignment="1">
      <alignment horizontal="center" vertical="top" wrapText="1"/>
    </xf>
    <xf numFmtId="178" fontId="71" fillId="0" borderId="66" xfId="0" applyNumberFormat="1" applyFont="1" applyFill="1" applyBorder="1" applyAlignment="1">
      <alignment horizontal="center" vertical="top" wrapText="1"/>
    </xf>
    <xf numFmtId="178" fontId="71" fillId="0" borderId="67" xfId="0" applyNumberFormat="1" applyFont="1" applyFill="1" applyBorder="1" applyAlignment="1">
      <alignment horizontal="center" vertical="top" wrapText="1"/>
    </xf>
    <xf numFmtId="178" fontId="71" fillId="0" borderId="105" xfId="0" applyNumberFormat="1" applyFont="1" applyFill="1" applyBorder="1" applyAlignment="1">
      <alignment horizontal="center" vertical="top" wrapText="1"/>
    </xf>
    <xf numFmtId="178" fontId="73" fillId="0" borderId="51" xfId="0" applyNumberFormat="1" applyFont="1" applyFill="1" applyBorder="1" applyAlignment="1">
      <alignment horizontal="center" vertical="top" wrapText="1"/>
    </xf>
    <xf numFmtId="0" fontId="59" fillId="0" borderId="107" xfId="0" applyFont="1" applyFill="1" applyBorder="1" applyAlignment="1">
      <alignment horizontal="center" vertical="top" wrapText="1"/>
    </xf>
    <xf numFmtId="178" fontId="73" fillId="0" borderId="107" xfId="0" applyNumberFormat="1" applyFont="1" applyFill="1" applyBorder="1" applyAlignment="1">
      <alignment horizontal="center" vertical="top" wrapText="1"/>
    </xf>
    <xf numFmtId="178" fontId="71" fillId="0" borderId="107" xfId="0" applyNumberFormat="1" applyFont="1" applyFill="1" applyBorder="1" applyAlignment="1">
      <alignment horizontal="center" vertical="top" wrapText="1"/>
    </xf>
    <xf numFmtId="178" fontId="71" fillId="0" borderId="108" xfId="0" applyNumberFormat="1" applyFont="1" applyFill="1" applyBorder="1" applyAlignment="1">
      <alignment horizontal="center" vertical="top" wrapText="1"/>
    </xf>
    <xf numFmtId="178" fontId="71" fillId="0" borderId="109" xfId="0" applyNumberFormat="1" applyFont="1" applyFill="1" applyBorder="1" applyAlignment="1">
      <alignment horizontal="center" vertical="top" wrapText="1"/>
    </xf>
    <xf numFmtId="178" fontId="72" fillId="0" borderId="49" xfId="0" applyNumberFormat="1" applyFont="1" applyFill="1" applyBorder="1" applyAlignment="1">
      <alignment horizontal="center" vertical="top" wrapText="1"/>
    </xf>
    <xf numFmtId="178" fontId="71" fillId="0" borderId="49" xfId="0" applyNumberFormat="1" applyFont="1" applyFill="1" applyBorder="1" applyAlignment="1">
      <alignment horizontal="center" vertical="top" wrapText="1"/>
    </xf>
    <xf numFmtId="178" fontId="71" fillId="0" borderId="50" xfId="0" applyNumberFormat="1" applyFont="1" applyFill="1" applyBorder="1" applyAlignment="1">
      <alignment horizontal="center" vertical="top" wrapText="1"/>
    </xf>
    <xf numFmtId="178" fontId="71" fillId="0" borderId="110" xfId="0" applyNumberFormat="1" applyFont="1" applyFill="1" applyBorder="1" applyAlignment="1">
      <alignment horizontal="center" vertical="top" wrapText="1"/>
    </xf>
    <xf numFmtId="0" fontId="59" fillId="0" borderId="56" xfId="0" applyFont="1" applyFill="1" applyBorder="1" applyAlignment="1">
      <alignment horizontal="center" vertical="top" wrapText="1"/>
    </xf>
    <xf numFmtId="178" fontId="72" fillId="0" borderId="56" xfId="0" applyNumberFormat="1" applyFont="1" applyFill="1" applyBorder="1" applyAlignment="1">
      <alignment horizontal="center" vertical="top" wrapText="1"/>
    </xf>
    <xf numFmtId="178" fontId="71" fillId="0" borderId="57" xfId="0" applyNumberFormat="1" applyFont="1" applyFill="1" applyBorder="1" applyAlignment="1">
      <alignment horizontal="center" vertical="top" wrapText="1"/>
    </xf>
    <xf numFmtId="178" fontId="71" fillId="0" borderId="111" xfId="0" applyNumberFormat="1" applyFont="1" applyFill="1" applyBorder="1" applyAlignment="1">
      <alignment horizontal="center" vertical="top" wrapText="1"/>
    </xf>
    <xf numFmtId="178" fontId="72" fillId="0" borderId="61" xfId="0" applyNumberFormat="1" applyFont="1" applyFill="1" applyBorder="1" applyAlignment="1">
      <alignment horizontal="center" vertical="top" wrapText="1"/>
    </xf>
    <xf numFmtId="178" fontId="71" fillId="0" borderId="61" xfId="0" applyNumberFormat="1" applyFont="1" applyFill="1" applyBorder="1" applyAlignment="1">
      <alignment horizontal="center" vertical="top" wrapText="1"/>
    </xf>
    <xf numFmtId="178" fontId="71" fillId="0" borderId="62" xfId="0" applyNumberFormat="1" applyFont="1" applyFill="1" applyBorder="1" applyAlignment="1">
      <alignment horizontal="center" vertical="top" wrapText="1"/>
    </xf>
    <xf numFmtId="178" fontId="71" fillId="0" borderId="112" xfId="0" applyNumberFormat="1" applyFont="1" applyFill="1" applyBorder="1" applyAlignment="1">
      <alignment horizontal="center" vertical="top" wrapText="1"/>
    </xf>
    <xf numFmtId="178" fontId="73" fillId="0" borderId="52" xfId="0" applyNumberFormat="1" applyFont="1" applyFill="1" applyBorder="1" applyAlignment="1">
      <alignment horizontal="center" vertical="top" wrapText="1"/>
    </xf>
    <xf numFmtId="178" fontId="73" fillId="0" borderId="66" xfId="0" applyNumberFormat="1" applyFont="1" applyFill="1" applyBorder="1" applyAlignment="1">
      <alignment horizontal="center" vertical="top" wrapText="1"/>
    </xf>
    <xf numFmtId="178" fontId="72" fillId="0" borderId="67" xfId="0" applyNumberFormat="1" applyFont="1" applyFill="1" applyBorder="1" applyAlignment="1">
      <alignment horizontal="center" vertical="top" wrapText="1"/>
    </xf>
    <xf numFmtId="178" fontId="72" fillId="0" borderId="52" xfId="0" applyNumberFormat="1" applyFont="1" applyFill="1" applyBorder="1" applyAlignment="1">
      <alignment horizontal="center" vertical="top" wrapText="1"/>
    </xf>
    <xf numFmtId="0" fontId="59" fillId="0" borderId="114" xfId="0" applyFont="1" applyFill="1" applyBorder="1" applyAlignment="1">
      <alignment horizontal="center" vertical="top" wrapText="1"/>
    </xf>
    <xf numFmtId="178" fontId="72" fillId="0" borderId="114" xfId="0" applyNumberFormat="1" applyFont="1" applyFill="1" applyBorder="1" applyAlignment="1">
      <alignment horizontal="center" vertical="top" wrapText="1"/>
    </xf>
    <xf numFmtId="178" fontId="72" fillId="0" borderId="115" xfId="0" applyNumberFormat="1" applyFont="1" applyFill="1" applyBorder="1" applyAlignment="1">
      <alignment horizontal="center" vertical="top" wrapText="1"/>
    </xf>
    <xf numFmtId="178" fontId="71" fillId="0" borderId="116" xfId="0" applyNumberFormat="1" applyFont="1" applyFill="1" applyBorder="1" applyAlignment="1">
      <alignment horizontal="center" vertical="top" wrapText="1"/>
    </xf>
    <xf numFmtId="179" fontId="57" fillId="0" borderId="0" xfId="0" applyNumberFormat="1" applyFont="1" applyFill="1" applyBorder="1" applyAlignment="1">
      <alignment horizontal="center" vertical="top" wrapText="1"/>
    </xf>
    <xf numFmtId="179" fontId="63" fillId="0" borderId="0" xfId="0" applyNumberFormat="1" applyFont="1" applyFill="1" applyBorder="1" applyAlignment="1">
      <alignment horizontal="center" vertical="top" wrapText="1"/>
    </xf>
    <xf numFmtId="178" fontId="72" fillId="0" borderId="0" xfId="0" applyNumberFormat="1" applyFont="1" applyFill="1" applyBorder="1" applyAlignment="1">
      <alignment horizontal="center" vertical="top" wrapText="1"/>
    </xf>
    <xf numFmtId="178" fontId="71" fillId="0" borderId="0" xfId="0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40" fillId="0" borderId="0" xfId="0" applyFont="1">
      <alignment vertical="center"/>
    </xf>
    <xf numFmtId="0" fontId="40" fillId="0" borderId="0" xfId="0" applyFont="1" applyAlignment="1">
      <alignment vertical="center" wrapText="1"/>
    </xf>
    <xf numFmtId="0" fontId="77" fillId="0" borderId="0" xfId="0" applyFont="1" applyAlignment="1">
      <alignment vertical="center" wrapText="1"/>
    </xf>
    <xf numFmtId="0" fontId="78" fillId="0" borderId="0" xfId="92" applyFont="1" applyFill="1" applyBorder="1" applyAlignment="1">
      <alignment horizontal="left" vertical="top"/>
    </xf>
    <xf numFmtId="0" fontId="40" fillId="0" borderId="121" xfId="92" applyFont="1" applyFill="1" applyBorder="1" applyAlignment="1">
      <alignment horizontal="center" vertical="top" wrapText="1"/>
    </xf>
    <xf numFmtId="180" fontId="75" fillId="0" borderId="121" xfId="92" applyNumberFormat="1" applyFont="1" applyFill="1" applyBorder="1" applyAlignment="1">
      <alignment horizontal="center" vertical="top" wrapText="1"/>
    </xf>
    <xf numFmtId="180" fontId="74" fillId="0" borderId="121" xfId="92" applyNumberFormat="1" applyFont="1" applyFill="1" applyBorder="1" applyAlignment="1">
      <alignment horizontal="center" vertical="top" wrapText="1"/>
    </xf>
    <xf numFmtId="180" fontId="75" fillId="0" borderId="119" xfId="92" applyNumberFormat="1" applyFont="1" applyFill="1" applyBorder="1" applyAlignment="1">
      <alignment horizontal="center" vertical="top" wrapText="1"/>
    </xf>
    <xf numFmtId="178" fontId="75" fillId="0" borderId="122" xfId="92" applyNumberFormat="1" applyFont="1" applyFill="1" applyBorder="1" applyAlignment="1">
      <alignment horizontal="center" vertical="top" wrapText="1"/>
    </xf>
    <xf numFmtId="178" fontId="74" fillId="0" borderId="123" xfId="92" applyNumberFormat="1" applyFont="1" applyFill="1" applyBorder="1" applyAlignment="1">
      <alignment horizontal="center" vertical="top" wrapText="1"/>
    </xf>
    <xf numFmtId="178" fontId="74" fillId="0" borderId="125" xfId="92" applyNumberFormat="1" applyFont="1" applyFill="1" applyBorder="1" applyAlignment="1">
      <alignment horizontal="center" vertical="top" wrapText="1"/>
    </xf>
    <xf numFmtId="178" fontId="75" fillId="0" borderId="125" xfId="92" applyNumberFormat="1" applyFont="1" applyFill="1" applyBorder="1" applyAlignment="1">
      <alignment horizontal="center" vertical="top" wrapText="1"/>
    </xf>
    <xf numFmtId="178" fontId="74" fillId="0" borderId="126" xfId="92" applyNumberFormat="1" applyFont="1" applyFill="1" applyBorder="1" applyAlignment="1">
      <alignment horizontal="center" vertical="top" wrapText="1"/>
    </xf>
    <xf numFmtId="178" fontId="75" fillId="0" borderId="126" xfId="92" applyNumberFormat="1" applyFont="1" applyFill="1" applyBorder="1" applyAlignment="1">
      <alignment horizontal="center" vertical="top" wrapText="1"/>
    </xf>
    <xf numFmtId="178" fontId="74" fillId="0" borderId="127" xfId="92" applyNumberFormat="1" applyFont="1" applyFill="1" applyBorder="1" applyAlignment="1">
      <alignment horizontal="center" vertical="top" wrapText="1"/>
    </xf>
    <xf numFmtId="178" fontId="75" fillId="0" borderId="127" xfId="92" applyNumberFormat="1" applyFont="1" applyFill="1" applyBorder="1" applyAlignment="1">
      <alignment horizontal="center" vertical="top" wrapText="1"/>
    </xf>
    <xf numFmtId="178" fontId="75" fillId="0" borderId="128" xfId="92" applyNumberFormat="1" applyFont="1" applyFill="1" applyBorder="1" applyAlignment="1">
      <alignment horizontal="center" vertical="top" wrapText="1"/>
    </xf>
    <xf numFmtId="178" fontId="75" fillId="0" borderId="123" xfId="92" applyNumberFormat="1" applyFont="1" applyFill="1" applyBorder="1" applyAlignment="1">
      <alignment horizontal="center" vertical="top" wrapText="1"/>
    </xf>
    <xf numFmtId="178" fontId="74" fillId="0" borderId="122" xfId="92" applyNumberFormat="1" applyFont="1" applyFill="1" applyBorder="1" applyAlignment="1">
      <alignment horizontal="center" vertical="top" wrapText="1"/>
    </xf>
    <xf numFmtId="178" fontId="74" fillId="0" borderId="128" xfId="92" applyNumberFormat="1" applyFont="1" applyFill="1" applyBorder="1" applyAlignment="1">
      <alignment horizontal="center" vertical="top" wrapText="1"/>
    </xf>
    <xf numFmtId="9" fontId="79" fillId="0" borderId="121" xfId="92" applyNumberFormat="1" applyFont="1" applyFill="1" applyBorder="1" applyAlignment="1">
      <alignment horizontal="center" vertical="top" wrapText="1"/>
    </xf>
    <xf numFmtId="9" fontId="80" fillId="0" borderId="121" xfId="92" applyNumberFormat="1" applyFont="1" applyFill="1" applyBorder="1" applyAlignment="1">
      <alignment horizontal="center" vertical="top" wrapText="1"/>
    </xf>
    <xf numFmtId="9" fontId="81" fillId="0" borderId="121" xfId="92" applyNumberFormat="1" applyFont="1" applyFill="1" applyBorder="1" applyAlignment="1">
      <alignment horizontal="center" vertical="top" wrapText="1"/>
    </xf>
    <xf numFmtId="9" fontId="80" fillId="0" borderId="119" xfId="92" applyNumberFormat="1" applyFont="1" applyFill="1" applyBorder="1" applyAlignment="1">
      <alignment horizontal="center" vertical="top" wrapText="1"/>
    </xf>
    <xf numFmtId="178" fontId="74" fillId="49" borderId="125" xfId="92" applyNumberFormat="1" applyFont="1" applyFill="1" applyBorder="1" applyAlignment="1">
      <alignment horizontal="center" vertical="top" wrapText="1"/>
    </xf>
    <xf numFmtId="0" fontId="40" fillId="0" borderId="121" xfId="0" applyFont="1" applyFill="1" applyBorder="1" applyAlignment="1">
      <alignment horizontal="center" vertical="top" wrapText="1"/>
    </xf>
    <xf numFmtId="180" fontId="84" fillId="0" borderId="121" xfId="0" applyNumberFormat="1" applyFont="1" applyFill="1" applyBorder="1" applyAlignment="1">
      <alignment horizontal="center" vertical="top" wrapText="1"/>
    </xf>
    <xf numFmtId="180" fontId="83" fillId="0" borderId="121" xfId="0" applyNumberFormat="1" applyFont="1" applyFill="1" applyBorder="1" applyAlignment="1">
      <alignment horizontal="center" vertical="top" wrapText="1"/>
    </xf>
    <xf numFmtId="180" fontId="83" fillId="0" borderId="119" xfId="0" applyNumberFormat="1" applyFont="1" applyFill="1" applyBorder="1" applyAlignment="1">
      <alignment horizontal="center" vertical="top" wrapText="1"/>
    </xf>
    <xf numFmtId="180" fontId="84" fillId="0" borderId="119" xfId="0" applyNumberFormat="1" applyFont="1" applyFill="1" applyBorder="1" applyAlignment="1">
      <alignment horizontal="center" vertical="top" wrapText="1"/>
    </xf>
    <xf numFmtId="178" fontId="84" fillId="0" borderId="122" xfId="0" applyNumberFormat="1" applyFont="1" applyFill="1" applyBorder="1" applyAlignment="1">
      <alignment horizontal="center" vertical="top" wrapText="1"/>
    </xf>
    <xf numFmtId="178" fontId="83" fillId="0" borderId="123" xfId="0" applyNumberFormat="1" applyFont="1" applyFill="1" applyBorder="1" applyAlignment="1">
      <alignment horizontal="center" vertical="top" wrapText="1"/>
    </xf>
    <xf numFmtId="178" fontId="84" fillId="0" borderId="125" xfId="0" applyNumberFormat="1" applyFont="1" applyFill="1" applyBorder="1" applyAlignment="1">
      <alignment horizontal="center" vertical="top" wrapText="1"/>
    </xf>
    <xf numFmtId="178" fontId="83" fillId="0" borderId="125" xfId="0" applyNumberFormat="1" applyFont="1" applyFill="1" applyBorder="1" applyAlignment="1">
      <alignment horizontal="center" vertical="top" wrapText="1"/>
    </xf>
    <xf numFmtId="178" fontId="84" fillId="0" borderId="126" xfId="0" applyNumberFormat="1" applyFont="1" applyFill="1" applyBorder="1" applyAlignment="1">
      <alignment horizontal="center" vertical="top" wrapText="1"/>
    </xf>
    <xf numFmtId="178" fontId="83" fillId="0" borderId="126" xfId="0" applyNumberFormat="1" applyFont="1" applyFill="1" applyBorder="1" applyAlignment="1">
      <alignment horizontal="center" vertical="top" wrapText="1"/>
    </xf>
    <xf numFmtId="178" fontId="83" fillId="0" borderId="127" xfId="0" applyNumberFormat="1" applyFont="1" applyFill="1" applyBorder="1" applyAlignment="1">
      <alignment horizontal="center" vertical="top" wrapText="1"/>
    </xf>
    <xf numFmtId="178" fontId="84" fillId="0" borderId="127" xfId="0" applyNumberFormat="1" applyFont="1" applyFill="1" applyBorder="1" applyAlignment="1">
      <alignment horizontal="center" vertical="top" wrapText="1"/>
    </xf>
    <xf numFmtId="178" fontId="83" fillId="0" borderId="122" xfId="0" applyNumberFormat="1" applyFont="1" applyFill="1" applyBorder="1" applyAlignment="1">
      <alignment horizontal="center" vertical="top" wrapText="1"/>
    </xf>
    <xf numFmtId="0" fontId="40" fillId="0" borderId="0" xfId="0" applyFont="1" applyFill="1" applyBorder="1" applyAlignment="1">
      <alignment horizontal="center" vertical="top"/>
    </xf>
    <xf numFmtId="178" fontId="84" fillId="0" borderId="128" xfId="0" applyNumberFormat="1" applyFont="1" applyFill="1" applyBorder="1" applyAlignment="1">
      <alignment horizontal="center" vertical="top" wrapText="1"/>
    </xf>
    <xf numFmtId="178" fontId="84" fillId="0" borderId="123" xfId="0" applyNumberFormat="1" applyFont="1" applyFill="1" applyBorder="1" applyAlignment="1">
      <alignment horizontal="center" vertical="top" wrapText="1"/>
    </xf>
    <xf numFmtId="178" fontId="78" fillId="0" borderId="125" xfId="0" applyNumberFormat="1" applyFont="1" applyFill="1" applyBorder="1" applyAlignment="1">
      <alignment horizontal="center" vertical="top" wrapText="1"/>
    </xf>
    <xf numFmtId="178" fontId="78" fillId="0" borderId="126" xfId="0" applyNumberFormat="1" applyFont="1" applyFill="1" applyBorder="1" applyAlignment="1">
      <alignment horizontal="center" vertical="top" wrapText="1"/>
    </xf>
    <xf numFmtId="178" fontId="78" fillId="0" borderId="127" xfId="0" applyNumberFormat="1" applyFont="1" applyFill="1" applyBorder="1" applyAlignment="1">
      <alignment horizontal="center" vertical="top" wrapText="1"/>
    </xf>
    <xf numFmtId="178" fontId="74" fillId="0" borderId="0" xfId="92" applyNumberFormat="1" applyFont="1" applyFill="1" applyBorder="1" applyAlignment="1">
      <alignment horizontal="center" vertical="top" wrapText="1"/>
    </xf>
    <xf numFmtId="0" fontId="40" fillId="0" borderId="119" xfId="0" applyFont="1" applyFill="1" applyBorder="1" applyAlignment="1">
      <alignment vertical="top" wrapText="1"/>
    </xf>
    <xf numFmtId="0" fontId="40" fillId="0" borderId="120" xfId="0" applyFont="1" applyFill="1" applyBorder="1" applyAlignment="1">
      <alignment vertical="top" wrapText="1"/>
    </xf>
    <xf numFmtId="0" fontId="82" fillId="0" borderId="121" xfId="0" applyFont="1" applyFill="1" applyBorder="1" applyAlignment="1">
      <alignment horizontal="center" vertical="top" wrapText="1"/>
    </xf>
    <xf numFmtId="181" fontId="83" fillId="0" borderId="125" xfId="0" applyNumberFormat="1" applyFont="1" applyFill="1" applyBorder="1" applyAlignment="1">
      <alignment horizontal="center" vertical="top" wrapText="1"/>
    </xf>
    <xf numFmtId="0" fontId="0" fillId="0" borderId="0" xfId="0" applyAlignment="1">
      <alignment horizontal="left" vertical="center"/>
    </xf>
    <xf numFmtId="0" fontId="56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0" fontId="40" fillId="0" borderId="117" xfId="92" applyFont="1" applyFill="1" applyBorder="1" applyAlignment="1">
      <alignment horizontal="left" vertical="top" wrapText="1"/>
    </xf>
    <xf numFmtId="180" fontId="74" fillId="0" borderId="124" xfId="92" applyNumberFormat="1" applyFont="1" applyFill="1" applyBorder="1" applyAlignment="1">
      <alignment horizontal="left" vertical="top" wrapText="1"/>
    </xf>
    <xf numFmtId="180" fontId="75" fillId="0" borderId="124" xfId="92" applyNumberFormat="1" applyFont="1" applyFill="1" applyBorder="1" applyAlignment="1">
      <alignment horizontal="left" vertical="top" wrapText="1"/>
    </xf>
    <xf numFmtId="180" fontId="74" fillId="0" borderId="118" xfId="92" applyNumberFormat="1" applyFont="1" applyFill="1" applyBorder="1" applyAlignment="1">
      <alignment horizontal="left" vertical="top" wrapText="1"/>
    </xf>
    <xf numFmtId="0" fontId="79" fillId="0" borderId="117" xfId="92" applyFont="1" applyFill="1" applyBorder="1" applyAlignment="1">
      <alignment horizontal="left" vertical="top" wrapText="1"/>
    </xf>
    <xf numFmtId="180" fontId="81" fillId="0" borderId="124" xfId="92" applyNumberFormat="1" applyFont="1" applyFill="1" applyBorder="1" applyAlignment="1">
      <alignment horizontal="left" vertical="top" wrapText="1"/>
    </xf>
    <xf numFmtId="180" fontId="80" fillId="0" borderId="124" xfId="92" applyNumberFormat="1" applyFont="1" applyFill="1" applyBorder="1" applyAlignment="1">
      <alignment horizontal="left" vertical="top" wrapText="1"/>
    </xf>
    <xf numFmtId="180" fontId="81" fillId="0" borderId="118" xfId="92" applyNumberFormat="1" applyFont="1" applyFill="1" applyBorder="1" applyAlignment="1">
      <alignment horizontal="left" vertical="top" wrapText="1"/>
    </xf>
    <xf numFmtId="180" fontId="74" fillId="0" borderId="0" xfId="92" applyNumberFormat="1" applyFont="1" applyFill="1" applyBorder="1" applyAlignment="1">
      <alignment horizontal="left" vertical="top" wrapText="1"/>
    </xf>
    <xf numFmtId="0" fontId="40" fillId="0" borderId="0" xfId="0" applyFont="1" applyFill="1" applyBorder="1" applyAlignment="1">
      <alignment horizontal="left" vertical="top"/>
    </xf>
    <xf numFmtId="0" fontId="40" fillId="0" borderId="117" xfId="0" applyFont="1" applyFill="1" applyBorder="1" applyAlignment="1">
      <alignment horizontal="left" vertical="top" wrapText="1"/>
    </xf>
    <xf numFmtId="180" fontId="84" fillId="0" borderId="124" xfId="0" applyNumberFormat="1" applyFont="1" applyFill="1" applyBorder="1" applyAlignment="1">
      <alignment horizontal="left" vertical="top" wrapText="1"/>
    </xf>
    <xf numFmtId="180" fontId="83" fillId="0" borderId="124" xfId="0" applyNumberFormat="1" applyFont="1" applyFill="1" applyBorder="1" applyAlignment="1">
      <alignment horizontal="left" vertical="top" wrapText="1"/>
    </xf>
    <xf numFmtId="180" fontId="84" fillId="0" borderId="118" xfId="0" applyNumberFormat="1" applyFont="1" applyFill="1" applyBorder="1" applyAlignment="1">
      <alignment horizontal="left" vertical="top" wrapText="1"/>
    </xf>
    <xf numFmtId="0" fontId="79" fillId="0" borderId="117" xfId="0" applyFont="1" applyFill="1" applyBorder="1" applyAlignment="1">
      <alignment horizontal="left" vertical="top" wrapText="1"/>
    </xf>
    <xf numFmtId="180" fontId="86" fillId="0" borderId="124" xfId="0" applyNumberFormat="1" applyFont="1" applyFill="1" applyBorder="1" applyAlignment="1">
      <alignment horizontal="left" vertical="top" wrapText="1"/>
    </xf>
    <xf numFmtId="180" fontId="87" fillId="0" borderId="124" xfId="0" applyNumberFormat="1" applyFont="1" applyFill="1" applyBorder="1" applyAlignment="1">
      <alignment horizontal="left" vertical="top" wrapText="1"/>
    </xf>
    <xf numFmtId="180" fontId="87" fillId="0" borderId="118" xfId="0" applyNumberFormat="1" applyFont="1" applyFill="1" applyBorder="1" applyAlignment="1">
      <alignment horizontal="left" vertical="top" wrapText="1"/>
    </xf>
    <xf numFmtId="180" fontId="78" fillId="0" borderId="124" xfId="0" applyNumberFormat="1" applyFont="1" applyFill="1" applyBorder="1" applyAlignment="1">
      <alignment horizontal="left" vertical="top" wrapText="1"/>
    </xf>
    <xf numFmtId="180" fontId="78" fillId="0" borderId="118" xfId="0" applyNumberFormat="1" applyFont="1" applyFill="1" applyBorder="1" applyAlignment="1">
      <alignment horizontal="left" vertical="top" wrapText="1"/>
    </xf>
    <xf numFmtId="0" fontId="37" fillId="0" borderId="0" xfId="0" applyFont="1" applyBorder="1">
      <alignment vertical="center"/>
    </xf>
    <xf numFmtId="0" fontId="37" fillId="0" borderId="0" xfId="0" applyFont="1" applyFill="1" applyBorder="1">
      <alignment vertical="center"/>
    </xf>
    <xf numFmtId="0" fontId="37" fillId="0" borderId="0" xfId="0" applyFont="1" applyFill="1" applyBorder="1" applyAlignment="1">
      <alignment horizontal="right" vertical="center"/>
    </xf>
    <xf numFmtId="0" fontId="0" fillId="0" borderId="0" xfId="0" applyFill="1" applyBorder="1">
      <alignment vertical="center"/>
    </xf>
    <xf numFmtId="0" fontId="30" fillId="51" borderId="19" xfId="0" applyFont="1" applyFill="1" applyBorder="1" applyAlignment="1">
      <alignment horizontal="center" vertical="center" wrapText="1"/>
    </xf>
    <xf numFmtId="9" fontId="0" fillId="0" borderId="0" xfId="0" applyNumberFormat="1" applyFill="1" applyAlignment="1">
      <alignment horizontal="center" vertical="center"/>
    </xf>
    <xf numFmtId="1" fontId="27" fillId="0" borderId="0" xfId="0" applyNumberFormat="1" applyFont="1" applyFill="1" applyAlignment="1">
      <alignment horizontal="center" vertical="center"/>
    </xf>
    <xf numFmtId="0" fontId="48" fillId="0" borderId="129" xfId="0" applyFont="1" applyBorder="1">
      <alignment vertical="center"/>
    </xf>
    <xf numFmtId="0" fontId="0" fillId="0" borderId="129" xfId="0" applyBorder="1">
      <alignment vertical="center"/>
    </xf>
    <xf numFmtId="2" fontId="37" fillId="43" borderId="19" xfId="0" applyNumberFormat="1" applyFont="1" applyFill="1" applyBorder="1" applyAlignment="1">
      <alignment horizontal="center" vertical="center"/>
    </xf>
    <xf numFmtId="0" fontId="30" fillId="42" borderId="19" xfId="0" applyFont="1" applyFill="1" applyBorder="1" applyAlignment="1">
      <alignment horizontal="center" vertical="center"/>
    </xf>
    <xf numFmtId="0" fontId="27" fillId="0" borderId="129" xfId="0" applyFont="1" applyBorder="1" applyAlignment="1">
      <alignment horizontal="center" vertical="center"/>
    </xf>
    <xf numFmtId="0" fontId="88" fillId="13" borderId="32" xfId="90" applyFont="1" applyFill="1" applyBorder="1" applyAlignment="1">
      <alignment horizontal="center" vertical="center" wrapText="1"/>
    </xf>
    <xf numFmtId="0" fontId="30" fillId="52" borderId="29" xfId="0" applyFont="1" applyFill="1" applyBorder="1" applyAlignment="1">
      <alignment horizontal="center" vertical="center" wrapText="1"/>
    </xf>
    <xf numFmtId="0" fontId="30" fillId="47" borderId="19" xfId="0" applyFont="1" applyFill="1" applyBorder="1" applyAlignment="1">
      <alignment horizontal="center" vertical="center" wrapText="1"/>
    </xf>
    <xf numFmtId="0" fontId="0" fillId="0" borderId="0" xfId="0" applyBorder="1">
      <alignment vertical="center"/>
    </xf>
    <xf numFmtId="0" fontId="4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46" fillId="46" borderId="0" xfId="0" applyFont="1" applyFill="1" applyBorder="1">
      <alignment vertical="center"/>
    </xf>
    <xf numFmtId="0" fontId="50" fillId="46" borderId="0" xfId="0" applyFont="1" applyFill="1" applyBorder="1" applyAlignment="1">
      <alignment horizontal="right"/>
    </xf>
    <xf numFmtId="0" fontId="88" fillId="13" borderId="0" xfId="90" applyFont="1" applyFill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 vertical="center"/>
    </xf>
    <xf numFmtId="2" fontId="49" fillId="0" borderId="0" xfId="0" applyNumberFormat="1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91" fillId="0" borderId="0" xfId="0" applyFont="1" applyAlignment="1">
      <alignment vertical="center" wrapText="1"/>
    </xf>
    <xf numFmtId="0" fontId="0" fillId="53" borderId="0" xfId="0" applyFont="1" applyFill="1" applyAlignment="1">
      <alignment vertical="center" wrapText="1"/>
    </xf>
    <xf numFmtId="0" fontId="0" fillId="0" borderId="0" xfId="0" applyFont="1" applyFill="1" applyAlignment="1">
      <alignment vertical="center" wrapText="1"/>
    </xf>
    <xf numFmtId="176" fontId="0" fillId="0" borderId="0" xfId="0" applyNumberFormat="1" applyFont="1" applyAlignment="1">
      <alignment vertical="center" wrapText="1"/>
    </xf>
    <xf numFmtId="176" fontId="0" fillId="0" borderId="0" xfId="0" applyNumberFormat="1" applyFont="1" applyAlignment="1">
      <alignment horizontal="right" vertical="center" wrapText="1"/>
    </xf>
    <xf numFmtId="0" fontId="121" fillId="0" borderId="0" xfId="0" applyFont="1" applyAlignment="1">
      <alignment vertical="center" wrapText="1"/>
    </xf>
    <xf numFmtId="176" fontId="126" fillId="0" borderId="0" xfId="0" applyNumberFormat="1" applyFont="1" applyAlignment="1">
      <alignment vertical="center" wrapText="1"/>
    </xf>
    <xf numFmtId="2" fontId="0" fillId="0" borderId="0" xfId="0" applyNumberFormat="1" applyFont="1" applyAlignment="1">
      <alignment vertical="center" wrapText="1"/>
    </xf>
    <xf numFmtId="2" fontId="0" fillId="0" borderId="0" xfId="0" applyNumberFormat="1" applyFill="1" applyBorder="1">
      <alignment vertical="center"/>
    </xf>
    <xf numFmtId="0" fontId="48" fillId="0" borderId="130" xfId="0" applyFont="1" applyBorder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53" fillId="0" borderId="0" xfId="91" applyFont="1" applyFill="1"/>
    <xf numFmtId="0" fontId="0" fillId="0" borderId="0" xfId="0" applyFill="1">
      <alignment vertical="center"/>
    </xf>
    <xf numFmtId="0" fontId="27" fillId="0" borderId="130" xfId="0" applyFont="1" applyBorder="1" applyAlignment="1">
      <alignment horizontal="center" vertical="center"/>
    </xf>
    <xf numFmtId="0" fontId="88" fillId="7" borderId="0" xfId="0" applyFont="1" applyFill="1" applyAlignment="1">
      <alignment horizontal="center" vertical="center" wrapText="1"/>
    </xf>
    <xf numFmtId="0" fontId="88" fillId="7" borderId="0" xfId="0" quotePrefix="1" applyFont="1" applyFill="1" applyAlignment="1">
      <alignment horizontal="center" vertical="center" wrapText="1"/>
    </xf>
    <xf numFmtId="0" fontId="88" fillId="44" borderId="0" xfId="0" applyFont="1" applyFill="1" applyAlignment="1">
      <alignment horizontal="center" vertical="center" wrapText="1"/>
    </xf>
    <xf numFmtId="0" fontId="88" fillId="50" borderId="0" xfId="0" applyFont="1" applyFill="1" applyAlignment="1">
      <alignment horizontal="center" vertical="center" wrapText="1"/>
    </xf>
    <xf numFmtId="0" fontId="88" fillId="48" borderId="0" xfId="0" applyFont="1" applyFill="1" applyAlignment="1">
      <alignment horizontal="center" vertical="center" wrapText="1"/>
    </xf>
    <xf numFmtId="10" fontId="88" fillId="48" borderId="0" xfId="0" applyNumberFormat="1" applyFont="1" applyFill="1" applyAlignment="1">
      <alignment horizontal="center" vertical="center" wrapText="1"/>
    </xf>
    <xf numFmtId="0" fontId="88" fillId="7" borderId="0" xfId="0" quotePrefix="1" applyFont="1" applyFill="1" applyBorder="1" applyAlignment="1">
      <alignment horizontal="center" vertical="center" wrapText="1"/>
    </xf>
    <xf numFmtId="0" fontId="88" fillId="50" borderId="0" xfId="90" applyFont="1" applyFill="1" applyBorder="1" applyAlignment="1">
      <alignment horizontal="center" vertical="center" wrapText="1"/>
    </xf>
    <xf numFmtId="176" fontId="0" fillId="0" borderId="0" xfId="0" applyNumberFormat="1" applyFill="1" applyBorder="1" applyAlignment="1">
      <alignment horizontal="center" vertical="center"/>
    </xf>
    <xf numFmtId="176" fontId="27" fillId="0" borderId="0" xfId="0" applyNumberFormat="1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Fill="1" applyBorder="1">
      <alignment vertical="center"/>
    </xf>
    <xf numFmtId="2" fontId="37" fillId="0" borderId="0" xfId="0" applyNumberFormat="1" applyFont="1" applyFill="1" applyBorder="1" applyAlignment="1">
      <alignment horizontal="center" vertical="center"/>
    </xf>
    <xf numFmtId="0" fontId="88" fillId="50" borderId="0" xfId="90" applyFont="1" applyFill="1" applyBorder="1" applyAlignment="1">
      <alignment horizontal="left" vertical="center" wrapText="1"/>
    </xf>
    <xf numFmtId="0" fontId="54" fillId="0" borderId="31" xfId="94" applyFont="1" applyFill="1" applyBorder="1" applyAlignment="1">
      <alignment horizontal="center" vertical="center"/>
    </xf>
    <xf numFmtId="0" fontId="46" fillId="7" borderId="131" xfId="0" applyFont="1" applyFill="1" applyBorder="1">
      <alignment vertical="center"/>
    </xf>
    <xf numFmtId="0" fontId="128" fillId="7" borderId="131" xfId="0" quotePrefix="1" applyFont="1" applyFill="1" applyBorder="1" applyAlignment="1">
      <alignment horizontal="center" vertical="center" wrapText="1"/>
    </xf>
    <xf numFmtId="2" fontId="37" fillId="7" borderId="131" xfId="0" applyNumberFormat="1" applyFont="1" applyFill="1" applyBorder="1" applyAlignment="1">
      <alignment horizontal="center" vertical="center"/>
    </xf>
    <xf numFmtId="0" fontId="0" fillId="7" borderId="131" xfId="0" applyFill="1" applyBorder="1">
      <alignment vertical="center"/>
    </xf>
    <xf numFmtId="0" fontId="129" fillId="7" borderId="131" xfId="0" applyFont="1" applyFill="1" applyBorder="1" applyAlignment="1">
      <alignment horizontal="center" vertical="center" wrapText="1"/>
    </xf>
    <xf numFmtId="9" fontId="0" fillId="7" borderId="131" xfId="0" applyNumberFormat="1" applyFill="1" applyBorder="1" applyAlignment="1">
      <alignment horizontal="center" vertical="center"/>
    </xf>
    <xf numFmtId="2" fontId="37" fillId="0" borderId="19" xfId="0" quotePrefix="1" applyNumberFormat="1" applyFont="1" applyBorder="1" applyAlignment="1">
      <alignment horizontal="center" vertical="center"/>
    </xf>
    <xf numFmtId="2" fontId="37" fillId="43" borderId="19" xfId="0" quotePrefix="1" applyNumberFormat="1" applyFont="1" applyFill="1" applyBorder="1" applyAlignment="1">
      <alignment horizontal="center" vertical="center"/>
    </xf>
    <xf numFmtId="0" fontId="37" fillId="0" borderId="132" xfId="0" applyFont="1" applyBorder="1" applyAlignment="1">
      <alignment horizontal="right" vertical="center"/>
    </xf>
    <xf numFmtId="0" fontId="37" fillId="0" borderId="132" xfId="0" applyFont="1" applyBorder="1">
      <alignment vertical="center"/>
    </xf>
    <xf numFmtId="0" fontId="130" fillId="46" borderId="0" xfId="0" applyFont="1" applyFill="1" applyAlignment="1">
      <alignment horizontal="right" vertical="center"/>
    </xf>
    <xf numFmtId="1" fontId="131" fillId="0" borderId="0" xfId="0" applyNumberFormat="1" applyFont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27" fillId="0" borderId="0" xfId="0" applyFont="1">
      <alignment vertical="center"/>
    </xf>
    <xf numFmtId="0" fontId="27" fillId="54" borderId="0" xfId="0" applyFont="1" applyFill="1" applyAlignment="1">
      <alignment horizontal="center" vertical="center"/>
    </xf>
    <xf numFmtId="0" fontId="51" fillId="54" borderId="0" xfId="0" applyFont="1" applyFill="1" applyAlignment="1">
      <alignment horizontal="center" vertical="center"/>
    </xf>
    <xf numFmtId="2" fontId="51" fillId="54" borderId="0" xfId="0" applyNumberFormat="1" applyFont="1" applyFill="1" applyAlignment="1">
      <alignment horizontal="center" vertical="center"/>
    </xf>
    <xf numFmtId="176" fontId="51" fillId="54" borderId="0" xfId="0" applyNumberFormat="1" applyFont="1" applyFill="1" applyAlignment="1">
      <alignment horizontal="center" vertical="center"/>
    </xf>
    <xf numFmtId="1" fontId="37" fillId="0" borderId="0" xfId="0" applyNumberFormat="1" applyFont="1" applyFill="1" applyBorder="1" applyAlignment="1">
      <alignment horizontal="center" vertical="center"/>
    </xf>
    <xf numFmtId="3" fontId="27" fillId="0" borderId="0" xfId="0" applyNumberFormat="1" applyFont="1" applyBorder="1" applyAlignment="1">
      <alignment horizontal="center" vertical="center"/>
    </xf>
    <xf numFmtId="1" fontId="49" fillId="0" borderId="0" xfId="0" applyNumberFormat="1" applyFont="1" applyFill="1" applyBorder="1" applyAlignment="1">
      <alignment horizontal="center" vertical="center"/>
    </xf>
    <xf numFmtId="176" fontId="37" fillId="0" borderId="0" xfId="0" applyNumberFormat="1" applyFont="1" applyFill="1" applyBorder="1" applyAlignment="1">
      <alignment horizontal="center" vertical="center"/>
    </xf>
    <xf numFmtId="176" fontId="27" fillId="54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left"/>
    </xf>
    <xf numFmtId="176" fontId="27" fillId="0" borderId="0" xfId="0" applyNumberFormat="1" applyFont="1">
      <alignment vertical="center"/>
    </xf>
    <xf numFmtId="0" fontId="49" fillId="43" borderId="0" xfId="0" applyFont="1" applyFill="1" applyBorder="1" applyAlignment="1">
      <alignment horizontal="center" vertical="center" wrapText="1"/>
    </xf>
    <xf numFmtId="0" fontId="30" fillId="42" borderId="134" xfId="0" applyFont="1" applyFill="1" applyBorder="1" applyAlignment="1">
      <alignment horizontal="left" vertical="center"/>
    </xf>
    <xf numFmtId="0" fontId="30" fillId="42" borderId="0" xfId="0" applyFont="1" applyFill="1" applyBorder="1" applyAlignment="1">
      <alignment horizontal="left" vertical="center"/>
    </xf>
    <xf numFmtId="0" fontId="30" fillId="42" borderId="29" xfId="0" applyFont="1" applyFill="1" applyBorder="1" applyAlignment="1">
      <alignment horizontal="left" vertical="center"/>
    </xf>
    <xf numFmtId="0" fontId="38" fillId="42" borderId="19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49" fillId="55" borderId="135" xfId="0" applyFont="1" applyFill="1" applyBorder="1">
      <alignment vertical="center"/>
    </xf>
    <xf numFmtId="0" fontId="37" fillId="55" borderId="135" xfId="0" applyFont="1" applyFill="1" applyBorder="1">
      <alignment vertical="center"/>
    </xf>
    <xf numFmtId="0" fontId="37" fillId="0" borderId="135" xfId="0" applyFont="1" applyBorder="1">
      <alignment vertical="center"/>
    </xf>
    <xf numFmtId="0" fontId="54" fillId="0" borderId="135" xfId="91" applyNumberFormat="1" applyFont="1" applyBorder="1" applyAlignment="1"/>
    <xf numFmtId="0" fontId="49" fillId="0" borderId="135" xfId="0" applyFont="1" applyBorder="1">
      <alignment vertical="center"/>
    </xf>
    <xf numFmtId="0" fontId="49" fillId="0" borderId="135" xfId="0" applyFont="1" applyBorder="1" applyAlignment="1">
      <alignment horizontal="left" vertical="center"/>
    </xf>
    <xf numFmtId="0" fontId="49" fillId="55" borderId="135" xfId="0" quotePrefix="1" applyFont="1" applyFill="1" applyBorder="1" applyAlignment="1">
      <alignment horizontal="left" vertical="center"/>
    </xf>
    <xf numFmtId="0" fontId="49" fillId="0" borderId="136" xfId="0" applyFont="1" applyBorder="1">
      <alignment vertical="center"/>
    </xf>
    <xf numFmtId="0" fontId="49" fillId="0" borderId="136" xfId="0" applyFont="1" applyBorder="1" applyAlignment="1">
      <alignment horizontal="left" vertical="center"/>
    </xf>
    <xf numFmtId="0" fontId="37" fillId="0" borderId="136" xfId="0" applyFont="1" applyBorder="1">
      <alignment vertical="center"/>
    </xf>
    <xf numFmtId="0" fontId="54" fillId="0" borderId="136" xfId="91" applyNumberFormat="1" applyFont="1" applyBorder="1" applyAlignment="1"/>
    <xf numFmtId="176" fontId="0" fillId="0" borderId="0" xfId="0" applyNumberFormat="1" applyFont="1" applyAlignment="1">
      <alignment horizontal="center" vertical="center" wrapText="1"/>
    </xf>
    <xf numFmtId="176" fontId="0" fillId="0" borderId="0" xfId="0" applyNumberFormat="1" applyFont="1" applyBorder="1" applyAlignment="1">
      <alignment horizontal="center" vertical="center" wrapText="1"/>
    </xf>
    <xf numFmtId="176" fontId="0" fillId="0" borderId="0" xfId="0" applyNumberFormat="1" applyFont="1" applyFill="1" applyBorder="1" applyAlignment="1">
      <alignment horizontal="center" vertical="top" wrapText="1"/>
    </xf>
    <xf numFmtId="1" fontId="27" fillId="0" borderId="0" xfId="0" applyNumberFormat="1" applyFont="1" applyFill="1" applyBorder="1" applyAlignment="1">
      <alignment horizontal="center" vertical="center" wrapText="1"/>
    </xf>
    <xf numFmtId="176" fontId="27" fillId="0" borderId="0" xfId="0" applyNumberFormat="1" applyFont="1" applyFill="1" applyBorder="1" applyAlignment="1">
      <alignment horizontal="center" vertical="center" wrapText="1"/>
    </xf>
    <xf numFmtId="0" fontId="0" fillId="0" borderId="133" xfId="0" applyFont="1" applyBorder="1" applyAlignment="1">
      <alignment horizontal="center" vertical="center" wrapText="1"/>
    </xf>
    <xf numFmtId="176" fontId="0" fillId="0" borderId="133" xfId="0" applyNumberFormat="1" applyFont="1" applyBorder="1" applyAlignment="1">
      <alignment horizontal="center" vertical="center" wrapText="1"/>
    </xf>
    <xf numFmtId="0" fontId="27" fillId="0" borderId="133" xfId="0" applyFont="1" applyBorder="1" applyAlignment="1">
      <alignment horizontal="center" vertical="center"/>
    </xf>
    <xf numFmtId="176" fontId="0" fillId="0" borderId="133" xfId="0" applyNumberFormat="1" applyFont="1" applyFill="1" applyBorder="1" applyAlignment="1">
      <alignment horizontal="center" vertical="top" wrapText="1"/>
    </xf>
    <xf numFmtId="0" fontId="0" fillId="0" borderId="133" xfId="0" applyBorder="1">
      <alignment vertical="center"/>
    </xf>
    <xf numFmtId="0" fontId="0" fillId="0" borderId="133" xfId="0" applyFont="1" applyBorder="1" applyAlignment="1">
      <alignment vertical="center" wrapText="1"/>
    </xf>
    <xf numFmtId="0" fontId="27" fillId="0" borderId="133" xfId="0" applyFont="1" applyBorder="1" applyAlignment="1">
      <alignment horizontal="center" vertical="center" wrapText="1"/>
    </xf>
    <xf numFmtId="180" fontId="27" fillId="0" borderId="133" xfId="0" applyNumberFormat="1" applyFont="1" applyFill="1" applyBorder="1" applyAlignment="1">
      <alignment horizontal="center" vertical="center" wrapText="1"/>
    </xf>
    <xf numFmtId="0" fontId="0" fillId="0" borderId="133" xfId="0" applyFont="1" applyFill="1" applyBorder="1" applyAlignment="1">
      <alignment vertical="top" wrapText="1"/>
    </xf>
    <xf numFmtId="0" fontId="0" fillId="0" borderId="21" xfId="0" applyFont="1" applyBorder="1" applyAlignment="1">
      <alignment horizontal="center" vertical="center" wrapText="1"/>
    </xf>
    <xf numFmtId="176" fontId="0" fillId="0" borderId="21" xfId="0" applyNumberFormat="1" applyFont="1" applyBorder="1" applyAlignment="1">
      <alignment horizontal="center" vertical="center" wrapText="1"/>
    </xf>
    <xf numFmtId="0" fontId="27" fillId="0" borderId="21" xfId="0" applyFont="1" applyBorder="1" applyAlignment="1">
      <alignment horizontal="center" vertical="center"/>
    </xf>
    <xf numFmtId="176" fontId="0" fillId="0" borderId="21" xfId="0" applyNumberFormat="1" applyFont="1" applyFill="1" applyBorder="1" applyAlignment="1">
      <alignment horizontal="center" vertical="top" wrapText="1"/>
    </xf>
    <xf numFmtId="0" fontId="0" fillId="0" borderId="21" xfId="0" applyBorder="1">
      <alignment vertical="center"/>
    </xf>
    <xf numFmtId="176" fontId="27" fillId="0" borderId="0" xfId="0" applyNumberFormat="1" applyFont="1" applyAlignment="1">
      <alignment horizontal="center" vertical="center" wrapText="1"/>
    </xf>
    <xf numFmtId="176" fontId="27" fillId="0" borderId="0" xfId="0" applyNumberFormat="1" applyFont="1" applyBorder="1" applyAlignment="1">
      <alignment horizontal="center" vertical="center" wrapText="1"/>
    </xf>
    <xf numFmtId="176" fontId="27" fillId="0" borderId="0" xfId="0" applyNumberFormat="1" applyFont="1" applyFill="1" applyBorder="1" applyAlignment="1">
      <alignment horizontal="center" vertical="top" wrapText="1"/>
    </xf>
    <xf numFmtId="0" fontId="48" fillId="0" borderId="0" xfId="0" applyFont="1" applyAlignment="1">
      <alignment horizontal="center" vertical="center"/>
    </xf>
    <xf numFmtId="0" fontId="48" fillId="0" borderId="133" xfId="0" applyFont="1" applyBorder="1" applyAlignment="1">
      <alignment horizontal="center" vertical="center"/>
    </xf>
    <xf numFmtId="1" fontId="0" fillId="0" borderId="0" xfId="0" applyNumberFormat="1">
      <alignment vertical="center"/>
    </xf>
    <xf numFmtId="2" fontId="49" fillId="0" borderId="0" xfId="0" quotePrefix="1" applyNumberFormat="1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54" fillId="0" borderId="30" xfId="98" applyFont="1" applyFill="1" applyBorder="1" applyAlignment="1">
      <alignment horizontal="center" vertical="center"/>
    </xf>
    <xf numFmtId="0" fontId="54" fillId="0" borderId="30" xfId="98" applyFont="1" applyFill="1" applyBorder="1" applyAlignment="1">
      <alignment horizontal="left" vertical="center"/>
    </xf>
    <xf numFmtId="177" fontId="54" fillId="0" borderId="30" xfId="98" applyNumberFormat="1" applyFont="1" applyFill="1" applyBorder="1" applyAlignment="1">
      <alignment horizontal="center" vertical="center"/>
    </xf>
    <xf numFmtId="2" fontId="54" fillId="0" borderId="30" xfId="98" applyNumberFormat="1" applyFont="1" applyFill="1" applyBorder="1" applyAlignment="1">
      <alignment horizontal="center" vertical="center"/>
    </xf>
    <xf numFmtId="176" fontId="0" fillId="0" borderId="0" xfId="0" applyNumberFormat="1" applyAlignment="1">
      <alignment vertical="center" wrapText="1"/>
    </xf>
    <xf numFmtId="176" fontId="0" fillId="54" borderId="0" xfId="0" applyNumberFormat="1" applyFill="1" applyAlignment="1">
      <alignment horizontal="center" vertical="center" wrapText="1"/>
    </xf>
    <xf numFmtId="0" fontId="54" fillId="0" borderId="30" xfId="98" applyFont="1" applyFill="1" applyBorder="1" applyAlignment="1">
      <alignment horizontal="right" vertical="center"/>
    </xf>
    <xf numFmtId="1" fontId="54" fillId="0" borderId="30" xfId="98" applyNumberFormat="1" applyFont="1" applyFill="1" applyBorder="1" applyAlignment="1">
      <alignment horizontal="center" vertical="center"/>
    </xf>
    <xf numFmtId="0" fontId="0" fillId="56" borderId="0" xfId="0" applyFill="1" applyAlignment="1">
      <alignment horizontal="center" vertical="center"/>
    </xf>
    <xf numFmtId="0" fontId="54" fillId="0" borderId="31" xfId="94" quotePrefix="1" applyFont="1" applyFill="1" applyBorder="1" applyAlignment="1">
      <alignment horizontal="center" vertical="center"/>
    </xf>
    <xf numFmtId="2" fontId="0" fillId="49" borderId="14" xfId="0" applyNumberFormat="1" applyFill="1" applyBorder="1" applyAlignment="1">
      <alignment horizontal="center" vertical="center" wrapText="1"/>
    </xf>
    <xf numFmtId="2" fontId="54" fillId="0" borderId="30" xfId="98" applyNumberFormat="1" applyFont="1" applyFill="1" applyBorder="1" applyAlignment="1">
      <alignment horizontal="right" vertical="center"/>
    </xf>
    <xf numFmtId="2" fontId="54" fillId="0" borderId="30" xfId="98" applyNumberFormat="1" applyFont="1" applyFill="1" applyBorder="1" applyAlignment="1">
      <alignment horizontal="left" vertical="center"/>
    </xf>
    <xf numFmtId="4" fontId="54" fillId="0" borderId="30" xfId="98" applyNumberFormat="1" applyFont="1" applyFill="1" applyBorder="1" applyAlignment="1">
      <alignment horizontal="center" vertical="center"/>
    </xf>
    <xf numFmtId="2" fontId="54" fillId="0" borderId="30" xfId="94" applyNumberFormat="1" applyFont="1" applyFill="1" applyBorder="1" applyAlignment="1">
      <alignment horizontal="center" vertical="center"/>
    </xf>
    <xf numFmtId="0" fontId="37" fillId="7" borderId="0" xfId="0" applyNumberFormat="1" applyFont="1" applyFill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27" fillId="0" borderId="0" xfId="0" applyNumberFormat="1" applyFont="1" applyFill="1" applyBorder="1" applyAlignment="1">
      <alignment horizontal="center" vertical="center"/>
    </xf>
    <xf numFmtId="2" fontId="54" fillId="0" borderId="137" xfId="98" applyNumberFormat="1" applyFont="1" applyFill="1" applyBorder="1" applyAlignment="1">
      <alignment horizontal="center" vertical="center"/>
    </xf>
    <xf numFmtId="2" fontId="54" fillId="0" borderId="137" xfId="98" applyNumberFormat="1" applyFont="1" applyFill="1" applyBorder="1" applyAlignment="1">
      <alignment horizontal="right" vertical="center"/>
    </xf>
    <xf numFmtId="2" fontId="54" fillId="0" borderId="137" xfId="98" applyNumberFormat="1" applyFont="1" applyFill="1" applyBorder="1" applyAlignment="1">
      <alignment horizontal="left" vertical="center"/>
    </xf>
    <xf numFmtId="177" fontId="54" fillId="0" borderId="137" xfId="98" applyNumberFormat="1" applyFont="1" applyFill="1" applyBorder="1" applyAlignment="1">
      <alignment horizontal="center" vertical="center"/>
    </xf>
    <xf numFmtId="1" fontId="54" fillId="0" borderId="137" xfId="98" applyNumberFormat="1" applyFont="1" applyFill="1" applyBorder="1" applyAlignment="1">
      <alignment horizontal="center" vertical="center"/>
    </xf>
    <xf numFmtId="4" fontId="54" fillId="0" borderId="137" xfId="98" applyNumberFormat="1" applyFont="1" applyFill="1" applyBorder="1" applyAlignment="1">
      <alignment horizontal="center" vertical="center"/>
    </xf>
    <xf numFmtId="2" fontId="54" fillId="0" borderId="137" xfId="94" applyNumberFormat="1" applyFont="1" applyFill="1" applyBorder="1" applyAlignment="1">
      <alignment horizontal="center" vertical="center"/>
    </xf>
    <xf numFmtId="0" fontId="54" fillId="0" borderId="138" xfId="94" applyFont="1" applyFill="1" applyBorder="1" applyAlignment="1">
      <alignment horizontal="center" vertical="center"/>
    </xf>
    <xf numFmtId="0" fontId="37" fillId="7" borderId="0" xfId="0" applyNumberFormat="1" applyFont="1" applyFill="1" applyBorder="1" applyAlignment="1">
      <alignment horizontal="center" vertical="center"/>
    </xf>
    <xf numFmtId="0" fontId="0" fillId="56" borderId="0" xfId="0" applyFill="1" applyBorder="1" applyAlignment="1">
      <alignment horizontal="center" vertical="center"/>
    </xf>
    <xf numFmtId="9" fontId="0" fillId="0" borderId="131" xfId="0" applyNumberFormat="1" applyFill="1" applyBorder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2" fontId="27" fillId="0" borderId="0" xfId="0" applyNumberFormat="1" applyFont="1" applyFill="1" applyBorder="1" applyAlignment="1">
      <alignment horizontal="center" vertical="center"/>
    </xf>
    <xf numFmtId="2" fontId="49" fillId="0" borderId="0" xfId="0" applyNumberFormat="1" applyFon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2" fontId="54" fillId="0" borderId="31" xfId="94" applyNumberFormat="1" applyFont="1" applyFill="1" applyBorder="1" applyAlignment="1">
      <alignment horizontal="center" vertical="center"/>
    </xf>
    <xf numFmtId="2" fontId="0" fillId="7" borderId="131" xfId="0" applyNumberFormat="1" applyFill="1" applyBorder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1" fontId="0" fillId="0" borderId="0" xfId="0" applyNumberFormat="1">
      <alignment vertical="center"/>
    </xf>
    <xf numFmtId="2" fontId="37" fillId="0" borderId="0" xfId="0" applyNumberFormat="1" applyFont="1" applyFill="1" applyAlignment="1">
      <alignment horizontal="center" vertical="center"/>
    </xf>
    <xf numFmtId="1" fontId="37" fillId="0" borderId="0" xfId="0" applyNumberFormat="1" applyFont="1" applyFill="1" applyAlignment="1">
      <alignment horizontal="center" vertical="center"/>
    </xf>
    <xf numFmtId="2" fontId="54" fillId="0" borderId="138" xfId="94" applyNumberFormat="1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81" fontId="0" fillId="0" borderId="0" xfId="0" applyNumberFormat="1" applyBorder="1" applyAlignment="1">
      <alignment horizontal="center" vertical="center"/>
    </xf>
    <xf numFmtId="181" fontId="0" fillId="0" borderId="0" xfId="0" applyNumberFormat="1" applyBorder="1">
      <alignment vertical="center"/>
    </xf>
    <xf numFmtId="9" fontId="0" fillId="0" borderId="0" xfId="0" applyNumberFormat="1">
      <alignment vertical="center"/>
    </xf>
    <xf numFmtId="0" fontId="0" fillId="57" borderId="0" xfId="0" applyFill="1">
      <alignment vertical="center"/>
    </xf>
    <xf numFmtId="181" fontId="37" fillId="0" borderId="0" xfId="0" applyNumberFormat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182" fontId="0" fillId="0" borderId="0" xfId="0" applyNumberFormat="1" applyFill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 applyFill="1" applyAlignment="1">
      <alignment horizontal="center" vertical="center"/>
    </xf>
    <xf numFmtId="9" fontId="0" fillId="0" borderId="0" xfId="0" quotePrefix="1" applyNumberFormat="1" applyFill="1" applyAlignment="1">
      <alignment horizontal="center" vertical="center"/>
    </xf>
    <xf numFmtId="0" fontId="0" fillId="59" borderId="0" xfId="0" applyFill="1" applyAlignment="1"/>
    <xf numFmtId="0" fontId="0" fillId="0" borderId="0" xfId="0" applyAlignment="1"/>
    <xf numFmtId="0" fontId="134" fillId="58" borderId="0" xfId="0" applyFont="1" applyFill="1" applyAlignment="1"/>
    <xf numFmtId="0" fontId="136" fillId="59" borderId="0" xfId="0" applyFont="1" applyFill="1" applyAlignment="1">
      <alignment horizontal="center" vertical="center"/>
    </xf>
    <xf numFmtId="0" fontId="134" fillId="58" borderId="0" xfId="0" applyFont="1" applyFill="1" applyAlignment="1">
      <alignment horizontal="center"/>
    </xf>
    <xf numFmtId="0" fontId="0" fillId="49" borderId="0" xfId="0" applyFill="1" applyAlignment="1">
      <alignment horizontal="center"/>
    </xf>
    <xf numFmtId="0" fontId="137" fillId="59" borderId="0" xfId="0" applyFont="1" applyFill="1" applyAlignment="1">
      <alignment horizontal="center"/>
    </xf>
    <xf numFmtId="0" fontId="0" fillId="59" borderId="0" xfId="0" applyFill="1" applyAlignment="1">
      <alignment horizontal="center"/>
    </xf>
    <xf numFmtId="0" fontId="134" fillId="60" borderId="0" xfId="0" applyFont="1" applyFill="1" applyAlignment="1">
      <alignment horizontal="center" vertical="center"/>
    </xf>
    <xf numFmtId="0" fontId="134" fillId="60" borderId="0" xfId="0" applyFont="1" applyFill="1" applyBorder="1" applyAlignment="1">
      <alignment horizontal="center" vertical="center"/>
    </xf>
    <xf numFmtId="0" fontId="0" fillId="59" borderId="139" xfId="0" applyFill="1" applyBorder="1" applyAlignment="1">
      <alignment horizontal="center" vertical="center"/>
    </xf>
    <xf numFmtId="0" fontId="0" fillId="59" borderId="139" xfId="0" applyFill="1" applyBorder="1" applyAlignment="1">
      <alignment horizontal="center"/>
    </xf>
    <xf numFmtId="0" fontId="0" fillId="59" borderId="0" xfId="0" applyFill="1" applyBorder="1" applyAlignment="1">
      <alignment horizontal="center"/>
    </xf>
    <xf numFmtId="0" fontId="0" fillId="59" borderId="140" xfId="0" applyFill="1" applyBorder="1" applyAlignment="1">
      <alignment horizontal="center"/>
    </xf>
    <xf numFmtId="0" fontId="0" fillId="59" borderId="0" xfId="0" applyFill="1" applyAlignment="1">
      <alignment horizontal="left"/>
    </xf>
    <xf numFmtId="0" fontId="0" fillId="59" borderId="0" xfId="0" applyFill="1" applyAlignment="1">
      <alignment horizontal="center" vertical="center"/>
    </xf>
    <xf numFmtId="43" fontId="134" fillId="60" borderId="0" xfId="103" applyFont="1" applyFill="1" applyAlignment="1">
      <alignment horizontal="center" vertical="center"/>
    </xf>
    <xf numFmtId="43" fontId="134" fillId="60" borderId="0" xfId="103" applyFont="1" applyFill="1" applyBorder="1" applyAlignment="1">
      <alignment horizontal="center" vertical="center"/>
    </xf>
    <xf numFmtId="43" fontId="0" fillId="0" borderId="0" xfId="103" applyFont="1" applyFill="1" applyBorder="1" applyAlignment="1">
      <alignment horizontal="center" vertical="center"/>
    </xf>
    <xf numFmtId="43" fontId="0" fillId="0" borderId="0" xfId="103" applyFont="1" applyAlignment="1"/>
    <xf numFmtId="43" fontId="0" fillId="0" borderId="0" xfId="103" applyFont="1" applyAlignment="1">
      <alignment horizontal="center" vertical="center"/>
    </xf>
    <xf numFmtId="0" fontId="38" fillId="7" borderId="0" xfId="0" applyFont="1" applyFill="1">
      <alignment vertical="center"/>
    </xf>
    <xf numFmtId="0" fontId="38" fillId="62" borderId="0" xfId="0" applyFont="1" applyFill="1">
      <alignment vertical="center"/>
    </xf>
    <xf numFmtId="0" fontId="88" fillId="61" borderId="0" xfId="0" applyFont="1" applyFill="1" applyAlignment="1">
      <alignment horizontal="center" vertical="center" wrapText="1"/>
    </xf>
    <xf numFmtId="43" fontId="0" fillId="0" borderId="0" xfId="103" applyFont="1" applyFill="1" applyAlignment="1">
      <alignment horizontal="center" vertical="center"/>
    </xf>
    <xf numFmtId="183" fontId="0" fillId="59" borderId="0" xfId="103" applyNumberFormat="1" applyFont="1" applyFill="1" applyAlignment="1">
      <alignment horizontal="center"/>
    </xf>
    <xf numFmtId="2" fontId="0" fillId="59" borderId="0" xfId="0" applyNumberFormat="1" applyFill="1" applyAlignment="1">
      <alignment horizontal="center"/>
    </xf>
    <xf numFmtId="0" fontId="0" fillId="59" borderId="140" xfId="0" applyFill="1" applyBorder="1" applyAlignment="1">
      <alignment horizontal="center" vertical="center"/>
    </xf>
    <xf numFmtId="0" fontId="0" fillId="59" borderId="0" xfId="0" applyFill="1" applyAlignment="1">
      <alignment horizontal="left" vertical="center"/>
    </xf>
    <xf numFmtId="2" fontId="0" fillId="59" borderId="139" xfId="103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132"/>
    <xf numFmtId="0" fontId="0" fillId="0" borderId="14" xfId="0" applyBorder="1" applyAlignment="1">
      <alignment horizontal="center" vertical="center" wrapText="1"/>
    </xf>
    <xf numFmtId="0" fontId="59" fillId="0" borderId="0" xfId="0" applyFont="1" applyFill="1" applyBorder="1" applyAlignment="1">
      <alignment horizontal="left" vertical="center" wrapText="1"/>
    </xf>
    <xf numFmtId="0" fontId="0" fillId="0" borderId="0" xfId="0" applyFont="1" applyAlignment="1">
      <alignment horizontal="center" vertical="center" wrapText="1"/>
    </xf>
    <xf numFmtId="0" fontId="51" fillId="0" borderId="129" xfId="0" applyFont="1" applyBorder="1">
      <alignment vertical="center"/>
    </xf>
    <xf numFmtId="0" fontId="0" fillId="49" borderId="0" xfId="0" applyFill="1" applyAlignment="1">
      <alignment vertical="center" wrapText="1"/>
    </xf>
    <xf numFmtId="2" fontId="0" fillId="49" borderId="0" xfId="0" applyNumberFormat="1" applyFill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59" fillId="0" borderId="0" xfId="0" applyFon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 wrapText="1"/>
    </xf>
    <xf numFmtId="0" fontId="37" fillId="0" borderId="134" xfId="0" applyFont="1" applyBorder="1">
      <alignment vertical="center"/>
    </xf>
    <xf numFmtId="0" fontId="37" fillId="0" borderId="134" xfId="0" applyFont="1" applyBorder="1" applyAlignment="1">
      <alignment horizontal="center" vertical="center"/>
    </xf>
    <xf numFmtId="0" fontId="37" fillId="0" borderId="134" xfId="0" quotePrefix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27" fillId="0" borderId="141" xfId="0" applyFont="1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0" fontId="27" fillId="0" borderId="142" xfId="0" applyFont="1" applyBorder="1" applyAlignment="1">
      <alignment horizontal="center" vertical="center"/>
    </xf>
    <xf numFmtId="0" fontId="54" fillId="0" borderId="0" xfId="249" applyFont="1"/>
    <xf numFmtId="0" fontId="53" fillId="46" borderId="0" xfId="249" applyFont="1" applyFill="1"/>
    <xf numFmtId="0" fontId="54" fillId="0" borderId="0" xfId="249" applyFont="1" applyFill="1"/>
    <xf numFmtId="0" fontId="53" fillId="0" borderId="0" xfId="249" applyFont="1" applyFill="1"/>
    <xf numFmtId="0" fontId="139" fillId="59" borderId="0" xfId="0" applyFont="1" applyFill="1" applyAlignment="1">
      <alignment vertical="center"/>
    </xf>
    <xf numFmtId="0" fontId="138" fillId="59" borderId="0" xfId="0" applyFont="1" applyFill="1" applyAlignment="1">
      <alignment horizontal="center" vertical="center" wrapText="1"/>
    </xf>
    <xf numFmtId="0" fontId="0" fillId="0" borderId="0" xfId="0" applyAlignment="1"/>
    <xf numFmtId="0" fontId="3" fillId="0" borderId="0" xfId="132" applyAlignment="1">
      <alignment horizontal="center"/>
    </xf>
    <xf numFmtId="0" fontId="0" fillId="59" borderId="0" xfId="0" applyFill="1">
      <alignment vertical="center"/>
    </xf>
    <xf numFmtId="181" fontId="0" fillId="59" borderId="0" xfId="0" applyNumberFormat="1" applyFill="1" applyAlignment="1">
      <alignment horizontal="center" vertical="center"/>
    </xf>
    <xf numFmtId="0" fontId="45" fillId="59" borderId="0" xfId="0" applyFont="1" applyFill="1" applyAlignment="1">
      <alignment horizontal="center" vertical="center"/>
    </xf>
    <xf numFmtId="0" fontId="0" fillId="63" borderId="0" xfId="0" applyFill="1" applyAlignment="1">
      <alignment horizontal="center"/>
    </xf>
    <xf numFmtId="0" fontId="27" fillId="0" borderId="0" xfId="0" applyFont="1" applyBorder="1" applyAlignment="1">
      <alignment horizontal="left" vertical="center"/>
    </xf>
    <xf numFmtId="0" fontId="0" fillId="58" borderId="0" xfId="0" applyFill="1">
      <alignment vertical="center"/>
    </xf>
    <xf numFmtId="0" fontId="38" fillId="58" borderId="0" xfId="0" applyFont="1" applyFill="1">
      <alignment vertical="center"/>
    </xf>
    <xf numFmtId="0" fontId="40" fillId="0" borderId="0" xfId="0" applyFont="1" applyAlignment="1">
      <alignment horizontal="center" vertical="center" wrapText="1"/>
    </xf>
    <xf numFmtId="2" fontId="49" fillId="63" borderId="0" xfId="0" applyNumberFormat="1" applyFont="1" applyFill="1" applyBorder="1" applyAlignment="1">
      <alignment horizontal="center" vertical="center"/>
    </xf>
    <xf numFmtId="1" fontId="49" fillId="63" borderId="0" xfId="0" applyNumberFormat="1" applyFont="1" applyFill="1" applyBorder="1" applyAlignment="1">
      <alignment horizontal="center" vertical="center"/>
    </xf>
    <xf numFmtId="0" fontId="40" fillId="46" borderId="0" xfId="0" applyFont="1" applyFill="1" applyAlignment="1">
      <alignment horizontal="center" vertical="center" wrapText="1"/>
    </xf>
    <xf numFmtId="0" fontId="0" fillId="53" borderId="0" xfId="0" applyFill="1">
      <alignment vertical="center"/>
    </xf>
    <xf numFmtId="0" fontId="40" fillId="60" borderId="0" xfId="0" applyFont="1" applyFill="1" applyAlignment="1">
      <alignment horizontal="center" vertical="center" wrapText="1"/>
    </xf>
    <xf numFmtId="0" fontId="40" fillId="58" borderId="0" xfId="0" applyFont="1" applyFill="1" applyAlignment="1">
      <alignment horizontal="center" vertical="center" wrapText="1"/>
    </xf>
    <xf numFmtId="0" fontId="40" fillId="66" borderId="0" xfId="0" applyFont="1" applyFill="1" applyAlignment="1">
      <alignment horizontal="center" vertical="center" wrapText="1"/>
    </xf>
    <xf numFmtId="0" fontId="40" fillId="67" borderId="0" xfId="0" applyFont="1" applyFill="1" applyAlignment="1">
      <alignment horizontal="center" vertical="center" wrapText="1"/>
    </xf>
    <xf numFmtId="0" fontId="40" fillId="64" borderId="0" xfId="0" applyFont="1" applyFill="1" applyAlignment="1">
      <alignment horizontal="center" vertical="center" wrapText="1"/>
    </xf>
    <xf numFmtId="0" fontId="140" fillId="65" borderId="0" xfId="0" applyFont="1" applyFill="1" applyAlignment="1">
      <alignment horizontal="center" vertical="center" wrapText="1"/>
    </xf>
    <xf numFmtId="2" fontId="49" fillId="49" borderId="0" xfId="0" applyNumberFormat="1" applyFont="1" applyFill="1" applyBorder="1" applyAlignment="1">
      <alignment horizontal="center" vertical="center"/>
    </xf>
    <xf numFmtId="2" fontId="141" fillId="0" borderId="0" xfId="0" applyNumberFormat="1" applyFont="1" applyFill="1" applyBorder="1" applyAlignment="1">
      <alignment horizontal="center" vertical="center"/>
    </xf>
    <xf numFmtId="0" fontId="138" fillId="59" borderId="0" xfId="0" applyFont="1" applyFill="1" applyAlignment="1">
      <alignment horizontal="left" vertical="center"/>
    </xf>
    <xf numFmtId="2" fontId="141" fillId="0" borderId="0" xfId="0" applyNumberFormat="1" applyFont="1" applyFill="1" applyAlignment="1">
      <alignment horizontal="center" vertical="center"/>
    </xf>
    <xf numFmtId="2" fontId="141" fillId="63" borderId="0" xfId="0" applyNumberFormat="1" applyFont="1" applyFill="1" applyAlignment="1">
      <alignment horizontal="center" vertical="center"/>
    </xf>
    <xf numFmtId="1" fontId="49" fillId="49" borderId="0" xfId="0" applyNumberFormat="1" applyFont="1" applyFill="1" applyBorder="1" applyAlignment="1">
      <alignment horizontal="center" vertical="center"/>
    </xf>
    <xf numFmtId="2" fontId="141" fillId="49" borderId="0" xfId="0" applyNumberFormat="1" applyFont="1" applyFill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43" fontId="0" fillId="0" borderId="0" xfId="103" quotePrefix="1" applyFont="1" applyFill="1" applyAlignment="1">
      <alignment horizontal="center" vertical="center"/>
    </xf>
    <xf numFmtId="2" fontId="49" fillId="49" borderId="0" xfId="0" applyNumberFormat="1" applyFont="1" applyFill="1" applyAlignment="1">
      <alignment horizontal="center" vertical="center"/>
    </xf>
    <xf numFmtId="0" fontId="88" fillId="68" borderId="0" xfId="0" quotePrefix="1" applyFont="1" applyFill="1" applyBorder="1" applyAlignment="1">
      <alignment horizontal="center" vertical="center" wrapText="1"/>
    </xf>
    <xf numFmtId="43" fontId="88" fillId="7" borderId="0" xfId="103" quotePrefix="1" applyFont="1" applyFill="1" applyBorder="1" applyAlignment="1">
      <alignment horizontal="center" vertical="center" wrapText="1"/>
    </xf>
    <xf numFmtId="184" fontId="0" fillId="0" borderId="0" xfId="0" applyNumberFormat="1" applyAlignment="1">
      <alignment horizontal="center" vertical="center"/>
    </xf>
    <xf numFmtId="2" fontId="54" fillId="49" borderId="30" xfId="98" applyNumberFormat="1" applyFont="1" applyFill="1" applyBorder="1" applyAlignment="1">
      <alignment horizontal="center" vertical="center"/>
    </xf>
    <xf numFmtId="2" fontId="54" fillId="49" borderId="30" xfId="98" applyNumberFormat="1" applyFont="1" applyFill="1" applyBorder="1" applyAlignment="1">
      <alignment horizontal="right" vertical="center"/>
    </xf>
    <xf numFmtId="2" fontId="54" fillId="49" borderId="30" xfId="98" applyNumberFormat="1" applyFont="1" applyFill="1" applyBorder="1" applyAlignment="1">
      <alignment horizontal="left" vertical="center"/>
    </xf>
    <xf numFmtId="177" fontId="54" fillId="49" borderId="30" xfId="98" applyNumberFormat="1" applyFont="1" applyFill="1" applyBorder="1" applyAlignment="1">
      <alignment horizontal="center" vertical="center"/>
    </xf>
    <xf numFmtId="1" fontId="54" fillId="49" borderId="30" xfId="98" applyNumberFormat="1" applyFont="1" applyFill="1" applyBorder="1" applyAlignment="1">
      <alignment horizontal="center" vertical="center"/>
    </xf>
    <xf numFmtId="4" fontId="54" fillId="49" borderId="30" xfId="98" applyNumberFormat="1" applyFont="1" applyFill="1" applyBorder="1" applyAlignment="1">
      <alignment horizontal="center" vertical="center"/>
    </xf>
    <xf numFmtId="2" fontId="54" fillId="49" borderId="30" xfId="94" applyNumberFormat="1" applyFont="1" applyFill="1" applyBorder="1" applyAlignment="1">
      <alignment horizontal="center" vertical="center"/>
    </xf>
    <xf numFmtId="2" fontId="54" fillId="49" borderId="31" xfId="94" applyNumberFormat="1" applyFont="1" applyFill="1" applyBorder="1" applyAlignment="1">
      <alignment horizontal="center" vertical="center"/>
    </xf>
    <xf numFmtId="0" fontId="54" fillId="49" borderId="31" xfId="94" applyFont="1" applyFill="1" applyBorder="1" applyAlignment="1">
      <alignment horizontal="center" vertical="center"/>
    </xf>
    <xf numFmtId="2" fontId="0" fillId="49" borderId="131" xfId="0" applyNumberFormat="1" applyFill="1" applyBorder="1" applyAlignment="1">
      <alignment horizontal="center" vertical="center"/>
    </xf>
    <xf numFmtId="1" fontId="0" fillId="49" borderId="0" xfId="0" applyNumberFormat="1" applyFill="1" applyBorder="1" applyAlignment="1">
      <alignment horizontal="center" vertical="center"/>
    </xf>
    <xf numFmtId="3" fontId="0" fillId="49" borderId="0" xfId="0" applyNumberFormat="1" applyFill="1" applyBorder="1" applyAlignment="1">
      <alignment horizontal="center" vertical="center"/>
    </xf>
    <xf numFmtId="0" fontId="37" fillId="49" borderId="0" xfId="0" applyNumberFormat="1" applyFont="1" applyFill="1" applyAlignment="1">
      <alignment horizontal="center" vertical="center"/>
    </xf>
    <xf numFmtId="0" fontId="27" fillId="49" borderId="0" xfId="0" applyFon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76" fontId="0" fillId="49" borderId="0" xfId="0" applyNumberFormat="1" applyFill="1" applyAlignment="1">
      <alignment horizontal="center" vertical="center"/>
    </xf>
    <xf numFmtId="3" fontId="0" fillId="49" borderId="0" xfId="0" applyNumberFormat="1" applyFill="1" applyAlignment="1">
      <alignment horizontal="center" vertical="center"/>
    </xf>
    <xf numFmtId="9" fontId="0" fillId="49" borderId="0" xfId="0" applyNumberFormat="1" applyFill="1" applyAlignment="1">
      <alignment horizontal="center" vertical="center"/>
    </xf>
    <xf numFmtId="182" fontId="0" fillId="49" borderId="0" xfId="0" applyNumberFormat="1" applyFill="1" applyAlignment="1">
      <alignment horizontal="center" vertical="center"/>
    </xf>
    <xf numFmtId="3" fontId="27" fillId="49" borderId="0" xfId="0" applyNumberFormat="1" applyFont="1" applyFill="1" applyBorder="1" applyAlignment="1">
      <alignment horizontal="center" vertical="center"/>
    </xf>
    <xf numFmtId="1" fontId="0" fillId="49" borderId="0" xfId="0" applyNumberFormat="1" applyFill="1" applyAlignment="1">
      <alignment horizontal="center" vertical="center"/>
    </xf>
    <xf numFmtId="0" fontId="0" fillId="49" borderId="0" xfId="0" applyNumberFormat="1" applyFill="1" applyAlignment="1">
      <alignment horizontal="center" vertical="center"/>
    </xf>
    <xf numFmtId="43" fontId="0" fillId="49" borderId="0" xfId="103" applyFont="1" applyFill="1" applyAlignment="1">
      <alignment horizontal="center" vertical="center"/>
    </xf>
    <xf numFmtId="9" fontId="0" fillId="49" borderId="0" xfId="0" quotePrefix="1" applyNumberFormat="1" applyFill="1" applyAlignment="1">
      <alignment horizontal="center" vertical="center"/>
    </xf>
    <xf numFmtId="9" fontId="0" fillId="49" borderId="131" xfId="0" applyNumberFormat="1" applyFill="1" applyBorder="1" applyAlignment="1">
      <alignment horizontal="center" vertical="center"/>
    </xf>
    <xf numFmtId="181" fontId="0" fillId="49" borderId="0" xfId="0" applyNumberFormat="1" applyFill="1" applyAlignment="1">
      <alignment horizontal="center" vertical="center"/>
    </xf>
    <xf numFmtId="1" fontId="131" fillId="49" borderId="0" xfId="0" applyNumberFormat="1" applyFont="1" applyFill="1" applyAlignment="1">
      <alignment horizontal="center" vertical="center"/>
    </xf>
    <xf numFmtId="176" fontId="27" fillId="49" borderId="0" xfId="0" applyNumberFormat="1" applyFont="1" applyFill="1" applyAlignment="1">
      <alignment horizontal="center" vertical="center"/>
    </xf>
    <xf numFmtId="176" fontId="0" fillId="49" borderId="0" xfId="0" applyNumberFormat="1" applyFill="1" applyBorder="1" applyAlignment="1">
      <alignment horizontal="center" vertical="center"/>
    </xf>
    <xf numFmtId="176" fontId="27" fillId="49" borderId="0" xfId="0" applyNumberFormat="1" applyFont="1" applyFill="1" applyBorder="1" applyAlignment="1">
      <alignment horizontal="center" vertical="center"/>
    </xf>
    <xf numFmtId="181" fontId="0" fillId="49" borderId="0" xfId="0" applyNumberFormat="1" applyFill="1">
      <alignment vertical="center"/>
    </xf>
    <xf numFmtId="176" fontId="37" fillId="49" borderId="0" xfId="0" applyNumberFormat="1" applyFont="1" applyFill="1" applyBorder="1" applyAlignment="1">
      <alignment horizontal="center" vertical="center"/>
    </xf>
    <xf numFmtId="181" fontId="37" fillId="49" borderId="0" xfId="0" applyNumberFormat="1" applyFont="1" applyFill="1" applyBorder="1" applyAlignment="1">
      <alignment horizontal="center" vertical="center"/>
    </xf>
    <xf numFmtId="1" fontId="37" fillId="49" borderId="0" xfId="0" applyNumberFormat="1" applyFont="1" applyFill="1" applyBorder="1" applyAlignment="1">
      <alignment horizontal="center" vertical="center"/>
    </xf>
    <xf numFmtId="2" fontId="37" fillId="49" borderId="0" xfId="0" applyNumberFormat="1" applyFont="1" applyFill="1" applyBorder="1" applyAlignment="1">
      <alignment horizontal="center" vertical="center"/>
    </xf>
    <xf numFmtId="2" fontId="37" fillId="49" borderId="0" xfId="0" applyNumberFormat="1" applyFont="1" applyFill="1" applyAlignment="1">
      <alignment horizontal="center" vertical="center"/>
    </xf>
    <xf numFmtId="2" fontId="49" fillId="49" borderId="0" xfId="0" quotePrefix="1" applyNumberFormat="1" applyFont="1" applyFill="1" applyBorder="1" applyAlignment="1">
      <alignment horizontal="center" vertical="center"/>
    </xf>
    <xf numFmtId="1" fontId="37" fillId="49" borderId="0" xfId="0" applyNumberFormat="1" applyFont="1" applyFill="1" applyAlignment="1">
      <alignment horizontal="center" vertical="center"/>
    </xf>
    <xf numFmtId="184" fontId="0" fillId="49" borderId="0" xfId="0" applyNumberFormat="1" applyFill="1" applyAlignment="1">
      <alignment horizontal="center" vertical="center"/>
    </xf>
    <xf numFmtId="0" fontId="0" fillId="49" borderId="0" xfId="0" applyFill="1">
      <alignment vertical="center"/>
    </xf>
    <xf numFmtId="0" fontId="46" fillId="47" borderId="0" xfId="0" applyFont="1" applyFill="1">
      <alignment vertical="center"/>
    </xf>
    <xf numFmtId="0" fontId="50" fillId="47" borderId="0" xfId="0" applyFont="1" applyFill="1" applyAlignment="1">
      <alignment horizontal="right"/>
    </xf>
    <xf numFmtId="0" fontId="0" fillId="0" borderId="143" xfId="0" applyBorder="1" applyAlignment="1">
      <alignment vertical="center" wrapText="1"/>
    </xf>
    <xf numFmtId="0" fontId="0" fillId="0" borderId="144" xfId="0" applyBorder="1" applyAlignment="1">
      <alignment vertical="center" wrapText="1"/>
    </xf>
    <xf numFmtId="0" fontId="142" fillId="0" borderId="0" xfId="0" applyFont="1" applyAlignment="1">
      <alignment horizontal="center" vertical="center" wrapText="1"/>
    </xf>
    <xf numFmtId="0" fontId="143" fillId="0" borderId="0" xfId="0" applyFont="1">
      <alignment vertical="center"/>
    </xf>
    <xf numFmtId="0" fontId="144" fillId="0" borderId="0" xfId="0" applyFont="1">
      <alignment vertical="center"/>
    </xf>
    <xf numFmtId="0" fontId="54" fillId="63" borderId="30" xfId="98" applyFont="1" applyFill="1" applyBorder="1" applyAlignment="1">
      <alignment horizontal="center" vertical="center"/>
    </xf>
    <xf numFmtId="1" fontId="54" fillId="63" borderId="30" xfId="98" applyNumberFormat="1" applyFont="1" applyFill="1" applyBorder="1" applyAlignment="1">
      <alignment horizontal="center" vertical="center"/>
    </xf>
    <xf numFmtId="0" fontId="0" fillId="63" borderId="0" xfId="0" applyFill="1" applyAlignment="1">
      <alignment horizontal="center" vertical="center"/>
    </xf>
    <xf numFmtId="9" fontId="0" fillId="63" borderId="0" xfId="0" applyNumberFormat="1" applyFill="1" applyAlignment="1">
      <alignment horizontal="center" vertical="center"/>
    </xf>
    <xf numFmtId="0" fontId="38" fillId="58" borderId="0" xfId="0" quotePrefix="1" applyFont="1" applyFill="1">
      <alignment vertical="center"/>
    </xf>
    <xf numFmtId="2" fontId="54" fillId="63" borderId="30" xfId="98" applyNumberFormat="1" applyFont="1" applyFill="1" applyBorder="1" applyAlignment="1">
      <alignment horizontal="center" vertical="center"/>
    </xf>
    <xf numFmtId="0" fontId="49" fillId="63" borderId="0" xfId="0" applyNumberFormat="1" applyFont="1" applyFill="1" applyBorder="1" applyAlignment="1">
      <alignment horizontal="center" vertical="center"/>
    </xf>
    <xf numFmtId="0" fontId="54" fillId="49" borderId="30" xfId="98" applyFont="1" applyFill="1" applyBorder="1" applyAlignment="1">
      <alignment horizontal="center" vertical="center"/>
    </xf>
    <xf numFmtId="0" fontId="54" fillId="49" borderId="31" xfId="94" quotePrefix="1" applyFont="1" applyFill="1" applyBorder="1" applyAlignment="1">
      <alignment horizontal="center" vertical="center"/>
    </xf>
    <xf numFmtId="0" fontId="88" fillId="66" borderId="0" xfId="0" quotePrefix="1" applyFont="1" applyFill="1" applyBorder="1" applyAlignment="1">
      <alignment horizontal="center" vertical="center" wrapText="1"/>
    </xf>
    <xf numFmtId="0" fontId="40" fillId="66" borderId="0" xfId="0" quotePrefix="1" applyFont="1" applyFill="1" applyAlignment="1">
      <alignment horizontal="center" vertical="center" wrapText="1"/>
    </xf>
    <xf numFmtId="0" fontId="0" fillId="66" borderId="0" xfId="0" quotePrefix="1" applyFill="1" applyAlignment="1">
      <alignment horizontal="center" vertical="center" wrapText="1"/>
    </xf>
    <xf numFmtId="0" fontId="40" fillId="47" borderId="0" xfId="0" applyFont="1" applyFill="1" applyAlignment="1">
      <alignment horizontal="center" vertical="center" wrapText="1"/>
    </xf>
    <xf numFmtId="0" fontId="40" fillId="47" borderId="0" xfId="0" applyFont="1" applyFill="1" applyBorder="1" applyAlignment="1">
      <alignment horizontal="center" vertical="center" wrapText="1"/>
    </xf>
    <xf numFmtId="0" fontId="54" fillId="49" borderId="0" xfId="98" applyFont="1" applyFill="1" applyBorder="1" applyAlignment="1">
      <alignment horizontal="center" vertical="center"/>
    </xf>
    <xf numFmtId="1" fontId="54" fillId="49" borderId="0" xfId="98" applyNumberFormat="1" applyFont="1" applyFill="1" applyBorder="1" applyAlignment="1">
      <alignment horizontal="center" vertical="center"/>
    </xf>
    <xf numFmtId="0" fontId="54" fillId="0" borderId="0" xfId="98" applyFont="1" applyFill="1" applyBorder="1" applyAlignment="1">
      <alignment horizontal="center" vertical="center"/>
    </xf>
    <xf numFmtId="2" fontId="54" fillId="49" borderId="0" xfId="98" applyNumberFormat="1" applyFont="1" applyFill="1" applyBorder="1" applyAlignment="1">
      <alignment horizontal="center" vertical="center"/>
    </xf>
    <xf numFmtId="0" fontId="54" fillId="49" borderId="0" xfId="94" quotePrefix="1" applyFont="1" applyFill="1" applyBorder="1" applyAlignment="1">
      <alignment horizontal="center" vertical="center"/>
    </xf>
    <xf numFmtId="0" fontId="88" fillId="44" borderId="0" xfId="0" quotePrefix="1" applyFont="1" applyFill="1" applyBorder="1" applyAlignment="1">
      <alignment horizontal="center" vertical="center" wrapText="1"/>
    </xf>
    <xf numFmtId="0" fontId="88" fillId="60" borderId="0" xfId="0" quotePrefix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176" fontId="0" fillId="69" borderId="0" xfId="0" applyNumberFormat="1" applyFill="1" applyBorder="1" applyAlignment="1">
      <alignment horizontal="center" vertical="center"/>
    </xf>
    <xf numFmtId="185" fontId="37" fillId="43" borderId="19" xfId="0" applyNumberFormat="1" applyFont="1" applyFill="1" applyBorder="1">
      <alignment vertical="center"/>
    </xf>
    <xf numFmtId="0" fontId="50" fillId="66" borderId="0" xfId="258" applyFont="1" applyFill="1" applyAlignment="1">
      <alignment horizontal="left" vertical="center"/>
    </xf>
    <xf numFmtId="0" fontId="46" fillId="66" borderId="0" xfId="258" applyFont="1" applyFill="1" applyAlignment="1">
      <alignment horizontal="left" vertical="center"/>
    </xf>
    <xf numFmtId="0" fontId="145" fillId="66" borderId="0" xfId="258" applyFont="1" applyFill="1" applyAlignment="1">
      <alignment horizontal="left" vertical="center"/>
    </xf>
    <xf numFmtId="0" fontId="46" fillId="66" borderId="0" xfId="258" applyFont="1" applyFill="1" applyAlignment="1">
      <alignment horizontal="left" vertical="center" wrapText="1"/>
    </xf>
    <xf numFmtId="0" fontId="134" fillId="66" borderId="0" xfId="250" applyFont="1" applyFill="1" applyAlignment="1">
      <alignment horizontal="left" vertical="center"/>
    </xf>
    <xf numFmtId="0" fontId="0" fillId="0" borderId="0" xfId="0" applyNumberFormat="1" applyFont="1" applyAlignment="1">
      <alignment horizontal="center" vertical="center"/>
    </xf>
    <xf numFmtId="0" fontId="46" fillId="47" borderId="0" xfId="0" applyFont="1" applyFill="1" applyAlignment="1">
      <alignment horizontal="left"/>
    </xf>
    <xf numFmtId="0" fontId="46" fillId="66" borderId="0" xfId="258" applyFont="1" applyFill="1" applyAlignment="1">
      <alignment horizontal="left" vertical="center"/>
    </xf>
    <xf numFmtId="0" fontId="46" fillId="46" borderId="0" xfId="0" applyFont="1" applyFill="1" applyAlignment="1">
      <alignment horizontal="left"/>
    </xf>
    <xf numFmtId="0" fontId="30" fillId="7" borderId="131" xfId="0" applyFont="1" applyFill="1" applyBorder="1" applyAlignment="1">
      <alignment horizontal="center" vertical="center" textRotation="90"/>
    </xf>
    <xf numFmtId="0" fontId="37" fillId="43" borderId="0" xfId="0" applyFont="1" applyFill="1" applyBorder="1" applyAlignment="1">
      <alignment horizontal="left" vertical="center" wrapText="1"/>
    </xf>
    <xf numFmtId="0" fontId="0" fillId="0" borderId="0" xfId="0" applyFont="1" applyAlignment="1">
      <alignment horizontal="center" vertical="center" wrapText="1"/>
    </xf>
    <xf numFmtId="0" fontId="40" fillId="0" borderId="117" xfId="0" applyFont="1" applyFill="1" applyBorder="1" applyAlignment="1">
      <alignment horizontal="left" wrapText="1"/>
    </xf>
    <xf numFmtId="0" fontId="40" fillId="0" borderId="118" xfId="0" applyFont="1" applyFill="1" applyBorder="1" applyAlignment="1">
      <alignment horizontal="left" wrapText="1"/>
    </xf>
    <xf numFmtId="0" fontId="40" fillId="0" borderId="119" xfId="0" applyFont="1" applyFill="1" applyBorder="1" applyAlignment="1">
      <alignment horizontal="center" vertical="top" wrapText="1"/>
    </xf>
    <xf numFmtId="0" fontId="40" fillId="0" borderId="120" xfId="0" applyFont="1" applyFill="1" applyBorder="1" applyAlignment="1">
      <alignment horizontal="center" vertical="top" wrapText="1"/>
    </xf>
    <xf numFmtId="0" fontId="78" fillId="0" borderId="117" xfId="92" applyFont="1" applyFill="1" applyBorder="1" applyAlignment="1">
      <alignment horizontal="left" wrapText="1"/>
    </xf>
    <xf numFmtId="0" fontId="78" fillId="0" borderId="118" xfId="92" applyFont="1" applyFill="1" applyBorder="1" applyAlignment="1">
      <alignment horizontal="left" wrapText="1"/>
    </xf>
    <xf numFmtId="0" fontId="40" fillId="0" borderId="119" xfId="92" applyFont="1" applyFill="1" applyBorder="1" applyAlignment="1">
      <alignment horizontal="center" vertical="top" wrapText="1"/>
    </xf>
    <xf numFmtId="0" fontId="40" fillId="0" borderId="120" xfId="92" applyFont="1" applyFill="1" applyBorder="1" applyAlignment="1">
      <alignment horizontal="center" vertical="top" wrapText="1"/>
    </xf>
    <xf numFmtId="0" fontId="59" fillId="0" borderId="85" xfId="0" applyFont="1" applyFill="1" applyBorder="1" applyAlignment="1">
      <alignment horizontal="left" vertical="top" wrapText="1"/>
    </xf>
    <xf numFmtId="0" fontId="59" fillId="0" borderId="37" xfId="0" applyFont="1" applyFill="1" applyBorder="1" applyAlignment="1">
      <alignment horizontal="left" vertical="top" wrapText="1"/>
    </xf>
    <xf numFmtId="0" fontId="56" fillId="0" borderId="33" xfId="0" applyFont="1" applyFill="1" applyBorder="1" applyAlignment="1">
      <alignment horizontal="left" vertical="center" wrapText="1"/>
    </xf>
    <xf numFmtId="0" fontId="56" fillId="0" borderId="0" xfId="0" applyFont="1" applyFill="1" applyBorder="1" applyAlignment="1">
      <alignment horizontal="left" vertical="center" wrapText="1"/>
    </xf>
    <xf numFmtId="0" fontId="56" fillId="0" borderId="42" xfId="0" applyFont="1" applyFill="1" applyBorder="1" applyAlignment="1">
      <alignment horizontal="left" vertical="center" wrapText="1"/>
    </xf>
    <xf numFmtId="0" fontId="56" fillId="0" borderId="34" xfId="0" applyFont="1" applyFill="1" applyBorder="1" applyAlignment="1">
      <alignment horizontal="left" wrapText="1"/>
    </xf>
    <xf numFmtId="0" fontId="56" fillId="0" borderId="38" xfId="0" applyFont="1" applyFill="1" applyBorder="1" applyAlignment="1">
      <alignment horizontal="left" wrapText="1"/>
    </xf>
    <xf numFmtId="0" fontId="56" fillId="0" borderId="43" xfId="0" applyFont="1" applyFill="1" applyBorder="1" applyAlignment="1">
      <alignment horizontal="left" wrapText="1"/>
    </xf>
    <xf numFmtId="0" fontId="59" fillId="0" borderId="86" xfId="0" applyFont="1" applyFill="1" applyBorder="1" applyAlignment="1">
      <alignment horizontal="left" vertical="top" wrapText="1"/>
    </xf>
    <xf numFmtId="0" fontId="59" fillId="0" borderId="41" xfId="0" applyFont="1" applyFill="1" applyBorder="1" applyAlignment="1">
      <alignment horizontal="left" vertical="top" wrapText="1"/>
    </xf>
    <xf numFmtId="0" fontId="59" fillId="0" borderId="46" xfId="0" applyFont="1" applyFill="1" applyBorder="1" applyAlignment="1">
      <alignment horizontal="left" vertical="center" wrapText="1"/>
    </xf>
    <xf numFmtId="0" fontId="59" fillId="0" borderId="0" xfId="0" applyFont="1" applyFill="1" applyBorder="1" applyAlignment="1">
      <alignment horizontal="left" vertical="center" wrapText="1"/>
    </xf>
    <xf numFmtId="0" fontId="59" fillId="0" borderId="53" xfId="0" applyFont="1" applyFill="1" applyBorder="1" applyAlignment="1">
      <alignment horizontal="left" vertical="center" wrapText="1"/>
    </xf>
    <xf numFmtId="0" fontId="56" fillId="0" borderId="89" xfId="0" applyFont="1" applyFill="1" applyBorder="1" applyAlignment="1">
      <alignment horizontal="left" vertical="top" wrapText="1"/>
    </xf>
    <xf numFmtId="0" fontId="56" fillId="0" borderId="90" xfId="0" applyFont="1" applyFill="1" applyBorder="1" applyAlignment="1">
      <alignment horizontal="left" vertical="top" wrapText="1"/>
    </xf>
    <xf numFmtId="0" fontId="56" fillId="0" borderId="87" xfId="0" applyFont="1" applyFill="1" applyBorder="1" applyAlignment="1">
      <alignment horizontal="left" vertical="top" wrapText="1"/>
    </xf>
    <xf numFmtId="0" fontId="56" fillId="0" borderId="88" xfId="0" applyFont="1" applyFill="1" applyBorder="1" applyAlignment="1">
      <alignment horizontal="left" vertical="top" wrapText="1"/>
    </xf>
    <xf numFmtId="0" fontId="56" fillId="0" borderId="98" xfId="0" applyFont="1" applyFill="1" applyBorder="1" applyAlignment="1">
      <alignment horizontal="left" wrapText="1"/>
    </xf>
    <xf numFmtId="0" fontId="56" fillId="0" borderId="51" xfId="0" applyFont="1" applyFill="1" applyBorder="1" applyAlignment="1">
      <alignment horizontal="left" wrapText="1"/>
    </xf>
    <xf numFmtId="0" fontId="56" fillId="0" borderId="66" xfId="0" applyFont="1" applyFill="1" applyBorder="1" applyAlignment="1">
      <alignment horizontal="left" wrapText="1"/>
    </xf>
    <xf numFmtId="0" fontId="56" fillId="0" borderId="99" xfId="0" applyFont="1" applyFill="1" applyBorder="1" applyAlignment="1">
      <alignment horizontal="left" vertical="top" wrapText="1"/>
    </xf>
    <xf numFmtId="0" fontId="59" fillId="0" borderId="70" xfId="0" applyFont="1" applyFill="1" applyBorder="1" applyAlignment="1">
      <alignment horizontal="left" vertical="center" wrapText="1"/>
    </xf>
    <xf numFmtId="0" fontId="59" fillId="0" borderId="39" xfId="0" applyFont="1" applyFill="1" applyBorder="1" applyAlignment="1">
      <alignment horizontal="left" vertical="center" wrapText="1"/>
    </xf>
    <xf numFmtId="0" fontId="59" fillId="0" borderId="113" xfId="0" applyFont="1" applyFill="1" applyBorder="1" applyAlignment="1">
      <alignment horizontal="left" vertical="center" wrapText="1"/>
    </xf>
    <xf numFmtId="0" fontId="56" fillId="0" borderId="35" xfId="0" applyFont="1" applyFill="1" applyBorder="1" applyAlignment="1">
      <alignment horizontal="left" vertical="center" wrapText="1"/>
    </xf>
    <xf numFmtId="0" fontId="56" fillId="0" borderId="39" xfId="0" applyFont="1" applyFill="1" applyBorder="1" applyAlignment="1">
      <alignment horizontal="left" vertical="center" wrapText="1"/>
    </xf>
    <xf numFmtId="0" fontId="56" fillId="0" borderId="65" xfId="0" applyFont="1" applyFill="1" applyBorder="1" applyAlignment="1">
      <alignment horizontal="left" vertical="center" wrapText="1"/>
    </xf>
    <xf numFmtId="0" fontId="59" fillId="0" borderId="65" xfId="0" applyFont="1" applyFill="1" applyBorder="1" applyAlignment="1">
      <alignment horizontal="left" vertical="center" wrapText="1"/>
    </xf>
    <xf numFmtId="0" fontId="59" fillId="0" borderId="44" xfId="0" applyFont="1" applyFill="1" applyBorder="1" applyAlignment="1">
      <alignment horizontal="left" vertical="center" wrapText="1"/>
    </xf>
    <xf numFmtId="0" fontId="59" fillId="0" borderId="60" xfId="0" applyFont="1" applyFill="1" applyBorder="1" applyAlignment="1">
      <alignment horizontal="left" vertical="center" wrapText="1"/>
    </xf>
    <xf numFmtId="0" fontId="59" fillId="0" borderId="48" xfId="0" applyFont="1" applyFill="1" applyBorder="1" applyAlignment="1">
      <alignment horizontal="left" vertical="center" wrapText="1"/>
    </xf>
    <xf numFmtId="0" fontId="59" fillId="0" borderId="55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59" fillId="0" borderId="68" xfId="0" applyFont="1" applyFill="1" applyBorder="1" applyAlignment="1">
      <alignment horizontal="left" vertical="center" wrapText="1"/>
    </xf>
    <xf numFmtId="0" fontId="59" fillId="0" borderId="63" xfId="0" applyFont="1" applyFill="1" applyBorder="1" applyAlignment="1">
      <alignment horizontal="left" vertical="center" wrapText="1"/>
    </xf>
    <xf numFmtId="0" fontId="59" fillId="0" borderId="77" xfId="0" applyFont="1" applyFill="1" applyBorder="1" applyAlignment="1">
      <alignment horizontal="left" vertical="center" wrapText="1"/>
    </xf>
    <xf numFmtId="0" fontId="59" fillId="0" borderId="96" xfId="0" applyFont="1" applyFill="1" applyBorder="1" applyAlignment="1">
      <alignment horizontal="left" vertical="center" wrapText="1"/>
    </xf>
    <xf numFmtId="0" fontId="59" fillId="0" borderId="73" xfId="0" applyFont="1" applyFill="1" applyBorder="1" applyAlignment="1">
      <alignment horizontal="left" vertical="center" wrapText="1"/>
    </xf>
    <xf numFmtId="0" fontId="59" fillId="0" borderId="58" xfId="0" applyFont="1" applyFill="1" applyBorder="1" applyAlignment="1">
      <alignment horizontal="left" vertical="center" wrapText="1"/>
    </xf>
    <xf numFmtId="0" fontId="56" fillId="0" borderId="100" xfId="0" applyFont="1" applyFill="1" applyBorder="1" applyAlignment="1">
      <alignment horizontal="left" wrapText="1"/>
    </xf>
    <xf numFmtId="0" fontId="56" fillId="0" borderId="102" xfId="0" applyFont="1" applyFill="1" applyBorder="1" applyAlignment="1">
      <alignment horizontal="left" wrapText="1"/>
    </xf>
    <xf numFmtId="0" fontId="56" fillId="0" borderId="105" xfId="0" applyFont="1" applyFill="1" applyBorder="1" applyAlignment="1">
      <alignment horizontal="left" wrapText="1"/>
    </xf>
    <xf numFmtId="0" fontId="59" fillId="0" borderId="101" xfId="0" applyFont="1" applyFill="1" applyBorder="1" applyAlignment="1">
      <alignment horizontal="left" vertical="top" wrapText="1"/>
    </xf>
    <xf numFmtId="0" fontId="59" fillId="0" borderId="90" xfId="0" applyFont="1" applyFill="1" applyBorder="1" applyAlignment="1">
      <alignment horizontal="left" vertical="top" wrapText="1"/>
    </xf>
    <xf numFmtId="0" fontId="59" fillId="0" borderId="81" xfId="0" applyFont="1" applyFill="1" applyBorder="1" applyAlignment="1">
      <alignment horizontal="left" vertical="center" wrapText="1"/>
    </xf>
    <xf numFmtId="0" fontId="59" fillId="0" borderId="92" xfId="0" applyFont="1" applyFill="1" applyBorder="1" applyAlignment="1">
      <alignment horizontal="left" vertical="center" wrapText="1"/>
    </xf>
    <xf numFmtId="0" fontId="59" fillId="0" borderId="94" xfId="0" applyFont="1" applyFill="1" applyBorder="1" applyAlignment="1">
      <alignment horizontal="left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56" fillId="0" borderId="36" xfId="0" applyFont="1" applyFill="1" applyBorder="1" applyAlignment="1">
      <alignment horizontal="left" vertical="top" wrapText="1"/>
    </xf>
    <xf numFmtId="0" fontId="56" fillId="0" borderId="37" xfId="0" applyFont="1" applyFill="1" applyBorder="1" applyAlignment="1">
      <alignment horizontal="left" vertical="top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59" fillId="0" borderId="40" xfId="0" applyFont="1" applyFill="1" applyBorder="1" applyAlignment="1">
      <alignment horizontal="left" vertical="top" wrapText="1"/>
    </xf>
    <xf numFmtId="0" fontId="0" fillId="0" borderId="22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37" fillId="71" borderId="13" xfId="0" applyNumberFormat="1" applyFont="1" applyFill="1" applyBorder="1" applyAlignment="1">
      <alignment horizontal="center" vertical="center"/>
    </xf>
    <xf numFmtId="0" fontId="37" fillId="43" borderId="146" xfId="0" applyNumberFormat="1" applyFont="1" applyFill="1" applyBorder="1" applyAlignment="1">
      <alignment horizontal="center" vertical="center"/>
    </xf>
    <xf numFmtId="43" fontId="146" fillId="0" borderId="0" xfId="103" applyFont="1" applyAlignment="1">
      <alignment horizontal="center" vertical="center"/>
    </xf>
    <xf numFmtId="0" fontId="37" fillId="43" borderId="13" xfId="0" applyNumberFormat="1" applyFont="1" applyFill="1" applyBorder="1" applyAlignment="1">
      <alignment horizontal="center" vertical="center"/>
    </xf>
    <xf numFmtId="176" fontId="148" fillId="0" borderId="0" xfId="0" applyNumberFormat="1" applyFont="1" applyFill="1" applyBorder="1" applyAlignment="1">
      <alignment horizontal="center" vertical="center"/>
    </xf>
    <xf numFmtId="0" fontId="147" fillId="49" borderId="0" xfId="98" applyNumberFormat="1" applyFont="1" applyFill="1" applyAlignment="1">
      <alignment horizontal="center" vertical="center"/>
    </xf>
    <xf numFmtId="1" fontId="147" fillId="49" borderId="0" xfId="98" applyNumberFormat="1" applyFont="1" applyFill="1" applyAlignment="1">
      <alignment horizontal="center" vertical="center"/>
    </xf>
    <xf numFmtId="2" fontId="147" fillId="0" borderId="0" xfId="98" applyNumberFormat="1" applyFont="1" applyFill="1" applyAlignment="1">
      <alignment horizontal="center" vertical="center"/>
    </xf>
    <xf numFmtId="0" fontId="147" fillId="49" borderId="0" xfId="98" applyFont="1" applyFill="1" applyAlignment="1">
      <alignment horizontal="center" vertical="center"/>
    </xf>
    <xf numFmtId="2" fontId="147" fillId="49" borderId="0" xfId="98" applyNumberFormat="1" applyFont="1" applyFill="1" applyAlignment="1">
      <alignment horizontal="center" vertical="center"/>
    </xf>
    <xf numFmtId="2" fontId="147" fillId="49" borderId="0" xfId="94" quotePrefix="1" applyNumberFormat="1" applyFont="1" applyFill="1" applyAlignment="1">
      <alignment horizontal="center" vertical="center"/>
    </xf>
    <xf numFmtId="9" fontId="27" fillId="0" borderId="0" xfId="0" applyNumberFormat="1" applyFont="1" applyFill="1" applyAlignment="1">
      <alignment horizontal="center" vertical="center"/>
    </xf>
  </cellXfs>
  <cellStyles count="442">
    <cellStyle name="20% - Ênfase1" xfId="53" builtinId="30" customBuiltin="1"/>
    <cellStyle name="20% - Ênfase1 2" xfId="275"/>
    <cellStyle name="20% - Ênfase2" xfId="57" builtinId="34" customBuiltin="1"/>
    <cellStyle name="20% - Ênfase2 2" xfId="279"/>
    <cellStyle name="20% - Ênfase3" xfId="61" builtinId="38" customBuiltin="1"/>
    <cellStyle name="20% - Ênfase3 2" xfId="162"/>
    <cellStyle name="20% - Ênfase3 3" xfId="283"/>
    <cellStyle name="20% - Ênfase4" xfId="65" builtinId="42" customBuiltin="1"/>
    <cellStyle name="20% - Ênfase4 2" xfId="166"/>
    <cellStyle name="20% - Ênfase4 3" xfId="287"/>
    <cellStyle name="20% - Ênfase5" xfId="69" builtinId="46" customBuiltin="1"/>
    <cellStyle name="20% - Ênfase5 2" xfId="170"/>
    <cellStyle name="20% - Ênfase5 3" xfId="291"/>
    <cellStyle name="20% - Ênfase6" xfId="73" builtinId="50" customBuiltin="1"/>
    <cellStyle name="20% - Ênfase6 2" xfId="174"/>
    <cellStyle name="20% - Ênfase6 3" xfId="295"/>
    <cellStyle name="40% - Ênfase1" xfId="54" builtinId="31" customBuiltin="1"/>
    <cellStyle name="40% - Ênfase1 2" xfId="156"/>
    <cellStyle name="40% - Ênfase1 3" xfId="276"/>
    <cellStyle name="40% - Ênfase2" xfId="58" builtinId="35" customBuiltin="1"/>
    <cellStyle name="40% - Ênfase2 2" xfId="159"/>
    <cellStyle name="40% - Ênfase2 3" xfId="280"/>
    <cellStyle name="40% - Ênfase3" xfId="62" builtinId="39" customBuiltin="1"/>
    <cellStyle name="40% - Ênfase3 2" xfId="163"/>
    <cellStyle name="40% - Ênfase3 3" xfId="284"/>
    <cellStyle name="40% - Ênfase4" xfId="66" builtinId="43" customBuiltin="1"/>
    <cellStyle name="40% - Ênfase4 2" xfId="167"/>
    <cellStyle name="40% - Ênfase4 3" xfId="288"/>
    <cellStyle name="40% - Ênfase5" xfId="70" builtinId="47" customBuiltin="1"/>
    <cellStyle name="40% - Ênfase5 2" xfId="171"/>
    <cellStyle name="40% - Ênfase5 3" xfId="292"/>
    <cellStyle name="40% - Ênfase6" xfId="74" builtinId="51" customBuiltin="1"/>
    <cellStyle name="40% - Ênfase6 2" xfId="175"/>
    <cellStyle name="40% - Ênfase6 3" xfId="296"/>
    <cellStyle name="60% - Ênfase1" xfId="55" builtinId="32" customBuiltin="1"/>
    <cellStyle name="60% - Ênfase1 2" xfId="157"/>
    <cellStyle name="60% - Ênfase1 3" xfId="277"/>
    <cellStyle name="60% - Ênfase2" xfId="59" builtinId="36" customBuiltin="1"/>
    <cellStyle name="60% - Ênfase2 2" xfId="160"/>
    <cellStyle name="60% - Ênfase2 3" xfId="281"/>
    <cellStyle name="60% - Ênfase3" xfId="63" builtinId="40" customBuiltin="1"/>
    <cellStyle name="60% - Ênfase3 2" xfId="164"/>
    <cellStyle name="60% - Ênfase3 3" xfId="285"/>
    <cellStyle name="60% - Ênfase4" xfId="67" builtinId="44" customBuiltin="1"/>
    <cellStyle name="60% - Ênfase4 2" xfId="168"/>
    <cellStyle name="60% - Ênfase4 3" xfId="289"/>
    <cellStyle name="60% - Ênfase5" xfId="71" builtinId="48" customBuiltin="1"/>
    <cellStyle name="60% - Ênfase5 2" xfId="172"/>
    <cellStyle name="60% - Ênfase5 3" xfId="293"/>
    <cellStyle name="60% - Ênfase6" xfId="75" builtinId="52" customBuiltin="1"/>
    <cellStyle name="60% - Ênfase6 2" xfId="176"/>
    <cellStyle name="60% - Ênfase6 3" xfId="297"/>
    <cellStyle name="A1.Title1" xfId="12"/>
    <cellStyle name="A1.Title2" xfId="13"/>
    <cellStyle name="A2.Heading1" xfId="31"/>
    <cellStyle name="A2.Heading2" xfId="32"/>
    <cellStyle name="A2.Heading3" xfId="33"/>
    <cellStyle name="A2.Heading4" xfId="34"/>
    <cellStyle name="B1.dateDD-MMM-YY" xfId="16"/>
    <cellStyle name="B1.dateMMM-YY" xfId="37"/>
    <cellStyle name="B1.general" xfId="78"/>
    <cellStyle name="B1.percentage" xfId="9"/>
    <cellStyle name="B1.text" xfId="80"/>
    <cellStyle name="B1.textgrid" xfId="41"/>
    <cellStyle name="B2.dateDD-MMM-YY" xfId="27"/>
    <cellStyle name="B2.dateMMM-YY" xfId="39"/>
    <cellStyle name="B2.general" xfId="35"/>
    <cellStyle name="B2.percentage" xfId="26"/>
    <cellStyle name="B2.text" xfId="50"/>
    <cellStyle name="B2.textgrid" xfId="51"/>
    <cellStyle name="B4.dateDD-MMM-YY" xfId="76"/>
    <cellStyle name="B4.dateMMM-YY" xfId="77"/>
    <cellStyle name="B4.general" xfId="8"/>
    <cellStyle name="B4.percentage" xfId="79"/>
    <cellStyle name="B4.text" xfId="40"/>
    <cellStyle name="B4.textgrid" xfId="81"/>
    <cellStyle name="Bom" xfId="47" builtinId="26" customBuiltin="1"/>
    <cellStyle name="Bom 2" xfId="86"/>
    <cellStyle name="Bom 3" xfId="271"/>
    <cellStyle name="C1.dateDD-MMM-YY" xfId="30"/>
    <cellStyle name="C1.dateMMM-YY" xfId="38"/>
    <cellStyle name="C1.general" xfId="28"/>
    <cellStyle name="C1.percentage" xfId="29"/>
    <cellStyle name="C2.total" xfId="10"/>
    <cellStyle name="C2.totalpercentage" xfId="36"/>
    <cellStyle name="Cálculo" xfId="19" builtinId="22" hidden="1"/>
    <cellStyle name="Cálculo" xfId="19" builtinId="22" hidden="1" customBuiltin="1"/>
    <cellStyle name="Cálculo" xfId="114" builtinId="22" hidden="1"/>
    <cellStyle name="Cálculo" xfId="114" builtinId="22" hidden="1" customBuiltin="1"/>
    <cellStyle name="Cálculo" xfId="210" hidden="1"/>
    <cellStyle name="Cálculo" xfId="210" hidden="1"/>
    <cellStyle name="Cálculo" xfId="224" hidden="1"/>
    <cellStyle name="Cálculo" xfId="224" hidden="1"/>
    <cellStyle name="Cálculo" xfId="222" hidden="1"/>
    <cellStyle name="Cálculo" xfId="222" hidden="1"/>
    <cellStyle name="Cálculo" xfId="234" hidden="1"/>
    <cellStyle name="Cálculo" xfId="234" hidden="1"/>
    <cellStyle name="Cálculo" xfId="240" hidden="1"/>
    <cellStyle name="Cálculo" xfId="240" hidden="1"/>
    <cellStyle name="Cálculo" xfId="242" hidden="1"/>
    <cellStyle name="Cálculo" xfId="242" hidden="1"/>
    <cellStyle name="Cálculo 10" xfId="384" hidden="1"/>
    <cellStyle name="Cálculo 10" xfId="412" hidden="1"/>
    <cellStyle name="Cálculo 11" xfId="384" hidden="1"/>
    <cellStyle name="Cálculo 11" xfId="412" hidden="1"/>
    <cellStyle name="Cálculo 12" xfId="396" hidden="1"/>
    <cellStyle name="Cálculo 12" xfId="413" hidden="1"/>
    <cellStyle name="Cálculo 13" xfId="396"/>
    <cellStyle name="Cálculo 14" xfId="402"/>
    <cellStyle name="Cálculo 15" xfId="402"/>
    <cellStyle name="Cálculo 16" xfId="404"/>
    <cellStyle name="Cálculo 17" xfId="404"/>
    <cellStyle name="Cálculo 2" xfId="146" hidden="1"/>
    <cellStyle name="Cálculo 2" xfId="340" hidden="1"/>
    <cellStyle name="Cálculo 2" xfId="264"/>
    <cellStyle name="Cálculo 3" xfId="146" hidden="1"/>
    <cellStyle name="Cálculo 3" xfId="340" hidden="1"/>
    <cellStyle name="Cálculo 3" xfId="264"/>
    <cellStyle name="Cálculo 4" xfId="194" hidden="1"/>
    <cellStyle name="Cálculo 4" xfId="357" hidden="1"/>
    <cellStyle name="Cálculo 4" xfId="315"/>
    <cellStyle name="Cálculo 5" xfId="194" hidden="1"/>
    <cellStyle name="Cálculo 5" xfId="357" hidden="1"/>
    <cellStyle name="Cálculo 5" xfId="315"/>
    <cellStyle name="Cálculo 6" xfId="372"/>
    <cellStyle name="Cálculo 7" xfId="372"/>
    <cellStyle name="Cálculo 8" xfId="386"/>
    <cellStyle name="Cálculo 9" xfId="386"/>
    <cellStyle name="Célula de Verificação" xfId="21" builtinId="23" hidden="1"/>
    <cellStyle name="Célula de Verificação" xfId="116" builtinId="23" hidden="1"/>
    <cellStyle name="Célula de Verificação" xfId="136" builtinId="23" hidden="1"/>
    <cellStyle name="Célula de Verificação" xfId="196" builtinId="23" hidden="1"/>
    <cellStyle name="Célula de Verificação" xfId="217" builtinId="23" hidden="1"/>
    <cellStyle name="Célula de Verificação" xfId="226" builtinId="23" hidden="1"/>
    <cellStyle name="Célula de Verificação" xfId="229" builtinId="23" hidden="1"/>
    <cellStyle name="Célula de Verificação" xfId="236" builtinId="23" hidden="1"/>
    <cellStyle name="Célula de Verificação" xfId="218" builtinId="23" hidden="1"/>
    <cellStyle name="Célula de Verificação" xfId="244" builtinId="23" hidden="1"/>
    <cellStyle name="Célula de Verificação" xfId="254" builtinId="23" hidden="1"/>
    <cellStyle name="Célula de Verificação" xfId="317" builtinId="23" hidden="1"/>
    <cellStyle name="Célula de Verificação" xfId="335" builtinId="23" hidden="1"/>
    <cellStyle name="Célula de Verificação" xfId="359" builtinId="23" hidden="1"/>
    <cellStyle name="Célula de Verificação" xfId="379" builtinId="23" hidden="1"/>
    <cellStyle name="Célula de Verificação" xfId="388" builtinId="23" hidden="1"/>
    <cellStyle name="Célula de Verificação" xfId="391" builtinId="23" hidden="1"/>
    <cellStyle name="Célula de Verificação" xfId="398" builtinId="23" hidden="1"/>
    <cellStyle name="Célula de Verificação" xfId="380" builtinId="23" hidden="1"/>
    <cellStyle name="Célula de Verificação" xfId="406" builtinId="23" hidden="1"/>
    <cellStyle name="Célula Vinculada" xfId="20" builtinId="24" hidden="1"/>
    <cellStyle name="Célula Vinculada" xfId="115" builtinId="24" hidden="1"/>
    <cellStyle name="Célula Vinculada" xfId="135" builtinId="24" hidden="1"/>
    <cellStyle name="Célula Vinculada" xfId="195" builtinId="24" hidden="1"/>
    <cellStyle name="Célula Vinculada" xfId="211" builtinId="24" hidden="1"/>
    <cellStyle name="Célula Vinculada" xfId="225" builtinId="24" hidden="1"/>
    <cellStyle name="Célula Vinculada" xfId="221" builtinId="24" hidden="1"/>
    <cellStyle name="Célula Vinculada" xfId="235" builtinId="24" hidden="1"/>
    <cellStyle name="Célula Vinculada" xfId="232" builtinId="24" hidden="1"/>
    <cellStyle name="Célula Vinculada" xfId="243" builtinId="24" hidden="1"/>
    <cellStyle name="Célula Vinculada" xfId="253" builtinId="24" hidden="1"/>
    <cellStyle name="Célula Vinculada" xfId="316" builtinId="24" hidden="1"/>
    <cellStyle name="Célula Vinculada" xfId="334" builtinId="24" hidden="1"/>
    <cellStyle name="Célula Vinculada" xfId="358" builtinId="24" hidden="1"/>
    <cellStyle name="Célula Vinculada" xfId="373" builtinId="24" hidden="1"/>
    <cellStyle name="Célula Vinculada" xfId="387" builtinId="24" hidden="1"/>
    <cellStyle name="Célula Vinculada" xfId="383" builtinId="24" hidden="1"/>
    <cellStyle name="Célula Vinculada" xfId="397" builtinId="24" hidden="1"/>
    <cellStyle name="Célula Vinculada" xfId="394" builtinId="24" hidden="1"/>
    <cellStyle name="Célula Vinculada" xfId="405" builtinId="24" hidden="1"/>
    <cellStyle name="Comma 2" xfId="99"/>
    <cellStyle name="Comma 2 2" xfId="105"/>
    <cellStyle name="Comma 2 2 2" xfId="185"/>
    <cellStyle name="Comma 2 2 2 2" xfId="352"/>
    <cellStyle name="Comma 2 2 3" xfId="306"/>
    <cellStyle name="Comma 2 3" xfId="182"/>
    <cellStyle name="Comma 2 3 2" xfId="349"/>
    <cellStyle name="Comma 2 4" xfId="303"/>
    <cellStyle name="Ênfase1" xfId="52" builtinId="29" customBuiltin="1"/>
    <cellStyle name="Ênfase1 2" xfId="155"/>
    <cellStyle name="Ênfase1 3" xfId="274"/>
    <cellStyle name="Ênfase2" xfId="56" builtinId="33" customBuiltin="1"/>
    <cellStyle name="Ênfase2 2" xfId="158"/>
    <cellStyle name="Ênfase2 3" xfId="278"/>
    <cellStyle name="Ênfase3" xfId="60" builtinId="37" customBuiltin="1"/>
    <cellStyle name="Ênfase3 2" xfId="161"/>
    <cellStyle name="Ênfase3 3" xfId="282"/>
    <cellStyle name="Ênfase4" xfId="64" builtinId="41" customBuiltin="1"/>
    <cellStyle name="Ênfase4 2" xfId="165"/>
    <cellStyle name="Ênfase4 3" xfId="286"/>
    <cellStyle name="Ênfase5" xfId="68" builtinId="45" customBuiltin="1"/>
    <cellStyle name="Ênfase5 2" xfId="102"/>
    <cellStyle name="Ênfase5 3" xfId="169"/>
    <cellStyle name="Ênfase5 4" xfId="290"/>
    <cellStyle name="Ênfase6" xfId="72" builtinId="49" customBuiltin="1"/>
    <cellStyle name="Ênfase6 2" xfId="173"/>
    <cellStyle name="Ênfase6 3" xfId="294"/>
    <cellStyle name="Entrada" xfId="17" builtinId="20" hidden="1"/>
    <cellStyle name="Entrada" xfId="112" builtinId="20" hidden="1"/>
    <cellStyle name="Entrada" xfId="134" builtinId="20" hidden="1"/>
    <cellStyle name="Entrada" xfId="192" builtinId="20" hidden="1"/>
    <cellStyle name="Entrada" xfId="212" builtinId="20" hidden="1"/>
    <cellStyle name="Entrada" xfId="223" builtinId="20" hidden="1"/>
    <cellStyle name="Entrada" xfId="230" builtinId="20" hidden="1"/>
    <cellStyle name="Entrada" xfId="233" builtinId="20" hidden="1"/>
    <cellStyle name="Entrada" xfId="231" builtinId="20" hidden="1"/>
    <cellStyle name="Entrada" xfId="241" builtinId="20" hidden="1"/>
    <cellStyle name="Entrada" xfId="252" builtinId="20" hidden="1"/>
    <cellStyle name="Entrada" xfId="313" builtinId="20" hidden="1"/>
    <cellStyle name="Entrada" xfId="333" builtinId="20" hidden="1"/>
    <cellStyle name="Entrada" xfId="355" builtinId="20" hidden="1"/>
    <cellStyle name="Entrada" xfId="374" builtinId="20" hidden="1"/>
    <cellStyle name="Entrada" xfId="385" builtinId="20" hidden="1"/>
    <cellStyle name="Entrada" xfId="392" builtinId="20" hidden="1"/>
    <cellStyle name="Entrada" xfId="395" builtinId="20" hidden="1"/>
    <cellStyle name="Entrada" xfId="393" builtinId="20" hidden="1"/>
    <cellStyle name="Entrada" xfId="403" builtinId="20" hidden="1"/>
    <cellStyle name="Incorreto" xfId="48" builtinId="27" customBuiltin="1"/>
    <cellStyle name="Incorreto 2" xfId="153"/>
    <cellStyle name="Incorreto 3" xfId="272"/>
    <cellStyle name="Moeda" xfId="44" builtinId="4" hidden="1"/>
    <cellStyle name="Moeda" xfId="123" builtinId="4" hidden="1"/>
    <cellStyle name="Moeda" xfId="215" hidden="1"/>
    <cellStyle name="Moeda" xfId="227" hidden="1"/>
    <cellStyle name="Moeda" xfId="214" hidden="1"/>
    <cellStyle name="Moeda" xfId="246" hidden="1"/>
    <cellStyle name="Moeda [0]" xfId="45" builtinId="7" hidden="1"/>
    <cellStyle name="Moeda [0]" xfId="124" builtinId="7" hidden="1"/>
    <cellStyle name="Moeda [0]" xfId="216" hidden="1"/>
    <cellStyle name="Moeda [0]" xfId="238" hidden="1"/>
    <cellStyle name="Moeda [0]" xfId="219" hidden="1"/>
    <cellStyle name="Moeda [0]" xfId="247" hidden="1"/>
    <cellStyle name="Moeda [0] 2" xfId="151" hidden="1"/>
    <cellStyle name="Moeda [0] 2" xfId="343" hidden="1"/>
    <cellStyle name="Moeda [0] 2" xfId="269"/>
    <cellStyle name="Moeda [0] 3" xfId="203" hidden="1"/>
    <cellStyle name="Moeda [0] 3" xfId="365" hidden="1"/>
    <cellStyle name="Moeda [0] 3" xfId="324"/>
    <cellStyle name="Moeda [0] 4" xfId="378"/>
    <cellStyle name="Moeda [0] 5" xfId="400"/>
    <cellStyle name="Moeda [0] 6" xfId="381"/>
    <cellStyle name="Moeda [0] 7" xfId="409"/>
    <cellStyle name="Moeda 2" xfId="150" hidden="1"/>
    <cellStyle name="Moeda 2" xfId="342" hidden="1"/>
    <cellStyle name="Moeda 2" xfId="268"/>
    <cellStyle name="Moeda 3" xfId="202" hidden="1"/>
    <cellStyle name="Moeda 3" xfId="364" hidden="1"/>
    <cellStyle name="Moeda 3" xfId="323"/>
    <cellStyle name="Moeda 4" xfId="377"/>
    <cellStyle name="Moeda 5" xfId="389"/>
    <cellStyle name="Moeda 6" xfId="376"/>
    <cellStyle name="Moeda 7" xfId="408"/>
    <cellStyle name="Neutra" xfId="49" builtinId="28" customBuiltin="1"/>
    <cellStyle name="Neutra 2" xfId="90"/>
    <cellStyle name="Neutra 3" xfId="154"/>
    <cellStyle name="Neutra 4" xfId="273"/>
    <cellStyle name="Normal" xfId="0" builtinId="0" customBuiltin="1"/>
    <cellStyle name="Normal 10" xfId="140"/>
    <cellStyle name="Normal 11" xfId="132"/>
    <cellStyle name="Normal 11 2" xfId="331"/>
    <cellStyle name="Normal 12" xfId="258"/>
    <cellStyle name="Normal 13" xfId="250"/>
    <cellStyle name="Normal 2" xfId="91"/>
    <cellStyle name="Normal 2 2" xfId="82"/>
    <cellStyle name="Normal 2 3" xfId="97"/>
    <cellStyle name="Normal 2 4" xfId="126"/>
    <cellStyle name="Normal 2 4 2" xfId="204"/>
    <cellStyle name="Normal 2 4 2 2" xfId="366"/>
    <cellStyle name="Normal 2 4 3" xfId="325"/>
    <cellStyle name="Normal 2 5" xfId="177"/>
    <cellStyle name="Normal 2 5 2" xfId="344"/>
    <cellStyle name="Normal 2 6" xfId="249"/>
    <cellStyle name="Normal 2 6 2" xfId="411"/>
    <cellStyle name="Normal 2 7" xfId="298"/>
    <cellStyle name="Normal 22" xfId="84"/>
    <cellStyle name="Normal 3" xfId="92"/>
    <cellStyle name="Normal 4" xfId="93"/>
    <cellStyle name="Normal 4 2" xfId="127"/>
    <cellStyle name="Normal 4 2 2" xfId="205"/>
    <cellStyle name="Normal 4 2 2 2" xfId="367"/>
    <cellStyle name="Normal 4 2 3" xfId="326"/>
    <cellStyle name="Normal 4 3" xfId="178"/>
    <cellStyle name="Normal 4 3 2" xfId="345"/>
    <cellStyle name="Normal 4 4" xfId="299"/>
    <cellStyle name="Normal 5" xfId="94"/>
    <cellStyle name="Normal 5 2" xfId="98"/>
    <cellStyle name="Normal 5 2 2" xfId="130"/>
    <cellStyle name="Normal 5 2 2 2" xfId="208"/>
    <cellStyle name="Normal 5 2 2 2 2" xfId="370"/>
    <cellStyle name="Normal 5 2 2 3" xfId="329"/>
    <cellStyle name="Normal 5 2 3" xfId="181"/>
    <cellStyle name="Normal 5 2 3 2" xfId="348"/>
    <cellStyle name="Normal 5 2 4" xfId="302"/>
    <cellStyle name="Normal 5 3" xfId="128"/>
    <cellStyle name="Normal 5 3 2" xfId="206"/>
    <cellStyle name="Normal 5 3 2 2" xfId="368"/>
    <cellStyle name="Normal 5 3 3" xfId="327"/>
    <cellStyle name="Normal 5 4" xfId="179"/>
    <cellStyle name="Normal 5 4 2" xfId="346"/>
    <cellStyle name="Normal 5 5" xfId="300"/>
    <cellStyle name="Normal 6" xfId="96"/>
    <cellStyle name="Normal 6 2" xfId="129"/>
    <cellStyle name="Normal 6 2 2" xfId="207"/>
    <cellStyle name="Normal 6 2 2 2" xfId="369"/>
    <cellStyle name="Normal 6 2 3" xfId="328"/>
    <cellStyle name="Normal 6 3" xfId="180"/>
    <cellStyle name="Normal 6 3 2" xfId="347"/>
    <cellStyle name="Normal 6 4" xfId="301"/>
    <cellStyle name="Normal 7" xfId="100"/>
    <cellStyle name="Normal 7 2" xfId="131"/>
    <cellStyle name="Normal 7 2 2" xfId="209"/>
    <cellStyle name="Normal 7 2 2 2" xfId="371"/>
    <cellStyle name="Normal 7 2 3" xfId="330"/>
    <cellStyle name="Normal 7 3" xfId="183"/>
    <cellStyle name="Normal 7 3 2" xfId="350"/>
    <cellStyle name="Normal 7 4" xfId="304"/>
    <cellStyle name="Normal 8" xfId="101"/>
    <cellStyle name="Normal 9" xfId="104"/>
    <cellStyle name="Normal 9 2" xfId="184"/>
    <cellStyle name="Normal 9 2 2" xfId="351"/>
    <cellStyle name="Normal 9 3" xfId="305"/>
    <cellStyle name="Nota" xfId="23" builtinId="10" hidden="1"/>
    <cellStyle name="Nota" xfId="118" builtinId="10" hidden="1"/>
    <cellStyle name="Nota" xfId="220" hidden="1"/>
    <cellStyle name="Nota" xfId="237" hidden="1"/>
    <cellStyle name="Nota" xfId="213" hidden="1"/>
    <cellStyle name="Nota" xfId="245" hidden="1"/>
    <cellStyle name="Nota 2" xfId="147" hidden="1"/>
    <cellStyle name="Nota 2" xfId="341" hidden="1"/>
    <cellStyle name="Nota 2" xfId="265"/>
    <cellStyle name="Nota 3" xfId="198" hidden="1"/>
    <cellStyle name="Nota 3" xfId="361" hidden="1"/>
    <cellStyle name="Nota 3" xfId="319"/>
    <cellStyle name="Nota 4" xfId="382"/>
    <cellStyle name="Nota 5" xfId="399"/>
    <cellStyle name="Nota 6" xfId="375"/>
    <cellStyle name="Nota 7" xfId="407"/>
    <cellStyle name="Percent 27" xfId="87"/>
    <cellStyle name="Porcentagem" xfId="46" builtinId="5" hidden="1"/>
    <cellStyle name="Porcentagem 2" xfId="89"/>
    <cellStyle name="Porcentagem 3" xfId="106"/>
    <cellStyle name="Porcentagem 3 2" xfId="186"/>
    <cellStyle name="Porcentagem 3 2 2" xfId="353"/>
    <cellStyle name="Porcentagem 3 3" xfId="307"/>
    <cellStyle name="Porcentagem 4" xfId="125" hidden="1"/>
    <cellStyle name="Porcentagem 4" xfId="228" hidden="1"/>
    <cellStyle name="Porcentagem 4" xfId="239" hidden="1"/>
    <cellStyle name="Porcentagem 4" xfId="248" hidden="1"/>
    <cellStyle name="Porcentagem 4" xfId="390" hidden="1"/>
    <cellStyle name="Porcentagem 4" xfId="401" hidden="1"/>
    <cellStyle name="Porcentagem 4" xfId="410"/>
    <cellStyle name="Porcentagem 5" xfId="152"/>
    <cellStyle name="Porcentagem 6" xfId="270"/>
    <cellStyle name="Saída" xfId="18" builtinId="21" hidden="1"/>
    <cellStyle name="Saída" xfId="18" builtinId="21" hidden="1" customBuiltin="1"/>
    <cellStyle name="Saída" xfId="113" builtinId="21" hidden="1"/>
    <cellStyle name="Saída" xfId="113" builtinId="21" hidden="1" customBuiltin="1"/>
    <cellStyle name="Saída 2" xfId="145" hidden="1"/>
    <cellStyle name="Saída 2" xfId="339" hidden="1"/>
    <cellStyle name="Saída 2" xfId="263"/>
    <cellStyle name="Saída 3" xfId="145" hidden="1"/>
    <cellStyle name="Saída 3" xfId="339" hidden="1"/>
    <cellStyle name="Saída 3" xfId="263"/>
    <cellStyle name="Saída 4" xfId="193" hidden="1"/>
    <cellStyle name="Saída 4" xfId="356" hidden="1"/>
    <cellStyle name="Saída 4" xfId="314"/>
    <cellStyle name="Saída 5" xfId="193"/>
    <cellStyle name="Saída 6" xfId="314"/>
    <cellStyle name="Separador de milhares [0]" xfId="43" builtinId="6" hidden="1"/>
    <cellStyle name="Separador de milhares [0]" xfId="122" builtinId="6" hidden="1"/>
    <cellStyle name="Separador de milhares [0] 2" xfId="149"/>
    <cellStyle name="Separador de milhares [0] 3" xfId="201"/>
    <cellStyle name="Separador de milhares [0] 4" xfId="267"/>
    <cellStyle name="Separador de milhares [0] 5" xfId="322"/>
    <cellStyle name="Separador de milhares 3" xfId="95"/>
    <cellStyle name="Texto de Aviso" xfId="22" builtinId="11" hidden="1"/>
    <cellStyle name="Texto de Aviso" xfId="117" builtinId="11" hidden="1"/>
    <cellStyle name="Texto de Aviso" xfId="137" builtinId="11" hidden="1"/>
    <cellStyle name="Texto de Aviso" xfId="197" builtinId="11" hidden="1"/>
    <cellStyle name="Texto de Aviso" xfId="255" builtinId="11" hidden="1"/>
    <cellStyle name="Texto de Aviso" xfId="318" builtinId="11" hidden="1"/>
    <cellStyle name="Texto de Aviso" xfId="336" builtinId="11" hidden="1"/>
    <cellStyle name="Texto de Aviso" xfId="360" builtinId="11" hidden="1"/>
    <cellStyle name="Texto Explicativo" xfId="24" builtinId="53" hidden="1"/>
    <cellStyle name="Texto Explicativo" xfId="119" builtinId="53" hidden="1"/>
    <cellStyle name="Texto Explicativo" xfId="138" builtinId="53" hidden="1"/>
    <cellStyle name="Texto Explicativo" xfId="199" builtinId="53" hidden="1"/>
    <cellStyle name="Texto Explicativo" xfId="256" builtinId="53" hidden="1"/>
    <cellStyle name="Texto Explicativo" xfId="320" builtinId="53" hidden="1"/>
    <cellStyle name="Texto Explicativo" xfId="337" builtinId="53" hidden="1"/>
    <cellStyle name="Texto Explicativo" xfId="362" builtinId="53" hidden="1"/>
    <cellStyle name="Título" xfId="1" builtinId="15" hidden="1"/>
    <cellStyle name="Título" xfId="107" builtinId="15" hidden="1"/>
    <cellStyle name="Título" xfId="133" builtinId="15" hidden="1"/>
    <cellStyle name="Título" xfId="187" builtinId="15" hidden="1"/>
    <cellStyle name="Título" xfId="251" builtinId="15" hidden="1"/>
    <cellStyle name="Título" xfId="308" builtinId="15" hidden="1"/>
    <cellStyle name="Título" xfId="332" builtinId="15" hidden="1"/>
    <cellStyle name="Título" xfId="354" builtinId="15" hidden="1"/>
    <cellStyle name="Título 1" xfId="2" builtinId="16" hidden="1" customBuiltin="1"/>
    <cellStyle name="Título 1" xfId="108" builtinId="16" hidden="1" customBuiltin="1"/>
    <cellStyle name="Título 1 2" xfId="141"/>
    <cellStyle name="Título 1 3" xfId="188"/>
    <cellStyle name="Título 1 4" xfId="259"/>
    <cellStyle name="Título 1 5" xfId="309"/>
    <cellStyle name="Título 2" xfId="3" builtinId="17" hidden="1" customBuiltin="1"/>
    <cellStyle name="Título 2" xfId="109" builtinId="17" hidden="1" customBuiltin="1"/>
    <cellStyle name="Título 2 2" xfId="142"/>
    <cellStyle name="Título 2 3" xfId="189"/>
    <cellStyle name="Título 2 4" xfId="260"/>
    <cellStyle name="Título 2 5" xfId="310"/>
    <cellStyle name="Título 3" xfId="4" builtinId="18" hidden="1" customBuiltin="1"/>
    <cellStyle name="Título 3" xfId="110" builtinId="18" hidden="1" customBuiltin="1"/>
    <cellStyle name="Título 3 2" xfId="143"/>
    <cellStyle name="Título 3 3" xfId="190"/>
    <cellStyle name="Título 3 4" xfId="261"/>
    <cellStyle name="Título 3 5" xfId="311"/>
    <cellStyle name="Título 4" xfId="5" builtinId="19" hidden="1" customBuiltin="1"/>
    <cellStyle name="Título 4" xfId="111" builtinId="19" hidden="1" customBuiltin="1"/>
    <cellStyle name="Título 4 2" xfId="144"/>
    <cellStyle name="Título 4 3" xfId="191"/>
    <cellStyle name="Título 4 4" xfId="262"/>
    <cellStyle name="Título 4 5" xfId="312"/>
    <cellStyle name="Total" xfId="25" builtinId="25" hidden="1"/>
    <cellStyle name="Total" xfId="120" builtinId="25" hidden="1"/>
    <cellStyle name="Total" xfId="139" builtinId="25" hidden="1"/>
    <cellStyle name="Total" xfId="200" builtinId="25" hidden="1"/>
    <cellStyle name="Total" xfId="257" builtinId="25" hidden="1"/>
    <cellStyle name="Total" xfId="321" builtinId="25" hidden="1"/>
    <cellStyle name="Total" xfId="338" builtinId="25" hidden="1"/>
    <cellStyle name="Total" xfId="363" builtinId="25" hidden="1"/>
    <cellStyle name="Vírgula" xfId="42" builtinId="3" hidden="1"/>
    <cellStyle name="Vírgula" xfId="103" builtinId="3"/>
    <cellStyle name="Vírgula 2" xfId="88"/>
    <cellStyle name="Vírgula 3" xfId="121"/>
    <cellStyle name="Vírgula 4" xfId="148"/>
    <cellStyle name="Vírgula 5" xfId="266"/>
    <cellStyle name="Vírgula 7" xfId="85"/>
    <cellStyle name="X.lookup/units" xfId="6"/>
    <cellStyle name="X.rangename" xfId="14"/>
    <cellStyle name="X.usernotes" xfId="7"/>
    <cellStyle name="X.usernotes 2" xfId="83"/>
    <cellStyle name="Y.check" xfId="11"/>
    <cellStyle name="Y.inactive" xfId="15"/>
  </cellStyles>
  <dxfs count="63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0.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numFmt numFmtId="182" formatCode="0.0%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0" formatCode="General"/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1" formatCode="0"/>
      <alignment horizontal="center" vertical="center" textRotation="0" indent="0" justifyLastLine="0" shrinkToFit="0" readingOrder="0"/>
    </dxf>
    <dxf>
      <numFmt numFmtId="181" formatCode="0.000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176" formatCode="0.0"/>
      <alignment horizontal="center" vertical="center" textRotation="0" indent="0" justifyLastLine="0" shrinkToFit="0" readingOrder="0"/>
    </dxf>
    <dxf>
      <numFmt numFmtId="176" formatCode="0.0"/>
      <alignment horizontal="center" vertical="center" textRotation="0" indent="0" justifyLastLine="0" shrinkToFit="0" readingOrder="0"/>
    </dxf>
    <dxf>
      <numFmt numFmtId="176" formatCode="0.0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176" formatCode="0.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81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</dxf>
    <dxf>
      <font>
        <b/>
      </font>
      <numFmt numFmtId="176" formatCode="0.0"/>
      <alignment horizontal="center" vertical="center" textRotation="0" wrapText="0" indent="0" justifyLastLine="0" shrinkToFit="0" readingOrder="0"/>
    </dxf>
    <dxf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</font>
      <numFmt numFmtId="176" formatCode="0.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 tint="-0.249977111117893"/>
        <name val="Calibr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 tint="-0.249977111117893"/>
        <name val="Calibri"/>
        <scheme val="none"/>
      </font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rgb="FF57626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2" formatCode="0.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82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color theme="1"/>
      </font>
      <numFmt numFmtId="0" formatCode="General"/>
      <fill>
        <patternFill patternType="solid">
          <fgColor indexed="64"/>
          <bgColor rgb="FF57626E"/>
        </patternFill>
      </fill>
      <alignment horizontal="center" vertical="center" textRotation="0" wrapText="0" indent="0" justifyLastLine="0" shrinkToFit="0" readingOrder="0"/>
    </dxf>
    <dxf>
      <font>
        <color theme="1"/>
      </font>
      <numFmt numFmtId="0" formatCode="General"/>
      <fill>
        <patternFill patternType="solid">
          <fgColor indexed="64"/>
          <bgColor rgb="FF57626E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177" formatCode="000\+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177" formatCode="000\+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1" formatCode="0"/>
      <alignment horizontal="center" vertical="center" textRotation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font>
        <b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81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182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sz val="8"/>
        <color theme="1"/>
        <name val="Arial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sz val="8"/>
        <color theme="1"/>
        <name val="Arial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sz val="8"/>
        <color theme="1"/>
        <name val="Arial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sz val="8"/>
        <color theme="1"/>
        <name val="Arial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sz val="8"/>
        <color theme="1"/>
        <name val="Arial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sz val="8"/>
        <color theme="1"/>
        <name val="Arial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z val="8"/>
        <color theme="1"/>
        <name val="Arial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1" formatCode="0"/>
      <alignment horizontal="center" vertical="center" textRotation="0" indent="0" justifyLastLine="0" shrinkToFit="0" readingOrder="0"/>
    </dxf>
    <dxf>
      <numFmt numFmtId="181" formatCode="0.000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176" formatCode="0.0"/>
      <alignment horizontal="center" vertical="center" textRotation="0" indent="0" justifyLastLine="0" shrinkToFit="0" readingOrder="0"/>
    </dxf>
    <dxf>
      <numFmt numFmtId="176" formatCode="0.0"/>
      <alignment horizontal="center" vertical="center" textRotation="0" indent="0" justifyLastLine="0" shrinkToFit="0" readingOrder="0"/>
    </dxf>
    <dxf>
      <numFmt numFmtId="176" formatCode="0.0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176" formatCode="0.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81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theme="1"/>
      </font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rgb="FF57626E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</font>
      <numFmt numFmtId="13" formatCode="0%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182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  <color theme="1"/>
      </font>
      <numFmt numFmtId="0" formatCode="General"/>
      <fill>
        <patternFill patternType="solid">
          <fgColor indexed="64"/>
          <bgColor rgb="FF57626E"/>
        </patternFill>
      </fill>
      <alignment horizontal="center" vertical="center" textRotation="0" wrapText="0" indent="0" justifyLastLine="0" shrinkToFit="0" readingOrder="0"/>
    </dxf>
    <dxf>
      <font>
        <color theme="1"/>
      </font>
      <numFmt numFmtId="0" formatCode="General"/>
      <fill>
        <patternFill patternType="solid">
          <fgColor indexed="64"/>
          <bgColor rgb="FF57626E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3" formatCode="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177" formatCode="000\+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177" formatCode="000\+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0" formatCode="General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</dxf>
    <dxf>
      <font>
        <b/>
      </font>
      <numFmt numFmtId="176" formatCode="0.0"/>
      <alignment horizontal="center" vertical="center" textRotation="0" wrapText="0" indent="0" justifyLastLine="0" shrinkToFit="0" readingOrder="0"/>
    </dxf>
    <dxf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</font>
      <numFmt numFmtId="176" formatCode="0.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35" formatCode="_-* #,##0.00_-;\-* #,##0.00_-;_-* &quot;-&quot;??_-;_-@_-"/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 tint="-0.249977111117893"/>
        <name val="Calibr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 tint="-0.249977111117893"/>
        <name val="Calibri"/>
        <scheme val="none"/>
      </font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rgb="FF57626E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</font>
      <numFmt numFmtId="13" formatCode="0%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2" formatCode="0.0%"/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numFmt numFmtId="182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ill>
        <patternFill>
          <fgColor indexed="64"/>
          <bgColor rgb="FFF8F200"/>
        </patternFill>
      </fill>
      <alignment horizontal="center" vertical="center" textRotation="0" wrapText="0" indent="0" justifyLastLine="0" shrinkToFit="0" readingOrder="0"/>
    </dxf>
    <dxf>
      <font>
        <b/>
        <color theme="1"/>
      </font>
      <numFmt numFmtId="0" formatCode="General"/>
      <fill>
        <patternFill patternType="solid">
          <fgColor indexed="64"/>
          <bgColor rgb="FF57626E"/>
        </patternFill>
      </fill>
      <alignment horizontal="center" vertical="center" textRotation="0" wrapText="0" indent="0" justifyLastLine="0" shrinkToFit="0" readingOrder="0"/>
    </dxf>
    <dxf>
      <font>
        <color theme="1"/>
      </font>
      <numFmt numFmtId="0" formatCode="General"/>
      <fill>
        <patternFill patternType="solid">
          <fgColor indexed="64"/>
          <bgColor rgb="FF57626E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1" formatCode="0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177" formatCode="000\+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177" formatCode="000\+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z val="8"/>
        <color theme="1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rgb="FFF8F2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0" tint="-0.499984740745262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Calibri"/>
        <scheme val="none"/>
      </font>
    </dxf>
    <dxf>
      <font>
        <strike val="0"/>
        <outline val="0"/>
        <shadow val="0"/>
        <u val="none"/>
        <vertAlign val="baseline"/>
        <sz val="8"/>
        <color theme="0" tint="-0.499984740745262"/>
        <name val="Calibri"/>
        <scheme val="none"/>
      </font>
    </dxf>
    <dxf>
      <font>
        <strike val="0"/>
        <outline val="0"/>
        <shadow val="0"/>
        <u val="none"/>
        <vertAlign val="baseline"/>
        <sz val="8"/>
        <color theme="0" tint="-0.499984740745262"/>
        <name val="Calibri"/>
        <scheme val="none"/>
      </font>
    </dxf>
    <dxf>
      <font>
        <strike val="0"/>
        <outline val="0"/>
        <shadow val="0"/>
        <u val="none"/>
        <vertAlign val="baseline"/>
        <sz val="8"/>
        <color theme="0" tint="-0.499984740745262"/>
        <name val="Calibri"/>
        <scheme val="none"/>
      </font>
    </dxf>
    <dxf>
      <font>
        <strike val="0"/>
        <outline val="0"/>
        <shadow val="0"/>
        <u val="none"/>
        <vertAlign val="baseline"/>
        <sz val="8"/>
        <color theme="0" tint="-0.499984740745262"/>
        <name val="Calibri"/>
        <scheme val="none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ill>
        <patternFill>
          <bgColor rgb="FFEFF6FA"/>
        </patternFill>
      </fill>
    </dxf>
    <dxf>
      <font>
        <b/>
        <i val="0"/>
      </font>
      <border>
        <top style="thin">
          <color rgb="FF57626E"/>
        </top>
        <horizontal/>
      </border>
    </dxf>
    <dxf>
      <font>
        <b/>
        <i val="0"/>
        <color rgb="FFFFFFFF"/>
      </font>
      <fill>
        <patternFill>
          <bgColor rgb="FF57626E"/>
        </patternFill>
      </fill>
    </dxf>
    <dxf>
      <border>
        <bottom style="medium">
          <color rgb="FF57626E"/>
        </bottom>
      </border>
    </dxf>
    <dxf>
      <fill>
        <patternFill>
          <bgColor theme="0" tint="-4.9989318521683403E-2"/>
        </patternFill>
      </fill>
    </dxf>
  </dxfs>
  <tableStyles count="2" defaultTableStyle="TableStyleMedium9" defaultPivotStyle="PivotStyleLight16">
    <tableStyle name="Estilo de Tabela 1" pivot="0" count="1">
      <tableStyleElement type="firstRowStripe" dxfId="633"/>
    </tableStyle>
    <tableStyle name="SDG Table 1" pivot="0" count="4">
      <tableStyleElement type="wholeTable" dxfId="632"/>
      <tableStyleElement type="headerRow" dxfId="631"/>
      <tableStyleElement type="totalRow" dxfId="630"/>
      <tableStyleElement type="firstRowStripe" dxfId="629"/>
    </tableStyle>
  </tableStyles>
  <colors>
    <mruColors>
      <color rgb="FFF8F200"/>
      <color rgb="FF57626E"/>
      <color rgb="FFD2E7B8"/>
      <color rgb="FFAE1231"/>
      <color rgb="FFFFFF66"/>
      <color rgb="FF86B3CB"/>
      <color rgb="FFD6E7F2"/>
      <color rgb="FFFCD5BC"/>
      <color rgb="FFFDE3D2"/>
      <color rgb="FFA2A5A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5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4.xml"/><Relationship Id="rId38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openxmlformats.org/officeDocument/2006/relationships/externalLink" Target="externalLinks/externalLink8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externalLink" Target="externalLinks/externalLink6.xml"/><Relationship Id="rId43" Type="http://schemas.microsoft.com/office/2006/relationships/vbaProject" Target="vbaProject.bin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tmp"/><Relationship Id="rId7" Type="http://schemas.openxmlformats.org/officeDocument/2006/relationships/image" Target="../media/image9.tmp"/><Relationship Id="rId2" Type="http://schemas.openxmlformats.org/officeDocument/2006/relationships/image" Target="../media/image4.tmp"/><Relationship Id="rId1" Type="http://schemas.openxmlformats.org/officeDocument/2006/relationships/image" Target="../media/image3.tmp"/><Relationship Id="rId6" Type="http://schemas.openxmlformats.org/officeDocument/2006/relationships/image" Target="../media/image8.tmp"/><Relationship Id="rId5" Type="http://schemas.openxmlformats.org/officeDocument/2006/relationships/image" Target="../media/image7.tmp"/><Relationship Id="rId4" Type="http://schemas.openxmlformats.org/officeDocument/2006/relationships/image" Target="../media/image6.tmp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tmp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tmp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tmp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tmp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tmp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tmp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tmp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tmp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tmp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tmp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tmp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tmp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tmp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tmp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tmp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tmp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tmp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tmp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tmp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</xdr:row>
      <xdr:rowOff>38101</xdr:rowOff>
    </xdr:from>
    <xdr:to>
      <xdr:col>1</xdr:col>
      <xdr:colOff>2057400</xdr:colOff>
      <xdr:row>4</xdr:row>
      <xdr:rowOff>114301</xdr:rowOff>
    </xdr:to>
    <xdr:sp macro="[0]!RUN_HCM2000" textlink="">
      <xdr:nvSpPr>
        <xdr:cNvPr id="2" name="Retângulo 1"/>
        <xdr:cNvSpPr/>
      </xdr:nvSpPr>
      <xdr:spPr>
        <a:xfrm>
          <a:off x="266700" y="609601"/>
          <a:ext cx="2028825" cy="4000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</xdr:row>
      <xdr:rowOff>19050</xdr:rowOff>
    </xdr:from>
    <xdr:to>
      <xdr:col>4</xdr:col>
      <xdr:colOff>9525</xdr:colOff>
      <xdr:row>4</xdr:row>
      <xdr:rowOff>19050</xdr:rowOff>
    </xdr:to>
    <xdr:sp macro="[0]!INITIALIZATION" textlink="">
      <xdr:nvSpPr>
        <xdr:cNvPr id="2" name="Retângulo 1"/>
        <xdr:cNvSpPr/>
      </xdr:nvSpPr>
      <xdr:spPr>
        <a:xfrm>
          <a:off x="628650" y="590550"/>
          <a:ext cx="1819275" cy="3238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1.</a:t>
          </a:r>
          <a:r>
            <a:rPr lang="pt-BR" sz="1100" baseline="0"/>
            <a:t> </a:t>
          </a:r>
          <a:r>
            <a:rPr lang="pt-BR" sz="1100"/>
            <a:t>INITIALIZATION</a:t>
          </a:r>
        </a:p>
      </xdr:txBody>
    </xdr:sp>
    <xdr:clientData/>
  </xdr:twoCellAnchor>
  <xdr:twoCellAnchor>
    <xdr:from>
      <xdr:col>4</xdr:col>
      <xdr:colOff>38100</xdr:colOff>
      <xdr:row>2</xdr:row>
      <xdr:rowOff>19050</xdr:rowOff>
    </xdr:from>
    <xdr:to>
      <xdr:col>7</xdr:col>
      <xdr:colOff>28575</xdr:colOff>
      <xdr:row>4</xdr:row>
      <xdr:rowOff>19050</xdr:rowOff>
    </xdr:to>
    <xdr:sp macro="[0]!RUN_YEAR_BY_YEAR" textlink="">
      <xdr:nvSpPr>
        <xdr:cNvPr id="3" name="Retângulo 2"/>
        <xdr:cNvSpPr/>
      </xdr:nvSpPr>
      <xdr:spPr>
        <a:xfrm>
          <a:off x="2476500" y="590550"/>
          <a:ext cx="1819275" cy="3238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2. RUN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11206</xdr:colOff>
      <xdr:row>8</xdr:row>
      <xdr:rowOff>67235</xdr:rowOff>
    </xdr:from>
    <xdr:to>
      <xdr:col>61</xdr:col>
      <xdr:colOff>11206</xdr:colOff>
      <xdr:row>9</xdr:row>
      <xdr:rowOff>89647</xdr:rowOff>
    </xdr:to>
    <xdr:sp macro="[0]!FNP_INTERPOLATION" textlink="">
      <xdr:nvSpPr>
        <xdr:cNvPr id="2" name="Retângulo 1"/>
        <xdr:cNvSpPr/>
      </xdr:nvSpPr>
      <xdr:spPr>
        <a:xfrm>
          <a:off x="35577556" y="1676960"/>
          <a:ext cx="1828800" cy="193862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INTERPOLACAO</a:t>
          </a:r>
        </a:p>
      </xdr:txBody>
    </xdr:sp>
    <xdr:clientData/>
  </xdr:twoCellAnchor>
  <xdr:twoCellAnchor>
    <xdr:from>
      <xdr:col>72</xdr:col>
      <xdr:colOff>645460</xdr:colOff>
      <xdr:row>8</xdr:row>
      <xdr:rowOff>51547</xdr:rowOff>
    </xdr:from>
    <xdr:to>
      <xdr:col>76</xdr:col>
      <xdr:colOff>0</xdr:colOff>
      <xdr:row>9</xdr:row>
      <xdr:rowOff>78441</xdr:rowOff>
    </xdr:to>
    <xdr:sp macro="[0]!FDNP_INTERPOLATION" textlink="">
      <xdr:nvSpPr>
        <xdr:cNvPr id="3" name="Retângulo 2"/>
        <xdr:cNvSpPr/>
      </xdr:nvSpPr>
      <xdr:spPr>
        <a:xfrm>
          <a:off x="44955760" y="1661272"/>
          <a:ext cx="1869140" cy="19834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INTERPOLACAO</a:t>
          </a:r>
        </a:p>
      </xdr:txBody>
    </xdr:sp>
    <xdr:clientData/>
  </xdr:twoCellAnchor>
  <xdr:twoCellAnchor>
    <xdr:from>
      <xdr:col>48</xdr:col>
      <xdr:colOff>561975</xdr:colOff>
      <xdr:row>7</xdr:row>
      <xdr:rowOff>57150</xdr:rowOff>
    </xdr:from>
    <xdr:to>
      <xdr:col>50</xdr:col>
      <xdr:colOff>600075</xdr:colOff>
      <xdr:row>8</xdr:row>
      <xdr:rowOff>104775</xdr:rowOff>
    </xdr:to>
    <xdr:sp macro="[0]!VP_ATS" textlink="">
      <xdr:nvSpPr>
        <xdr:cNvPr id="4" name="Retângulo 3"/>
        <xdr:cNvSpPr/>
      </xdr:nvSpPr>
      <xdr:spPr>
        <a:xfrm>
          <a:off x="30032325" y="1495425"/>
          <a:ext cx="1257300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VP_ATS</a:t>
          </a:r>
        </a:p>
      </xdr:txBody>
    </xdr:sp>
    <xdr:clientData/>
  </xdr:twoCellAnchor>
  <xdr:twoCellAnchor>
    <xdr:from>
      <xdr:col>66</xdr:col>
      <xdr:colOff>590549</xdr:colOff>
      <xdr:row>7</xdr:row>
      <xdr:rowOff>152400</xdr:rowOff>
    </xdr:from>
    <xdr:to>
      <xdr:col>68</xdr:col>
      <xdr:colOff>628650</xdr:colOff>
      <xdr:row>9</xdr:row>
      <xdr:rowOff>47625</xdr:rowOff>
    </xdr:to>
    <xdr:sp macro="[0]!VP_PTSF" textlink="">
      <xdr:nvSpPr>
        <xdr:cNvPr id="5" name="Retângulo 4"/>
        <xdr:cNvSpPr/>
      </xdr:nvSpPr>
      <xdr:spPr>
        <a:xfrm>
          <a:off x="41090849" y="1590675"/>
          <a:ext cx="1257301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VP_PTSF</a:t>
          </a:r>
        </a:p>
      </xdr:txBody>
    </xdr:sp>
    <xdr:clientData/>
  </xdr:twoCellAnchor>
  <xdr:twoCellAnchor>
    <xdr:from>
      <xdr:col>46</xdr:col>
      <xdr:colOff>76200</xdr:colOff>
      <xdr:row>5</xdr:row>
      <xdr:rowOff>114300</xdr:rowOff>
    </xdr:from>
    <xdr:to>
      <xdr:col>48</xdr:col>
      <xdr:colOff>361950</xdr:colOff>
      <xdr:row>8</xdr:row>
      <xdr:rowOff>114300</xdr:rowOff>
    </xdr:to>
    <xdr:sp macro="[0]!RUN_PISTA_SIMPLES" textlink="">
      <xdr:nvSpPr>
        <xdr:cNvPr id="6" name="Retângulo 5"/>
        <xdr:cNvSpPr/>
      </xdr:nvSpPr>
      <xdr:spPr>
        <a:xfrm>
          <a:off x="28327350" y="1209675"/>
          <a:ext cx="1504950" cy="5143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INTERPOLATION EVERY COEFFICIENTS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19048</xdr:colOff>
      <xdr:row>0</xdr:row>
      <xdr:rowOff>85725</xdr:rowOff>
    </xdr:from>
    <xdr:to>
      <xdr:col>8</xdr:col>
      <xdr:colOff>533400</xdr:colOff>
      <xdr:row>8</xdr:row>
      <xdr:rowOff>38100</xdr:rowOff>
    </xdr:to>
    <xdr:sp macro="" textlink="">
      <xdr:nvSpPr>
        <xdr:cNvPr id="4" name="CaixaDeTexto 3"/>
        <xdr:cNvSpPr txBox="1"/>
      </xdr:nvSpPr>
      <xdr:spPr>
        <a:xfrm>
          <a:off x="2085973" y="85725"/>
          <a:ext cx="4048127" cy="1314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/>
            <a:t>TWO LANE HIGHWAY</a:t>
          </a:r>
        </a:p>
        <a:p>
          <a:r>
            <a:rPr lang="pt-BR" sz="900" u="sng"/>
            <a:t>Methodology</a:t>
          </a:r>
          <a:r>
            <a:rPr lang="pt-BR" sz="900" baseline="0"/>
            <a:t> : Directional segment </a:t>
          </a:r>
        </a:p>
        <a:p>
          <a:r>
            <a:rPr lang="pt-BR" sz="900" u="sng" baseline="0"/>
            <a:t>Hypothesis</a:t>
          </a:r>
          <a:r>
            <a:rPr lang="pt-BR" sz="900" u="none" baseline="0"/>
            <a:t> : Generaly applied to (1) segment &gt;= 3 km or (2) &gt;= 1km and grade &gt;= 3%</a:t>
          </a:r>
        </a:p>
        <a:p>
          <a:r>
            <a:rPr lang="pt-BR" sz="900" u="none" baseline="0"/>
            <a:t>/!\ some coef (such as fG, ETC, ET, ER) depends in reality on Vd. That is to say that iterations should be require (Vd = f(fG);fG=f(Vd)). Yet if Vd is ~ VD no iteration is required. </a:t>
          </a:r>
        </a:p>
        <a:p>
          <a:r>
            <a:rPr lang="pt-BR" sz="900" u="none" baseline="0"/>
            <a:t>/!\ FOR SPECIFIC DOWNGRADE ALLWAYS CONSIDER 'level' FOR EXHIBITS  VALUES</a:t>
          </a:r>
          <a:endParaRPr lang="pt-BR" sz="900" u="sng"/>
        </a:p>
      </xdr:txBody>
    </xdr:sp>
    <xdr:clientData/>
  </xdr:twoCellAnchor>
  <xdr:twoCellAnchor>
    <xdr:from>
      <xdr:col>0</xdr:col>
      <xdr:colOff>47625</xdr:colOff>
      <xdr:row>0</xdr:row>
      <xdr:rowOff>104776</xdr:rowOff>
    </xdr:from>
    <xdr:to>
      <xdr:col>2</xdr:col>
      <xdr:colOff>676275</xdr:colOff>
      <xdr:row>3</xdr:row>
      <xdr:rowOff>66676</xdr:rowOff>
    </xdr:to>
    <xdr:sp macro="[0]!TWO_LANE_HIGHWAY_SPECIFIC_GRADE.TWO_LANE_HIGHWAY_SG" textlink="">
      <xdr:nvSpPr>
        <xdr:cNvPr id="5" name="CaixaDeTexto 4"/>
        <xdr:cNvSpPr txBox="1"/>
      </xdr:nvSpPr>
      <xdr:spPr>
        <a:xfrm>
          <a:off x="47625" y="104776"/>
          <a:ext cx="2000250" cy="47625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INTERPOLATION EVERY</a:t>
          </a:r>
          <a:r>
            <a:rPr lang="pt-BR" sz="1100" baseline="0"/>
            <a:t> COEFFICIENT</a:t>
          </a:r>
          <a:endParaRPr lang="pt-BR" sz="1100"/>
        </a:p>
      </xdr:txBody>
    </xdr:sp>
    <xdr:clientData/>
  </xdr:twoCellAnchor>
  <xdr:twoCellAnchor editAs="oneCell">
    <xdr:from>
      <xdr:col>30</xdr:col>
      <xdr:colOff>114300</xdr:colOff>
      <xdr:row>2</xdr:row>
      <xdr:rowOff>19050</xdr:rowOff>
    </xdr:from>
    <xdr:to>
      <xdr:col>38</xdr:col>
      <xdr:colOff>429454</xdr:colOff>
      <xdr:row>5</xdr:row>
      <xdr:rowOff>142964</xdr:rowOff>
    </xdr:to>
    <xdr:pic>
      <xdr:nvPicPr>
        <xdr:cNvPr id="6" name="Imagem 5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78475" y="361950"/>
          <a:ext cx="5934904" cy="638264"/>
        </a:xfrm>
        <a:prstGeom prst="rect">
          <a:avLst/>
        </a:prstGeom>
      </xdr:spPr>
    </xdr:pic>
    <xdr:clientData/>
  </xdr:twoCellAnchor>
  <xdr:twoCellAnchor editAs="oneCell">
    <xdr:from>
      <xdr:col>30</xdr:col>
      <xdr:colOff>28575</xdr:colOff>
      <xdr:row>5</xdr:row>
      <xdr:rowOff>28575</xdr:rowOff>
    </xdr:from>
    <xdr:to>
      <xdr:col>36</xdr:col>
      <xdr:colOff>772211</xdr:colOff>
      <xdr:row>8</xdr:row>
      <xdr:rowOff>19119</xdr:rowOff>
    </xdr:to>
    <xdr:pic>
      <xdr:nvPicPr>
        <xdr:cNvPr id="7" name="Imagem 6" descr="Recorte de Tel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885825"/>
          <a:ext cx="4915586" cy="4953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504825</xdr:colOff>
      <xdr:row>2</xdr:row>
      <xdr:rowOff>19050</xdr:rowOff>
    </xdr:from>
    <xdr:to>
      <xdr:col>17</xdr:col>
      <xdr:colOff>447675</xdr:colOff>
      <xdr:row>5</xdr:row>
      <xdr:rowOff>0</xdr:rowOff>
    </xdr:to>
    <xdr:sp macro="[0]!RUN_MULTILANE_SG" textlink="">
      <xdr:nvSpPr>
        <xdr:cNvPr id="2" name="Retângulo 1"/>
        <xdr:cNvSpPr/>
      </xdr:nvSpPr>
      <xdr:spPr>
        <a:xfrm>
          <a:off x="10144125" y="600075"/>
          <a:ext cx="1781175" cy="4953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RUN</a:t>
          </a:r>
          <a:r>
            <a:rPr lang="pt-BR" sz="1100" baseline="0"/>
            <a:t> INTERPOLATION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130</xdr:row>
      <xdr:rowOff>0</xdr:rowOff>
    </xdr:from>
    <xdr:to>
      <xdr:col>9</xdr:col>
      <xdr:colOff>0</xdr:colOff>
      <xdr:row>130</xdr:row>
      <xdr:rowOff>1</xdr:rowOff>
    </xdr:to>
    <xdr:cxnSp macro="">
      <xdr:nvCxnSpPr>
        <xdr:cNvPr id="2" name="Conector reto 1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CxnSpPr/>
      </xdr:nvCxnSpPr>
      <xdr:spPr>
        <a:xfrm flipV="1">
          <a:off x="5486400" y="21050250"/>
          <a:ext cx="0" cy="1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133</xdr:row>
      <xdr:rowOff>0</xdr:rowOff>
    </xdr:from>
    <xdr:to>
      <xdr:col>12</xdr:col>
      <xdr:colOff>0</xdr:colOff>
      <xdr:row>141</xdr:row>
      <xdr:rowOff>0</xdr:rowOff>
    </xdr:to>
    <xdr:cxnSp macro="">
      <xdr:nvCxnSpPr>
        <xdr:cNvPr id="3" name="Conector reto 2">
          <a:extLst>
            <a:ext uri="{FF2B5EF4-FFF2-40B4-BE49-F238E27FC236}">
              <a16:creationId xmlns="" xmlns:a16="http://schemas.microsoft.com/office/drawing/2014/main" id="{00000000-0008-0000-1100-000017000000}"/>
            </a:ext>
          </a:extLst>
        </xdr:cNvPr>
        <xdr:cNvCxnSpPr/>
      </xdr:nvCxnSpPr>
      <xdr:spPr>
        <a:xfrm>
          <a:off x="7315200" y="21536025"/>
          <a:ext cx="0" cy="129540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140</xdr:row>
      <xdr:rowOff>263339</xdr:rowOff>
    </xdr:from>
    <xdr:to>
      <xdr:col>14</xdr:col>
      <xdr:colOff>0</xdr:colOff>
      <xdr:row>141</xdr:row>
      <xdr:rowOff>0</xdr:rowOff>
    </xdr:to>
    <xdr:cxnSp macro="">
      <xdr:nvCxnSpPr>
        <xdr:cNvPr id="4" name="Conector reto 3">
          <a:extLst>
            <a:ext uri="{FF2B5EF4-FFF2-40B4-BE49-F238E27FC236}">
              <a16:creationId xmlns="" xmlns:a16="http://schemas.microsoft.com/office/drawing/2014/main" id="{00000000-0008-0000-1100-000018000000}"/>
            </a:ext>
          </a:extLst>
        </xdr:cNvPr>
        <xdr:cNvCxnSpPr/>
      </xdr:nvCxnSpPr>
      <xdr:spPr>
        <a:xfrm flipV="1">
          <a:off x="7315200" y="22828064"/>
          <a:ext cx="1219200" cy="3361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133</xdr:row>
      <xdr:rowOff>0</xdr:rowOff>
    </xdr:from>
    <xdr:to>
      <xdr:col>11</xdr:col>
      <xdr:colOff>0</xdr:colOff>
      <xdr:row>144</xdr:row>
      <xdr:rowOff>0</xdr:rowOff>
    </xdr:to>
    <xdr:cxnSp macro="">
      <xdr:nvCxnSpPr>
        <xdr:cNvPr id="5" name="Conector reto 4"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CxnSpPr/>
      </xdr:nvCxnSpPr>
      <xdr:spPr>
        <a:xfrm>
          <a:off x="6705600" y="21536025"/>
          <a:ext cx="0" cy="1781175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133</xdr:row>
      <xdr:rowOff>11205</xdr:rowOff>
    </xdr:from>
    <xdr:to>
      <xdr:col>10</xdr:col>
      <xdr:colOff>0</xdr:colOff>
      <xdr:row>147</xdr:row>
      <xdr:rowOff>0</xdr:rowOff>
    </xdr:to>
    <xdr:cxnSp macro="">
      <xdr:nvCxnSpPr>
        <xdr:cNvPr id="6" name="Conector reto 5">
          <a:extLst>
            <a:ext uri="{FF2B5EF4-FFF2-40B4-BE49-F238E27FC236}">
              <a16:creationId xmlns="" xmlns:a16="http://schemas.microsoft.com/office/drawing/2014/main" id="{00000000-0008-0000-1100-00001D000000}"/>
            </a:ext>
          </a:extLst>
        </xdr:cNvPr>
        <xdr:cNvCxnSpPr/>
      </xdr:nvCxnSpPr>
      <xdr:spPr>
        <a:xfrm>
          <a:off x="6096000" y="21547230"/>
          <a:ext cx="0" cy="2255745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133</xdr:row>
      <xdr:rowOff>1</xdr:rowOff>
    </xdr:from>
    <xdr:to>
      <xdr:col>9</xdr:col>
      <xdr:colOff>0</xdr:colOff>
      <xdr:row>150</xdr:row>
      <xdr:rowOff>0</xdr:rowOff>
    </xdr:to>
    <xdr:cxnSp macro="">
      <xdr:nvCxnSpPr>
        <xdr:cNvPr id="7" name="Conector reto 6">
          <a:extLst>
            <a:ext uri="{FF2B5EF4-FFF2-40B4-BE49-F238E27FC236}">
              <a16:creationId xmlns="" xmlns:a16="http://schemas.microsoft.com/office/drawing/2014/main" id="{00000000-0008-0000-1100-00001E000000}"/>
            </a:ext>
          </a:extLst>
        </xdr:cNvPr>
        <xdr:cNvCxnSpPr/>
      </xdr:nvCxnSpPr>
      <xdr:spPr>
        <a:xfrm flipV="1">
          <a:off x="5486400" y="21536026"/>
          <a:ext cx="0" cy="2752724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150</xdr:row>
      <xdr:rowOff>0</xdr:rowOff>
    </xdr:from>
    <xdr:to>
      <xdr:col>14</xdr:col>
      <xdr:colOff>0</xdr:colOff>
      <xdr:row>150</xdr:row>
      <xdr:rowOff>0</xdr:rowOff>
    </xdr:to>
    <xdr:cxnSp macro="">
      <xdr:nvCxnSpPr>
        <xdr:cNvPr id="8" name="Conector reto 7">
          <a:extLst>
            <a:ext uri="{FF2B5EF4-FFF2-40B4-BE49-F238E27FC236}">
              <a16:creationId xmlns="" xmlns:a16="http://schemas.microsoft.com/office/drawing/2014/main" id="{00000000-0008-0000-1100-00001F000000}"/>
            </a:ext>
          </a:extLst>
        </xdr:cNvPr>
        <xdr:cNvCxnSpPr/>
      </xdr:nvCxnSpPr>
      <xdr:spPr>
        <a:xfrm flipH="1">
          <a:off x="5486400" y="24288750"/>
          <a:ext cx="3048000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147</xdr:row>
      <xdr:rowOff>11206</xdr:rowOff>
    </xdr:from>
    <xdr:to>
      <xdr:col>14</xdr:col>
      <xdr:colOff>0</xdr:colOff>
      <xdr:row>147</xdr:row>
      <xdr:rowOff>11206</xdr:rowOff>
    </xdr:to>
    <xdr:cxnSp macro="">
      <xdr:nvCxnSpPr>
        <xdr:cNvPr id="9" name="Conector reto 8"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CxnSpPr/>
      </xdr:nvCxnSpPr>
      <xdr:spPr>
        <a:xfrm>
          <a:off x="6096000" y="23814181"/>
          <a:ext cx="2438400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143</xdr:row>
      <xdr:rowOff>263339</xdr:rowOff>
    </xdr:from>
    <xdr:to>
      <xdr:col>14</xdr:col>
      <xdr:colOff>0</xdr:colOff>
      <xdr:row>144</xdr:row>
      <xdr:rowOff>0</xdr:rowOff>
    </xdr:to>
    <xdr:cxnSp macro="">
      <xdr:nvCxnSpPr>
        <xdr:cNvPr id="10" name="Conector reto 9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CxnSpPr/>
      </xdr:nvCxnSpPr>
      <xdr:spPr>
        <a:xfrm flipV="1">
          <a:off x="6705600" y="23313839"/>
          <a:ext cx="1828800" cy="3361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677</xdr:row>
      <xdr:rowOff>0</xdr:rowOff>
    </xdr:from>
    <xdr:to>
      <xdr:col>9</xdr:col>
      <xdr:colOff>0</xdr:colOff>
      <xdr:row>677</xdr:row>
      <xdr:rowOff>1</xdr:rowOff>
    </xdr:to>
    <xdr:cxnSp macro="">
      <xdr:nvCxnSpPr>
        <xdr:cNvPr id="11" name="Conector reto 10">
          <a:extLst>
            <a:ext uri="{FF2B5EF4-FFF2-40B4-BE49-F238E27FC236}">
              <a16:creationId xmlns="" xmlns:a16="http://schemas.microsoft.com/office/drawing/2014/main" id="{00000000-0008-0000-1100-00000C000000}"/>
            </a:ext>
          </a:extLst>
        </xdr:cNvPr>
        <xdr:cNvCxnSpPr/>
      </xdr:nvCxnSpPr>
      <xdr:spPr>
        <a:xfrm flipV="1">
          <a:off x="5486400" y="109623225"/>
          <a:ext cx="0" cy="1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130</xdr:row>
      <xdr:rowOff>0</xdr:rowOff>
    </xdr:from>
    <xdr:to>
      <xdr:col>9</xdr:col>
      <xdr:colOff>0</xdr:colOff>
      <xdr:row>130</xdr:row>
      <xdr:rowOff>1</xdr:rowOff>
    </xdr:to>
    <xdr:cxnSp macro="">
      <xdr:nvCxnSpPr>
        <xdr:cNvPr id="2" name="Conector reto 1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CxnSpPr/>
      </xdr:nvCxnSpPr>
      <xdr:spPr>
        <a:xfrm flipV="1">
          <a:off x="10201275" y="27041475"/>
          <a:ext cx="0" cy="1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133</xdr:row>
      <xdr:rowOff>0</xdr:rowOff>
    </xdr:from>
    <xdr:to>
      <xdr:col>12</xdr:col>
      <xdr:colOff>0</xdr:colOff>
      <xdr:row>141</xdr:row>
      <xdr:rowOff>0</xdr:rowOff>
    </xdr:to>
    <xdr:cxnSp macro="">
      <xdr:nvCxnSpPr>
        <xdr:cNvPr id="3" name="Conector reto 2">
          <a:extLst>
            <a:ext uri="{FF2B5EF4-FFF2-40B4-BE49-F238E27FC236}">
              <a16:creationId xmlns="" xmlns:a16="http://schemas.microsoft.com/office/drawing/2014/main" id="{00000000-0008-0000-1100-000017000000}"/>
            </a:ext>
          </a:extLst>
        </xdr:cNvPr>
        <xdr:cNvCxnSpPr/>
      </xdr:nvCxnSpPr>
      <xdr:spPr>
        <a:xfrm>
          <a:off x="13173075" y="27527250"/>
          <a:ext cx="0" cy="213360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140</xdr:row>
      <xdr:rowOff>263339</xdr:rowOff>
    </xdr:from>
    <xdr:to>
      <xdr:col>14</xdr:col>
      <xdr:colOff>0</xdr:colOff>
      <xdr:row>141</xdr:row>
      <xdr:rowOff>0</xdr:rowOff>
    </xdr:to>
    <xdr:cxnSp macro="">
      <xdr:nvCxnSpPr>
        <xdr:cNvPr id="4" name="Conector reto 3">
          <a:extLst>
            <a:ext uri="{FF2B5EF4-FFF2-40B4-BE49-F238E27FC236}">
              <a16:creationId xmlns="" xmlns:a16="http://schemas.microsoft.com/office/drawing/2014/main" id="{00000000-0008-0000-1100-000018000000}"/>
            </a:ext>
          </a:extLst>
        </xdr:cNvPr>
        <xdr:cNvCxnSpPr/>
      </xdr:nvCxnSpPr>
      <xdr:spPr>
        <a:xfrm flipV="1">
          <a:off x="13173075" y="29657489"/>
          <a:ext cx="1476375" cy="3361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133</xdr:row>
      <xdr:rowOff>0</xdr:rowOff>
    </xdr:from>
    <xdr:to>
      <xdr:col>11</xdr:col>
      <xdr:colOff>0</xdr:colOff>
      <xdr:row>144</xdr:row>
      <xdr:rowOff>0</xdr:rowOff>
    </xdr:to>
    <xdr:cxnSp macro="">
      <xdr:nvCxnSpPr>
        <xdr:cNvPr id="5" name="Conector reto 4"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CxnSpPr/>
      </xdr:nvCxnSpPr>
      <xdr:spPr>
        <a:xfrm>
          <a:off x="12182475" y="27527250"/>
          <a:ext cx="0" cy="293370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133</xdr:row>
      <xdr:rowOff>11205</xdr:rowOff>
    </xdr:from>
    <xdr:to>
      <xdr:col>10</xdr:col>
      <xdr:colOff>0</xdr:colOff>
      <xdr:row>147</xdr:row>
      <xdr:rowOff>0</xdr:rowOff>
    </xdr:to>
    <xdr:cxnSp macro="">
      <xdr:nvCxnSpPr>
        <xdr:cNvPr id="6" name="Conector reto 5">
          <a:extLst>
            <a:ext uri="{FF2B5EF4-FFF2-40B4-BE49-F238E27FC236}">
              <a16:creationId xmlns="" xmlns:a16="http://schemas.microsoft.com/office/drawing/2014/main" id="{00000000-0008-0000-1100-00001D000000}"/>
            </a:ext>
          </a:extLst>
        </xdr:cNvPr>
        <xdr:cNvCxnSpPr/>
      </xdr:nvCxnSpPr>
      <xdr:spPr>
        <a:xfrm>
          <a:off x="11191875" y="27538455"/>
          <a:ext cx="0" cy="3722595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133</xdr:row>
      <xdr:rowOff>1</xdr:rowOff>
    </xdr:from>
    <xdr:to>
      <xdr:col>9</xdr:col>
      <xdr:colOff>0</xdr:colOff>
      <xdr:row>150</xdr:row>
      <xdr:rowOff>0</xdr:rowOff>
    </xdr:to>
    <xdr:cxnSp macro="">
      <xdr:nvCxnSpPr>
        <xdr:cNvPr id="7" name="Conector reto 6">
          <a:extLst>
            <a:ext uri="{FF2B5EF4-FFF2-40B4-BE49-F238E27FC236}">
              <a16:creationId xmlns="" xmlns:a16="http://schemas.microsoft.com/office/drawing/2014/main" id="{00000000-0008-0000-1100-00001E000000}"/>
            </a:ext>
          </a:extLst>
        </xdr:cNvPr>
        <xdr:cNvCxnSpPr/>
      </xdr:nvCxnSpPr>
      <xdr:spPr>
        <a:xfrm flipV="1">
          <a:off x="10201275" y="27527251"/>
          <a:ext cx="0" cy="4533899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150</xdr:row>
      <xdr:rowOff>0</xdr:rowOff>
    </xdr:from>
    <xdr:to>
      <xdr:col>14</xdr:col>
      <xdr:colOff>0</xdr:colOff>
      <xdr:row>150</xdr:row>
      <xdr:rowOff>0</xdr:rowOff>
    </xdr:to>
    <xdr:cxnSp macro="">
      <xdr:nvCxnSpPr>
        <xdr:cNvPr id="8" name="Conector reto 7">
          <a:extLst>
            <a:ext uri="{FF2B5EF4-FFF2-40B4-BE49-F238E27FC236}">
              <a16:creationId xmlns="" xmlns:a16="http://schemas.microsoft.com/office/drawing/2014/main" id="{00000000-0008-0000-1100-00001F000000}"/>
            </a:ext>
          </a:extLst>
        </xdr:cNvPr>
        <xdr:cNvCxnSpPr/>
      </xdr:nvCxnSpPr>
      <xdr:spPr>
        <a:xfrm flipH="1">
          <a:off x="10201275" y="32061150"/>
          <a:ext cx="4448175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147</xdr:row>
      <xdr:rowOff>11206</xdr:rowOff>
    </xdr:from>
    <xdr:to>
      <xdr:col>14</xdr:col>
      <xdr:colOff>0</xdr:colOff>
      <xdr:row>147</xdr:row>
      <xdr:rowOff>11206</xdr:rowOff>
    </xdr:to>
    <xdr:cxnSp macro="">
      <xdr:nvCxnSpPr>
        <xdr:cNvPr id="9" name="Conector reto 8"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CxnSpPr/>
      </xdr:nvCxnSpPr>
      <xdr:spPr>
        <a:xfrm>
          <a:off x="11191875" y="31272256"/>
          <a:ext cx="3457575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143</xdr:row>
      <xdr:rowOff>263339</xdr:rowOff>
    </xdr:from>
    <xdr:to>
      <xdr:col>14</xdr:col>
      <xdr:colOff>0</xdr:colOff>
      <xdr:row>144</xdr:row>
      <xdr:rowOff>0</xdr:rowOff>
    </xdr:to>
    <xdr:cxnSp macro="">
      <xdr:nvCxnSpPr>
        <xdr:cNvPr id="10" name="Conector reto 9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CxnSpPr/>
      </xdr:nvCxnSpPr>
      <xdr:spPr>
        <a:xfrm flipV="1">
          <a:off x="12182475" y="30457589"/>
          <a:ext cx="2466975" cy="3361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677</xdr:row>
      <xdr:rowOff>0</xdr:rowOff>
    </xdr:from>
    <xdr:to>
      <xdr:col>9</xdr:col>
      <xdr:colOff>0</xdr:colOff>
      <xdr:row>677</xdr:row>
      <xdr:rowOff>1</xdr:rowOff>
    </xdr:to>
    <xdr:cxnSp macro="">
      <xdr:nvCxnSpPr>
        <xdr:cNvPr id="11" name="Conector reto 10">
          <a:extLst>
            <a:ext uri="{FF2B5EF4-FFF2-40B4-BE49-F238E27FC236}">
              <a16:creationId xmlns="" xmlns:a16="http://schemas.microsoft.com/office/drawing/2014/main" id="{00000000-0008-0000-1100-00000C000000}"/>
            </a:ext>
          </a:extLst>
        </xdr:cNvPr>
        <xdr:cNvCxnSpPr/>
      </xdr:nvCxnSpPr>
      <xdr:spPr>
        <a:xfrm flipV="1">
          <a:off x="10201275" y="124491750"/>
          <a:ext cx="0" cy="1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981075</xdr:colOff>
      <xdr:row>6</xdr:row>
      <xdr:rowOff>381000</xdr:rowOff>
    </xdr:from>
    <xdr:to>
      <xdr:col>10</xdr:col>
      <xdr:colOff>781852</xdr:colOff>
      <xdr:row>12</xdr:row>
      <xdr:rowOff>19384</xdr:rowOff>
    </xdr:to>
    <xdr:pic>
      <xdr:nvPicPr>
        <xdr:cNvPr id="13" name="Imagem 12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9350" y="2162175"/>
          <a:ext cx="5744377" cy="2391109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19</xdr:col>
      <xdr:colOff>238983</xdr:colOff>
      <xdr:row>21</xdr:row>
      <xdr:rowOff>229378</xdr:rowOff>
    </xdr:to>
    <xdr:pic>
      <xdr:nvPicPr>
        <xdr:cNvPr id="14" name="Imagem 13" descr="Recorte de Tel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82475" y="809625"/>
          <a:ext cx="6144483" cy="557290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12</xdr:col>
      <xdr:colOff>658008</xdr:colOff>
      <xdr:row>54</xdr:row>
      <xdr:rowOff>181</xdr:rowOff>
    </xdr:to>
    <xdr:pic>
      <xdr:nvPicPr>
        <xdr:cNvPr id="15" name="Imagem 14" descr="Recorte de Tela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0075" y="11982450"/>
          <a:ext cx="5611008" cy="1295581"/>
        </a:xfrm>
        <a:prstGeom prst="rect">
          <a:avLst/>
        </a:prstGeom>
      </xdr:spPr>
    </xdr:pic>
    <xdr:clientData/>
  </xdr:twoCellAnchor>
  <xdr:twoCellAnchor editAs="oneCell">
    <xdr:from>
      <xdr:col>7</xdr:col>
      <xdr:colOff>219075</xdr:colOff>
      <xdr:row>55</xdr:row>
      <xdr:rowOff>57150</xdr:rowOff>
    </xdr:from>
    <xdr:to>
      <xdr:col>12</xdr:col>
      <xdr:colOff>600820</xdr:colOff>
      <xdr:row>59</xdr:row>
      <xdr:rowOff>114444</xdr:rowOff>
    </xdr:to>
    <xdr:pic>
      <xdr:nvPicPr>
        <xdr:cNvPr id="16" name="Imagem 15" descr="Recorte de Tela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9150" y="13496925"/>
          <a:ext cx="5334745" cy="1028844"/>
        </a:xfrm>
        <a:prstGeom prst="rect">
          <a:avLst/>
        </a:prstGeom>
      </xdr:spPr>
    </xdr:pic>
    <xdr:clientData/>
  </xdr:twoCellAnchor>
  <xdr:twoCellAnchor editAs="oneCell">
    <xdr:from>
      <xdr:col>11</xdr:col>
      <xdr:colOff>542925</xdr:colOff>
      <xdr:row>29</xdr:row>
      <xdr:rowOff>142875</xdr:rowOff>
    </xdr:from>
    <xdr:to>
      <xdr:col>19</xdr:col>
      <xdr:colOff>467539</xdr:colOff>
      <xdr:row>39</xdr:row>
      <xdr:rowOff>9823</xdr:rowOff>
    </xdr:to>
    <xdr:pic>
      <xdr:nvPicPr>
        <xdr:cNvPr id="17" name="Imagem 16" descr="Recorte de Tela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25400" y="8077200"/>
          <a:ext cx="5830114" cy="2133898"/>
        </a:xfrm>
        <a:prstGeom prst="rect">
          <a:avLst/>
        </a:prstGeom>
      </xdr:spPr>
    </xdr:pic>
    <xdr:clientData/>
  </xdr:twoCellAnchor>
  <xdr:twoCellAnchor editAs="oneCell">
    <xdr:from>
      <xdr:col>4</xdr:col>
      <xdr:colOff>914400</xdr:colOff>
      <xdr:row>3</xdr:row>
      <xdr:rowOff>104776</xdr:rowOff>
    </xdr:from>
    <xdr:to>
      <xdr:col>8</xdr:col>
      <xdr:colOff>47625</xdr:colOff>
      <xdr:row>6</xdr:row>
      <xdr:rowOff>286714</xdr:rowOff>
    </xdr:to>
    <xdr:pic>
      <xdr:nvPicPr>
        <xdr:cNvPr id="18" name="Imagem 17" descr="Recorte de Tela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590551"/>
          <a:ext cx="3095625" cy="1477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</xdr:row>
      <xdr:rowOff>0</xdr:rowOff>
    </xdr:from>
    <xdr:to>
      <xdr:col>16</xdr:col>
      <xdr:colOff>400863</xdr:colOff>
      <xdr:row>6</xdr:row>
      <xdr:rowOff>285948</xdr:rowOff>
    </xdr:to>
    <xdr:pic>
      <xdr:nvPicPr>
        <xdr:cNvPr id="19" name="Imagem 18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647700"/>
          <a:ext cx="5820588" cy="141942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114300</xdr:rowOff>
    </xdr:to>
    <xdr:sp macro="" textlink="">
      <xdr:nvSpPr>
        <xdr:cNvPr id="2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361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114300</xdr:rowOff>
    </xdr:to>
    <xdr:sp macro="" textlink="">
      <xdr:nvSpPr>
        <xdr:cNvPr id="3" name="AutoShape 4" descr="{\displaystyle {\begin{aligned}{\begin{bmatrix}1&amp;x_{1}&amp;y_{1}&amp;x_{1}y_{1}\\1&amp;x_{1}&amp;y_{2}&amp;x_{1}y_{2}\\1&amp;x_{2}&amp;y_{1}&amp;x_{2}y_{1}\\1&amp;x_{2}&amp;y_{2}&amp;x_{2}y_{2}\end{bmatrix}}{\begin{bmatrix}a_{0}\\a_{1}\\a_{2}\\a_{3}\end{bmatrix}}={\begin{bmatrix}f(Q_{11})\\f(Q_{12})\\f(Q_{21})\\f(Q_{22})\end{bmatrix}},\end{aligned}}}"/>
        <xdr:cNvSpPr>
          <a:spLocks noChangeAspect="1" noChangeArrowheads="1"/>
        </xdr:cNvSpPr>
      </xdr:nvSpPr>
      <xdr:spPr bwMode="auto">
        <a:xfrm>
          <a:off x="609600" y="43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552450</xdr:colOff>
      <xdr:row>29</xdr:row>
      <xdr:rowOff>104775</xdr:rowOff>
    </xdr:from>
    <xdr:to>
      <xdr:col>8</xdr:col>
      <xdr:colOff>114835</xdr:colOff>
      <xdr:row>39</xdr:row>
      <xdr:rowOff>28830</xdr:rowOff>
    </xdr:to>
    <xdr:pic>
      <xdr:nvPicPr>
        <xdr:cNvPr id="4" name="Imagem 3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629275"/>
          <a:ext cx="3829585" cy="182905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114300</xdr:rowOff>
    </xdr:to>
    <xdr:sp macro="" textlink="">
      <xdr:nvSpPr>
        <xdr:cNvPr id="5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55</xdr:row>
      <xdr:rowOff>123825</xdr:rowOff>
    </xdr:from>
    <xdr:to>
      <xdr:col>12</xdr:col>
      <xdr:colOff>171450</xdr:colOff>
      <xdr:row>67</xdr:row>
      <xdr:rowOff>67049</xdr:rowOff>
    </xdr:to>
    <xdr:pic>
      <xdr:nvPicPr>
        <xdr:cNvPr id="5" name="Imagem 4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10572750"/>
          <a:ext cx="4124325" cy="222922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55</xdr:row>
      <xdr:rowOff>123825</xdr:rowOff>
    </xdr:from>
    <xdr:to>
      <xdr:col>12</xdr:col>
      <xdr:colOff>114300</xdr:colOff>
      <xdr:row>67</xdr:row>
      <xdr:rowOff>67049</xdr:rowOff>
    </xdr:to>
    <xdr:pic>
      <xdr:nvPicPr>
        <xdr:cNvPr id="2" name="Imagem 1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10572750"/>
          <a:ext cx="4124325" cy="222922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55</xdr:row>
      <xdr:rowOff>123825</xdr:rowOff>
    </xdr:from>
    <xdr:to>
      <xdr:col>12</xdr:col>
      <xdr:colOff>114300</xdr:colOff>
      <xdr:row>67</xdr:row>
      <xdr:rowOff>67049</xdr:rowOff>
    </xdr:to>
    <xdr:pic>
      <xdr:nvPicPr>
        <xdr:cNvPr id="2" name="Imagem 1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10734675"/>
          <a:ext cx="4124325" cy="222922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55</xdr:row>
      <xdr:rowOff>123825</xdr:rowOff>
    </xdr:from>
    <xdr:to>
      <xdr:col>12</xdr:col>
      <xdr:colOff>114300</xdr:colOff>
      <xdr:row>67</xdr:row>
      <xdr:rowOff>67049</xdr:rowOff>
    </xdr:to>
    <xdr:pic>
      <xdr:nvPicPr>
        <xdr:cNvPr id="2" name="Imagem 1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10734675"/>
          <a:ext cx="4124325" cy="222922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55</xdr:row>
      <xdr:rowOff>123825</xdr:rowOff>
    </xdr:from>
    <xdr:to>
      <xdr:col>12</xdr:col>
      <xdr:colOff>114300</xdr:colOff>
      <xdr:row>67</xdr:row>
      <xdr:rowOff>67049</xdr:rowOff>
    </xdr:to>
    <xdr:pic>
      <xdr:nvPicPr>
        <xdr:cNvPr id="2" name="Imagem 1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10734675"/>
          <a:ext cx="4124325" cy="222922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55</xdr:row>
      <xdr:rowOff>123825</xdr:rowOff>
    </xdr:from>
    <xdr:to>
      <xdr:col>12</xdr:col>
      <xdr:colOff>114300</xdr:colOff>
      <xdr:row>67</xdr:row>
      <xdr:rowOff>67049</xdr:rowOff>
    </xdr:to>
    <xdr:pic>
      <xdr:nvPicPr>
        <xdr:cNvPr id="2" name="Imagem 1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10706100"/>
          <a:ext cx="4124325" cy="222922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55</xdr:row>
      <xdr:rowOff>123825</xdr:rowOff>
    </xdr:from>
    <xdr:to>
      <xdr:col>12</xdr:col>
      <xdr:colOff>114300</xdr:colOff>
      <xdr:row>67</xdr:row>
      <xdr:rowOff>67049</xdr:rowOff>
    </xdr:to>
    <xdr:pic>
      <xdr:nvPicPr>
        <xdr:cNvPr id="2" name="Imagem 1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10706100"/>
          <a:ext cx="4124325" cy="222922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55</xdr:row>
      <xdr:rowOff>123825</xdr:rowOff>
    </xdr:from>
    <xdr:to>
      <xdr:col>12</xdr:col>
      <xdr:colOff>114300</xdr:colOff>
      <xdr:row>67</xdr:row>
      <xdr:rowOff>67049</xdr:rowOff>
    </xdr:to>
    <xdr:pic>
      <xdr:nvPicPr>
        <xdr:cNvPr id="2" name="Imagem 1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10706100"/>
          <a:ext cx="4124325" cy="2229224"/>
        </a:xfrm>
        <a:prstGeom prst="rect">
          <a:avLst/>
        </a:prstGeom>
      </xdr:spPr>
    </xdr:pic>
    <xdr:clientData/>
  </xdr:twoCellAnchor>
  <xdr:twoCellAnchor>
    <xdr:from>
      <xdr:col>11</xdr:col>
      <xdr:colOff>123825</xdr:colOff>
      <xdr:row>1</xdr:row>
      <xdr:rowOff>19050</xdr:rowOff>
    </xdr:from>
    <xdr:to>
      <xdr:col>15</xdr:col>
      <xdr:colOff>342900</xdr:colOff>
      <xdr:row>4</xdr:row>
      <xdr:rowOff>0</xdr:rowOff>
    </xdr:to>
    <xdr:grpSp>
      <xdr:nvGrpSpPr>
        <xdr:cNvPr id="6" name="Grupo 5"/>
        <xdr:cNvGrpSpPr/>
      </xdr:nvGrpSpPr>
      <xdr:grpSpPr>
        <a:xfrm>
          <a:off x="5019675" y="314325"/>
          <a:ext cx="1857375" cy="552450"/>
          <a:chOff x="5019675" y="314325"/>
          <a:chExt cx="1857375" cy="552450"/>
        </a:xfrm>
      </xdr:grpSpPr>
      <xdr:sp macro="" textlink="">
        <xdr:nvSpPr>
          <xdr:cNvPr id="3" name="Retângulo 2"/>
          <xdr:cNvSpPr/>
        </xdr:nvSpPr>
        <xdr:spPr>
          <a:xfrm>
            <a:off x="5019675" y="314325"/>
            <a:ext cx="419100" cy="390525"/>
          </a:xfrm>
          <a:prstGeom prst="rect">
            <a:avLst/>
          </a:prstGeom>
          <a:solidFill>
            <a:sysClr val="window" lastClr="FFFFFF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rgbClr val="FF0000"/>
                </a:solidFill>
              </a:rPr>
              <a:t>ET</a:t>
            </a:r>
            <a:endParaRPr lang="pt-BR" sz="1100">
              <a:solidFill>
                <a:srgbClr val="FF0000"/>
              </a:solidFill>
            </a:endParaRPr>
          </a:p>
        </xdr:txBody>
      </xdr:sp>
      <xdr:cxnSp macro="">
        <xdr:nvCxnSpPr>
          <xdr:cNvPr id="5" name="Conector de seta reta 4"/>
          <xdr:cNvCxnSpPr>
            <a:stCxn id="3" idx="3"/>
          </xdr:cNvCxnSpPr>
        </xdr:nvCxnSpPr>
        <xdr:spPr>
          <a:xfrm>
            <a:off x="5438775" y="509588"/>
            <a:ext cx="1438275" cy="357187"/>
          </a:xfrm>
          <a:prstGeom prst="straightConnector1">
            <a:avLst/>
          </a:prstGeom>
          <a:solidFill>
            <a:sysClr val="window" lastClr="FFFFFF"/>
          </a:solidFill>
          <a:ln>
            <a:solidFill>
              <a:srgbClr val="FF0000"/>
            </a:solidFill>
            <a:headEnd type="none" w="med" len="med"/>
            <a:tailEnd type="arrow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cxnSp>
    </xdr:grpSp>
    <xdr:clientData/>
  </xdr:twoCellAnchor>
  <xdr:twoCellAnchor>
    <xdr:from>
      <xdr:col>8</xdr:col>
      <xdr:colOff>285749</xdr:colOff>
      <xdr:row>4</xdr:row>
      <xdr:rowOff>57150</xdr:rowOff>
    </xdr:from>
    <xdr:to>
      <xdr:col>14</xdr:col>
      <xdr:colOff>352424</xdr:colOff>
      <xdr:row>10</xdr:row>
      <xdr:rowOff>57150</xdr:rowOff>
    </xdr:to>
    <xdr:sp macro="" textlink="">
      <xdr:nvSpPr>
        <xdr:cNvPr id="7" name="Retângulo 6"/>
        <xdr:cNvSpPr/>
      </xdr:nvSpPr>
      <xdr:spPr>
        <a:xfrm>
          <a:off x="4152899" y="923925"/>
          <a:ext cx="2124075" cy="1143000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0000"/>
              </a:solidFill>
            </a:rPr>
            <a:t>Note</a:t>
          </a:r>
          <a:r>
            <a:rPr lang="pt-BR" sz="1600" baseline="0">
              <a:solidFill>
                <a:srgbClr val="FF0000"/>
              </a:solidFill>
            </a:rPr>
            <a:t> that RV is iqual to 1,0 what ever the situation</a:t>
          </a:r>
          <a:endParaRPr lang="pt-BR" sz="1100">
            <a:solidFill>
              <a:srgbClr val="FF0000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114300</xdr:rowOff>
    </xdr:to>
    <xdr:sp macro="" textlink="">
      <xdr:nvSpPr>
        <xdr:cNvPr id="2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35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114300</xdr:rowOff>
    </xdr:to>
    <xdr:sp macro="" textlink="">
      <xdr:nvSpPr>
        <xdr:cNvPr id="3" name="AutoShape 4" descr="{\displaystyle {\begin{aligned}{\begin{bmatrix}1&amp;x_{1}&amp;y_{1}&amp;x_{1}y_{1}\\1&amp;x_{1}&amp;y_{2}&amp;x_{1}y_{2}\\1&amp;x_{2}&amp;y_{1}&amp;x_{2}y_{1}\\1&amp;x_{2}&amp;y_{2}&amp;x_{2}y_{2}\end{bmatrix}}{\begin{bmatrix}a_{0}\\a_{1}\\a_{2}\\a_{3}\end{bmatrix}}={\begin{bmatrix}f(Q_{11})\\f(Q_{12})\\f(Q_{21})\\f(Q_{22})\end{bmatrix}},\end{aligned}}}"/>
        <xdr:cNvSpPr>
          <a:spLocks noChangeAspect="1" noChangeArrowheads="1"/>
        </xdr:cNvSpPr>
      </xdr:nvSpPr>
      <xdr:spPr bwMode="auto">
        <a:xfrm>
          <a:off x="609600" y="435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552450</xdr:colOff>
      <xdr:row>29</xdr:row>
      <xdr:rowOff>104775</xdr:rowOff>
    </xdr:from>
    <xdr:to>
      <xdr:col>8</xdr:col>
      <xdr:colOff>114835</xdr:colOff>
      <xdr:row>39</xdr:row>
      <xdr:rowOff>255</xdr:rowOff>
    </xdr:to>
    <xdr:pic>
      <xdr:nvPicPr>
        <xdr:cNvPr id="4" name="Imagem 3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600700"/>
          <a:ext cx="3829585" cy="177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114300</xdr:rowOff>
    </xdr:to>
    <xdr:sp macro="" textlink="">
      <xdr:nvSpPr>
        <xdr:cNvPr id="5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454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114300</xdr:rowOff>
    </xdr:to>
    <xdr:sp macro="" textlink="">
      <xdr:nvSpPr>
        <xdr:cNvPr id="2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114300</xdr:rowOff>
    </xdr:to>
    <xdr:sp macro="" textlink="">
      <xdr:nvSpPr>
        <xdr:cNvPr id="3" name="AutoShape 4" descr="{\displaystyle {\begin{aligned}{\begin{bmatrix}1&amp;x_{1}&amp;y_{1}&amp;x_{1}y_{1}\\1&amp;x_{1}&amp;y_{2}&amp;x_{1}y_{2}\\1&amp;x_{2}&amp;y_{1}&amp;x_{2}y_{1}\\1&amp;x_{2}&amp;y_{2}&amp;x_{2}y_{2}\end{bmatrix}}{\begin{bmatrix}a_{0}\\a_{1}\\a_{2}\\a_{3}\end{bmatrix}}={\begin{bmatrix}f(Q_{11})\\f(Q_{12})\\f(Q_{21})\\f(Q_{22})\end{bmatrix}},\end{aligned}}}"/>
        <xdr:cNvSpPr>
          <a:spLocks noChangeAspect="1" noChangeArrowheads="1"/>
        </xdr:cNvSpPr>
      </xdr:nvSpPr>
      <xdr:spPr bwMode="auto">
        <a:xfrm>
          <a:off x="609600" y="4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552450</xdr:colOff>
      <xdr:row>29</xdr:row>
      <xdr:rowOff>104775</xdr:rowOff>
    </xdr:from>
    <xdr:to>
      <xdr:col>8</xdr:col>
      <xdr:colOff>114835</xdr:colOff>
      <xdr:row>39</xdr:row>
      <xdr:rowOff>255</xdr:rowOff>
    </xdr:to>
    <xdr:pic>
      <xdr:nvPicPr>
        <xdr:cNvPr id="4" name="Imagem 3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34050"/>
          <a:ext cx="3829585" cy="177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114300</xdr:rowOff>
    </xdr:to>
    <xdr:sp macro="" textlink="">
      <xdr:nvSpPr>
        <xdr:cNvPr id="5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467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114300</xdr:rowOff>
    </xdr:to>
    <xdr:sp macro="" textlink="">
      <xdr:nvSpPr>
        <xdr:cNvPr id="2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114300</xdr:rowOff>
    </xdr:to>
    <xdr:sp macro="" textlink="">
      <xdr:nvSpPr>
        <xdr:cNvPr id="3" name="AutoShape 4" descr="{\displaystyle {\begin{aligned}{\begin{bmatrix}1&amp;x_{1}&amp;y_{1}&amp;x_{1}y_{1}\\1&amp;x_{1}&amp;y_{2}&amp;x_{1}y_{2}\\1&amp;x_{2}&amp;y_{1}&amp;x_{2}y_{1}\\1&amp;x_{2}&amp;y_{2}&amp;x_{2}y_{2}\end{bmatrix}}{\begin{bmatrix}a_{0}\\a_{1}\\a_{2}\\a_{3}\end{bmatrix}}={\begin{bmatrix}f(Q_{11})\\f(Q_{12})\\f(Q_{21})\\f(Q_{22})\end{bmatrix}},\end{aligned}}}"/>
        <xdr:cNvSpPr>
          <a:spLocks noChangeAspect="1" noChangeArrowheads="1"/>
        </xdr:cNvSpPr>
      </xdr:nvSpPr>
      <xdr:spPr bwMode="auto">
        <a:xfrm>
          <a:off x="609600" y="4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552450</xdr:colOff>
      <xdr:row>29</xdr:row>
      <xdr:rowOff>104775</xdr:rowOff>
    </xdr:from>
    <xdr:to>
      <xdr:col>8</xdr:col>
      <xdr:colOff>114835</xdr:colOff>
      <xdr:row>39</xdr:row>
      <xdr:rowOff>255</xdr:rowOff>
    </xdr:to>
    <xdr:pic>
      <xdr:nvPicPr>
        <xdr:cNvPr id="4" name="Imagem 3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34050"/>
          <a:ext cx="3829585" cy="177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114300</xdr:rowOff>
    </xdr:to>
    <xdr:sp macro="" textlink="">
      <xdr:nvSpPr>
        <xdr:cNvPr id="5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467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114300</xdr:rowOff>
    </xdr:to>
    <xdr:sp macro="" textlink="">
      <xdr:nvSpPr>
        <xdr:cNvPr id="2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114300</xdr:rowOff>
    </xdr:to>
    <xdr:sp macro="" textlink="">
      <xdr:nvSpPr>
        <xdr:cNvPr id="3" name="AutoShape 4" descr="{\displaystyle {\begin{aligned}{\begin{bmatrix}1&amp;x_{1}&amp;y_{1}&amp;x_{1}y_{1}\\1&amp;x_{1}&amp;y_{2}&amp;x_{1}y_{2}\\1&amp;x_{2}&amp;y_{1}&amp;x_{2}y_{1}\\1&amp;x_{2}&amp;y_{2}&amp;x_{2}y_{2}\end{bmatrix}}{\begin{bmatrix}a_{0}\\a_{1}\\a_{2}\\a_{3}\end{bmatrix}}={\begin{bmatrix}f(Q_{11})\\f(Q_{12})\\f(Q_{21})\\f(Q_{22})\end{bmatrix}},\end{aligned}}}"/>
        <xdr:cNvSpPr>
          <a:spLocks noChangeAspect="1" noChangeArrowheads="1"/>
        </xdr:cNvSpPr>
      </xdr:nvSpPr>
      <xdr:spPr bwMode="auto">
        <a:xfrm>
          <a:off x="609600" y="4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552450</xdr:colOff>
      <xdr:row>29</xdr:row>
      <xdr:rowOff>104775</xdr:rowOff>
    </xdr:from>
    <xdr:to>
      <xdr:col>8</xdr:col>
      <xdr:colOff>114835</xdr:colOff>
      <xdr:row>39</xdr:row>
      <xdr:rowOff>255</xdr:rowOff>
    </xdr:to>
    <xdr:pic>
      <xdr:nvPicPr>
        <xdr:cNvPr id="4" name="Imagem 3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34050"/>
          <a:ext cx="3829585" cy="177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114300</xdr:rowOff>
    </xdr:to>
    <xdr:sp macro="" textlink="">
      <xdr:nvSpPr>
        <xdr:cNvPr id="5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467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114300</xdr:rowOff>
    </xdr:to>
    <xdr:sp macro="" textlink="">
      <xdr:nvSpPr>
        <xdr:cNvPr id="2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114300</xdr:rowOff>
    </xdr:to>
    <xdr:sp macro="" textlink="">
      <xdr:nvSpPr>
        <xdr:cNvPr id="3" name="AutoShape 4" descr="{\displaystyle {\begin{aligned}{\begin{bmatrix}1&amp;x_{1}&amp;y_{1}&amp;x_{1}y_{1}\\1&amp;x_{1}&amp;y_{2}&amp;x_{1}y_{2}\\1&amp;x_{2}&amp;y_{1}&amp;x_{2}y_{1}\\1&amp;x_{2}&amp;y_{2}&amp;x_{2}y_{2}\end{bmatrix}}{\begin{bmatrix}a_{0}\\a_{1}\\a_{2}\\a_{3}\end{bmatrix}}={\begin{bmatrix}f(Q_{11})\\f(Q_{12})\\f(Q_{21})\\f(Q_{22})\end{bmatrix}},\end{aligned}}}"/>
        <xdr:cNvSpPr>
          <a:spLocks noChangeAspect="1" noChangeArrowheads="1"/>
        </xdr:cNvSpPr>
      </xdr:nvSpPr>
      <xdr:spPr bwMode="auto">
        <a:xfrm>
          <a:off x="609600" y="4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552450</xdr:colOff>
      <xdr:row>29</xdr:row>
      <xdr:rowOff>104775</xdr:rowOff>
    </xdr:from>
    <xdr:to>
      <xdr:col>8</xdr:col>
      <xdr:colOff>114835</xdr:colOff>
      <xdr:row>39</xdr:row>
      <xdr:rowOff>255</xdr:rowOff>
    </xdr:to>
    <xdr:pic>
      <xdr:nvPicPr>
        <xdr:cNvPr id="4" name="Imagem 3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34050"/>
          <a:ext cx="3829585" cy="177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114300</xdr:rowOff>
    </xdr:to>
    <xdr:sp macro="" textlink="">
      <xdr:nvSpPr>
        <xdr:cNvPr id="5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467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114300</xdr:rowOff>
    </xdr:to>
    <xdr:sp macro="" textlink="">
      <xdr:nvSpPr>
        <xdr:cNvPr id="2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114300</xdr:rowOff>
    </xdr:to>
    <xdr:sp macro="" textlink="">
      <xdr:nvSpPr>
        <xdr:cNvPr id="3" name="AutoShape 4" descr="{\displaystyle {\begin{aligned}{\begin{bmatrix}1&amp;x_{1}&amp;y_{1}&amp;x_{1}y_{1}\\1&amp;x_{1}&amp;y_{2}&amp;x_{1}y_{2}\\1&amp;x_{2}&amp;y_{1}&amp;x_{2}y_{1}\\1&amp;x_{2}&amp;y_{2}&amp;x_{2}y_{2}\end{bmatrix}}{\begin{bmatrix}a_{0}\\a_{1}\\a_{2}\\a_{3}\end{bmatrix}}={\begin{bmatrix}f(Q_{11})\\f(Q_{12})\\f(Q_{21})\\f(Q_{22})\end{bmatrix}},\end{aligned}}}"/>
        <xdr:cNvSpPr>
          <a:spLocks noChangeAspect="1" noChangeArrowheads="1"/>
        </xdr:cNvSpPr>
      </xdr:nvSpPr>
      <xdr:spPr bwMode="auto">
        <a:xfrm>
          <a:off x="609600" y="4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552450</xdr:colOff>
      <xdr:row>29</xdr:row>
      <xdr:rowOff>104775</xdr:rowOff>
    </xdr:from>
    <xdr:to>
      <xdr:col>8</xdr:col>
      <xdr:colOff>114835</xdr:colOff>
      <xdr:row>39</xdr:row>
      <xdr:rowOff>255</xdr:rowOff>
    </xdr:to>
    <xdr:pic>
      <xdr:nvPicPr>
        <xdr:cNvPr id="4" name="Imagem 3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34050"/>
          <a:ext cx="3829585" cy="177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114300</xdr:rowOff>
    </xdr:to>
    <xdr:sp macro="" textlink="">
      <xdr:nvSpPr>
        <xdr:cNvPr id="5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467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114300</xdr:rowOff>
    </xdr:to>
    <xdr:sp macro="" textlink="">
      <xdr:nvSpPr>
        <xdr:cNvPr id="2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114300</xdr:rowOff>
    </xdr:to>
    <xdr:sp macro="" textlink="">
      <xdr:nvSpPr>
        <xdr:cNvPr id="3" name="AutoShape 4" descr="{\displaystyle {\begin{aligned}{\begin{bmatrix}1&amp;x_{1}&amp;y_{1}&amp;x_{1}y_{1}\\1&amp;x_{1}&amp;y_{2}&amp;x_{1}y_{2}\\1&amp;x_{2}&amp;y_{1}&amp;x_{2}y_{1}\\1&amp;x_{2}&amp;y_{2}&amp;x_{2}y_{2}\end{bmatrix}}{\begin{bmatrix}a_{0}\\a_{1}\\a_{2}\\a_{3}\end{bmatrix}}={\begin{bmatrix}f(Q_{11})\\f(Q_{12})\\f(Q_{21})\\f(Q_{22})\end{bmatrix}},\end{aligned}}}"/>
        <xdr:cNvSpPr>
          <a:spLocks noChangeAspect="1" noChangeArrowheads="1"/>
        </xdr:cNvSpPr>
      </xdr:nvSpPr>
      <xdr:spPr bwMode="auto">
        <a:xfrm>
          <a:off x="609600" y="4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552450</xdr:colOff>
      <xdr:row>29</xdr:row>
      <xdr:rowOff>104775</xdr:rowOff>
    </xdr:from>
    <xdr:to>
      <xdr:col>8</xdr:col>
      <xdr:colOff>114835</xdr:colOff>
      <xdr:row>39</xdr:row>
      <xdr:rowOff>255</xdr:rowOff>
    </xdr:to>
    <xdr:pic>
      <xdr:nvPicPr>
        <xdr:cNvPr id="4" name="Imagem 3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34050"/>
          <a:ext cx="3829585" cy="177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114300</xdr:rowOff>
    </xdr:to>
    <xdr:sp macro="" textlink="">
      <xdr:nvSpPr>
        <xdr:cNvPr id="5" name="AutoShape 3" descr="{\displaystyle f(x,y)\approx a_{0}+a_{1}x+a_{2}y+a_{3}xy,}"/>
        <xdr:cNvSpPr>
          <a:spLocks noChangeAspect="1" noChangeArrowheads="1"/>
        </xdr:cNvSpPr>
      </xdr:nvSpPr>
      <xdr:spPr bwMode="auto">
        <a:xfrm>
          <a:off x="609600" y="467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55</xdr:row>
      <xdr:rowOff>123825</xdr:rowOff>
    </xdr:from>
    <xdr:to>
      <xdr:col>12</xdr:col>
      <xdr:colOff>114300</xdr:colOff>
      <xdr:row>67</xdr:row>
      <xdr:rowOff>67049</xdr:rowOff>
    </xdr:to>
    <xdr:pic>
      <xdr:nvPicPr>
        <xdr:cNvPr id="2" name="Imagem 1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10734675"/>
          <a:ext cx="4124325" cy="222922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55</xdr:row>
      <xdr:rowOff>123825</xdr:rowOff>
    </xdr:from>
    <xdr:to>
      <xdr:col>12</xdr:col>
      <xdr:colOff>114300</xdr:colOff>
      <xdr:row>67</xdr:row>
      <xdr:rowOff>67049</xdr:rowOff>
    </xdr:to>
    <xdr:pic>
      <xdr:nvPicPr>
        <xdr:cNvPr id="2" name="Imagem 1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10734675"/>
          <a:ext cx="4124325" cy="222922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55</xdr:row>
      <xdr:rowOff>123825</xdr:rowOff>
    </xdr:from>
    <xdr:to>
      <xdr:col>12</xdr:col>
      <xdr:colOff>114300</xdr:colOff>
      <xdr:row>67</xdr:row>
      <xdr:rowOff>67049</xdr:rowOff>
    </xdr:to>
    <xdr:pic>
      <xdr:nvPicPr>
        <xdr:cNvPr id="2" name="Imagem 1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10734675"/>
          <a:ext cx="4124325" cy="222922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11206</xdr:colOff>
      <xdr:row>8</xdr:row>
      <xdr:rowOff>67235</xdr:rowOff>
    </xdr:from>
    <xdr:to>
      <xdr:col>61</xdr:col>
      <xdr:colOff>11206</xdr:colOff>
      <xdr:row>9</xdr:row>
      <xdr:rowOff>89647</xdr:rowOff>
    </xdr:to>
    <xdr:sp macro="[0]!FNP_INTERPOLATION" textlink="">
      <xdr:nvSpPr>
        <xdr:cNvPr id="2" name="Retângulo 1"/>
        <xdr:cNvSpPr/>
      </xdr:nvSpPr>
      <xdr:spPr>
        <a:xfrm>
          <a:off x="34211559" y="1490382"/>
          <a:ext cx="1210235" cy="1905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INTERPOLACAO</a:t>
          </a:r>
        </a:p>
      </xdr:txBody>
    </xdr:sp>
    <xdr:clientData/>
  </xdr:twoCellAnchor>
  <xdr:twoCellAnchor>
    <xdr:from>
      <xdr:col>72</xdr:col>
      <xdr:colOff>645460</xdr:colOff>
      <xdr:row>8</xdr:row>
      <xdr:rowOff>51547</xdr:rowOff>
    </xdr:from>
    <xdr:to>
      <xdr:col>76</xdr:col>
      <xdr:colOff>0</xdr:colOff>
      <xdr:row>9</xdr:row>
      <xdr:rowOff>78441</xdr:rowOff>
    </xdr:to>
    <xdr:sp macro="[0]!FDNP_INTERPOLATION" textlink="">
      <xdr:nvSpPr>
        <xdr:cNvPr id="3" name="Retângulo 2"/>
        <xdr:cNvSpPr/>
      </xdr:nvSpPr>
      <xdr:spPr>
        <a:xfrm>
          <a:off x="41569342" y="1474694"/>
          <a:ext cx="1954305" cy="194982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INTERPOLACAO</a:t>
          </a:r>
        </a:p>
      </xdr:txBody>
    </xdr:sp>
    <xdr:clientData/>
  </xdr:twoCellAnchor>
  <xdr:twoCellAnchor>
    <xdr:from>
      <xdr:col>154</xdr:col>
      <xdr:colOff>638174</xdr:colOff>
      <xdr:row>2</xdr:row>
      <xdr:rowOff>1</xdr:rowOff>
    </xdr:from>
    <xdr:to>
      <xdr:col>158</xdr:col>
      <xdr:colOff>695324</xdr:colOff>
      <xdr:row>9</xdr:row>
      <xdr:rowOff>114301</xdr:rowOff>
    </xdr:to>
    <xdr:sp macro="" textlink="">
      <xdr:nvSpPr>
        <xdr:cNvPr id="4" name="CaixaDeTexto 3"/>
        <xdr:cNvSpPr txBox="1"/>
      </xdr:nvSpPr>
      <xdr:spPr>
        <a:xfrm>
          <a:off x="87830024" y="581026"/>
          <a:ext cx="2790825" cy="1314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/>
            <a:t>TWO LANE HIGHWAY</a:t>
          </a:r>
        </a:p>
        <a:p>
          <a:r>
            <a:rPr lang="pt-BR" sz="900" u="sng"/>
            <a:t>Methodology</a:t>
          </a:r>
          <a:r>
            <a:rPr lang="pt-BR" sz="900" baseline="0"/>
            <a:t> : Directional segment </a:t>
          </a:r>
        </a:p>
        <a:p>
          <a:r>
            <a:rPr lang="pt-BR" sz="900" u="sng" baseline="0"/>
            <a:t>Hypothesis</a:t>
          </a:r>
          <a:r>
            <a:rPr lang="pt-BR" sz="900" u="none" baseline="0"/>
            <a:t> : Generaly applied to (1) segment &gt;= 3 km or (2) &gt;= 1km and grade &gt;= 3%</a:t>
          </a:r>
        </a:p>
        <a:p>
          <a:r>
            <a:rPr lang="pt-BR" sz="900" u="none" baseline="0"/>
            <a:t>/!\ some coef (such as fG, ETC, ET, ER) depends in reality on Vd. That is to say that iterations should be require (Vd = f(fG);fG=f(Vd)). Yet if Vd is ~ VD no iteration is required. </a:t>
          </a:r>
          <a:endParaRPr lang="pt-BR" sz="900" u="sng"/>
        </a:p>
      </xdr:txBody>
    </xdr:sp>
    <xdr:clientData/>
  </xdr:twoCellAnchor>
  <xdr:twoCellAnchor>
    <xdr:from>
      <xdr:col>159</xdr:col>
      <xdr:colOff>28575</xdr:colOff>
      <xdr:row>2</xdr:row>
      <xdr:rowOff>1</xdr:rowOff>
    </xdr:from>
    <xdr:to>
      <xdr:col>162</xdr:col>
      <xdr:colOff>9525</xdr:colOff>
      <xdr:row>4</xdr:row>
      <xdr:rowOff>133351</xdr:rowOff>
    </xdr:to>
    <xdr:sp macro="[0]!Módulo2.TWO_LANE_HIGHWAY" textlink="">
      <xdr:nvSpPr>
        <xdr:cNvPr id="12" name="CaixaDeTexto 11"/>
        <xdr:cNvSpPr txBox="1"/>
      </xdr:nvSpPr>
      <xdr:spPr>
        <a:xfrm>
          <a:off x="86725125" y="581026"/>
          <a:ext cx="2066925" cy="47625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INTERPOLATION EVERY</a:t>
          </a:r>
          <a:r>
            <a:rPr lang="pt-BR" sz="1100" baseline="0"/>
            <a:t> COEFFICIENT</a:t>
          </a:r>
          <a:endParaRPr lang="pt-BR" sz="1100"/>
        </a:p>
      </xdr:txBody>
    </xdr:sp>
    <xdr:clientData/>
  </xdr:twoCellAnchor>
  <xdr:twoCellAnchor editAs="oneCell">
    <xdr:from>
      <xdr:col>159</xdr:col>
      <xdr:colOff>104775</xdr:colOff>
      <xdr:row>5</xdr:row>
      <xdr:rowOff>47625</xdr:rowOff>
    </xdr:from>
    <xdr:to>
      <xdr:col>167</xdr:col>
      <xdr:colOff>419929</xdr:colOff>
      <xdr:row>9</xdr:row>
      <xdr:rowOff>89</xdr:rowOff>
    </xdr:to>
    <xdr:pic>
      <xdr:nvPicPr>
        <xdr:cNvPr id="5" name="Imagem 4" descr="Recorte de Tela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58525" y="1143000"/>
          <a:ext cx="5934904" cy="638264"/>
        </a:xfrm>
        <a:prstGeom prst="rect">
          <a:avLst/>
        </a:prstGeom>
      </xdr:spPr>
    </xdr:pic>
    <xdr:clientData/>
  </xdr:twoCellAnchor>
  <xdr:twoCellAnchor editAs="oneCell">
    <xdr:from>
      <xdr:col>159</xdr:col>
      <xdr:colOff>19050</xdr:colOff>
      <xdr:row>8</xdr:row>
      <xdr:rowOff>57150</xdr:rowOff>
    </xdr:from>
    <xdr:to>
      <xdr:col>165</xdr:col>
      <xdr:colOff>762686</xdr:colOff>
      <xdr:row>11</xdr:row>
      <xdr:rowOff>47694</xdr:rowOff>
    </xdr:to>
    <xdr:pic>
      <xdr:nvPicPr>
        <xdr:cNvPr id="6" name="Imagem 5" descr="Recorte de Tel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72800" y="1666875"/>
          <a:ext cx="4915586" cy="495369"/>
        </a:xfrm>
        <a:prstGeom prst="rect">
          <a:avLst/>
        </a:prstGeom>
      </xdr:spPr>
    </xdr:pic>
    <xdr:clientData/>
  </xdr:twoCellAnchor>
  <xdr:twoCellAnchor>
    <xdr:from>
      <xdr:col>48</xdr:col>
      <xdr:colOff>561975</xdr:colOff>
      <xdr:row>7</xdr:row>
      <xdr:rowOff>57150</xdr:rowOff>
    </xdr:from>
    <xdr:to>
      <xdr:col>50</xdr:col>
      <xdr:colOff>600075</xdr:colOff>
      <xdr:row>8</xdr:row>
      <xdr:rowOff>104775</xdr:rowOff>
    </xdr:to>
    <xdr:sp macro="[0]!VP_ATS" textlink="">
      <xdr:nvSpPr>
        <xdr:cNvPr id="7" name="Retângulo 6"/>
        <xdr:cNvSpPr/>
      </xdr:nvSpPr>
      <xdr:spPr>
        <a:xfrm>
          <a:off x="30032325" y="1495425"/>
          <a:ext cx="1257300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VP_ATS</a:t>
          </a:r>
        </a:p>
      </xdr:txBody>
    </xdr:sp>
    <xdr:clientData/>
  </xdr:twoCellAnchor>
  <xdr:twoCellAnchor>
    <xdr:from>
      <xdr:col>66</xdr:col>
      <xdr:colOff>590549</xdr:colOff>
      <xdr:row>7</xdr:row>
      <xdr:rowOff>152400</xdr:rowOff>
    </xdr:from>
    <xdr:to>
      <xdr:col>68</xdr:col>
      <xdr:colOff>628650</xdr:colOff>
      <xdr:row>9</xdr:row>
      <xdr:rowOff>47625</xdr:rowOff>
    </xdr:to>
    <xdr:sp macro="[0]!VP_PTSF" textlink="">
      <xdr:nvSpPr>
        <xdr:cNvPr id="8" name="Retângulo 7"/>
        <xdr:cNvSpPr/>
      </xdr:nvSpPr>
      <xdr:spPr>
        <a:xfrm>
          <a:off x="41090849" y="1762125"/>
          <a:ext cx="1257301" cy="2286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VP_PTSF</a:t>
          </a:r>
        </a:p>
      </xdr:txBody>
    </xdr:sp>
    <xdr:clientData/>
  </xdr:twoCellAnchor>
  <xdr:twoCellAnchor>
    <xdr:from>
      <xdr:col>46</xdr:col>
      <xdr:colOff>76200</xdr:colOff>
      <xdr:row>5</xdr:row>
      <xdr:rowOff>114300</xdr:rowOff>
    </xdr:from>
    <xdr:to>
      <xdr:col>48</xdr:col>
      <xdr:colOff>361950</xdr:colOff>
      <xdr:row>8</xdr:row>
      <xdr:rowOff>114300</xdr:rowOff>
    </xdr:to>
    <xdr:sp macro="[0]!RUN_PISTA_SIMPLES" textlink="">
      <xdr:nvSpPr>
        <xdr:cNvPr id="9" name="Retângulo 8"/>
        <xdr:cNvSpPr/>
      </xdr:nvSpPr>
      <xdr:spPr>
        <a:xfrm>
          <a:off x="28327350" y="1209675"/>
          <a:ext cx="1504950" cy="5143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INTERPOLATION EVERY COEFFICIENTS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gardenparty\Orcamento\2008\2007\Or&#231;amento_2005\Planfi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1-ccr\desenvolvimentooperacional$\Desenvolvimento%20e%20Tecnologia\Ricardo%20Penteado\Federais\Lote11\L11CustosREV2-Real\Lote11-adm%20REV2-Rea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hzagc-fls001\usuarios\bretas\Petrolina\PETROLINA\valuation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depto\ANALISE\EMPRESAS\TEL_SERV\Tele%20Centro%20Sul%20Participa&#231;&#245;es\Brazil%20Telecom%202001\BRP_1Q0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aloraserver\projetos\TELECOM\MODELS\PUBLISHED_MODELS\COL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\depto\Analise\EMPRESAS\Water\Sanepar\prjbrs200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y%20Received%20Files\Juros%20sobre%20o%20Capital%20Pr&#243;prio%20-%20Dez.03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7140%20Patrim&#244;nio%20L&#237;quido%20-%2030%2009%202003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Engelog\Controle%20de%20Contratos%20atualizado%20at&#233;%2025.05.20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ção"/>
      <sheetName val="Ano-base"/>
      <sheetName val="Dialog"/>
      <sheetName val="Premissas"/>
      <sheetName val="Demonstração de resultados"/>
      <sheetName val="Balanço patrimonial"/>
      <sheetName val="Fluxo de caixa"/>
      <sheetName val="Gráfico da demonstração de resu"/>
      <sheetName val="Gráfico do balanço patrimonial"/>
      <sheetName val="Gráfico do fluxo de caixa"/>
      <sheetName val="Gráfico do fluxo de caixa livre"/>
      <sheetName val="MyDialog"/>
      <sheetName val="VDlg"/>
      <sheetName val="Module1"/>
      <sheetName val="In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te11-adm REV2-Real"/>
      <sheetName val="#REF"/>
      <sheetName val="Premissas Macro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1"/>
      <sheetName val="1"/>
      <sheetName val="Resultados"/>
      <sheetName val="Painel de Controle"/>
      <sheetName val="SPE"/>
      <sheetName val="Valuation"/>
      <sheetName val="IS"/>
      <sheetName val="BS"/>
      <sheetName val="CF"/>
      <sheetName val="Funding"/>
      <sheetName val="Premissas Funding"/>
      <sheetName val="Balanço Prévio"/>
      <sheetName val="Entrada de Dados"/>
      <sheetName val="Sensib"/>
      <sheetName val="2"/>
      <sheetName val="Receitas"/>
      <sheetName val="Capex Estimado"/>
      <sheetName val="Capex Orçado"/>
      <sheetName val="Opex"/>
      <sheetName val="3"/>
      <sheetName val="Debt"/>
      <sheetName val="Auxiliar"/>
      <sheetName val="Resultados velho"/>
      <sheetName val="4"/>
      <sheetName val="Indicadores"/>
      <sheetName val="Rec Opex Capex"/>
      <sheetName val="Rec Totais (a)"/>
      <sheetName val="Rec Totais (b)"/>
      <sheetName val="Balanço"/>
      <sheetName val="Resultado"/>
      <sheetName val="Fluxos Acumulados"/>
      <sheetName val="Cap Dív"/>
      <sheetName val="DSCR - LTDE"/>
      <sheetName val="Rentabilidade"/>
      <sheetName val="Módulo2"/>
      <sheetName val="Módulo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_R$"/>
      <sheetName val="Report_US$"/>
      <sheetName val="GRAPHS"/>
      <sheetName val="Prem-IS"/>
      <sheetName val="Prem-BS"/>
      <sheetName val="Anual_R$"/>
      <sheetName val="Anual_US$"/>
      <sheetName val="multiples"/>
      <sheetName val="WACC"/>
      <sheetName val="dados"/>
      <sheetName val="Celular"/>
      <sheetName val="tabela1"/>
      <sheetName val="tabela2"/>
      <sheetName val="tabela3"/>
      <sheetName val="tabela4"/>
      <sheetName val="market"/>
      <sheetName val="results"/>
      <sheetName val="CPU"/>
      <sheetName val="GerRel"/>
      <sheetName val="Composições"/>
      <sheetName val="Insumos"/>
      <sheetName val="Serviços"/>
      <sheetName val="Configuration"/>
      <sheetName val="Funding"/>
      <sheetName val="Macroeconomics"/>
      <sheetName val="BUDGET"/>
      <sheetName val="DO NOT USE PRINT! Macro Data"/>
      <sheetName val="Sheet1"/>
      <sheetName val="Control"/>
      <sheetName val="Profit &amp; Loss"/>
      <sheetName val="Project Enigma Valuation V01  "/>
      <sheetName val="gráfic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2">
          <cell r="E12" t="str">
            <v>a=blpH(E10,"EQY_WEIGHTED_AVG_PX,PX_LAST,PX_VOLUME","1/1/1998"," ",0,TRUE,"D","C","C",TRUE,1296,4)</v>
          </cell>
          <cell r="J12" t="str">
            <v>a=blpH(J10,"EQY_WEIGHTED_AVG_PX,PX_LAST,PX_VOLUME","1/1/1998"," ",0,TRUE,"D","C","C",TRUE,1296,4)</v>
          </cell>
          <cell r="O12" t="str">
            <v>a=blpH(O10,"EQY_WEIGHTED_AVG_PX,PX_LAST,PX_VOLUME","1/1/1998"," ",0,TRUE,"D","C","C",TRUE,1296,4)</v>
          </cell>
          <cell r="T12" t="str">
            <v>a=blpH(T10,"EQY_WEIGHTED_AVG_PX,PX_LAST,PX_VOLUME","1/1/1998"," ",0,TRUE,"D","C","C",TRUE,1296,4)</v>
          </cell>
          <cell r="Y12" t="str">
            <v>a=blpH(Y10,"EQY_WEIGHTED_AVG_PX,PX_LAST,PX_VOLUME","1/1/1998"," ",0,TRUE,"D","C","C",TRUE,1296,4)</v>
          </cell>
          <cell r="AD12" t="str">
            <v>a=blpH(AD10,"EQY_WEIGHTED_AVG_PX,PX_LAST,PX_VOLUME","1/1/1998"," ",0,TRUE,"D","C","C",TRUE,1296,4)</v>
          </cell>
          <cell r="AI12" t="str">
            <v>a=blpH(AI10,"EQY_WEIGHTED_AVG_PX,PX_LAST,PX_VOLUME","1/1/1998"," ",0,TRUE,"D","C","C",TRUE,1296,4)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  <sheetName val="INTERIM"/>
      <sheetName val="GBD"/>
      <sheetName val="statistic"/>
      <sheetName val="Forecasts_VDF"/>
      <sheetName val="HIST"/>
      <sheetName val="COLT"/>
      <sheetName val="Composições"/>
      <sheetName val="Insumos"/>
      <sheetName val="Serviços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arterly_financials"/>
      <sheetName val="Summary_financials"/>
      <sheetName val="Despesas operacionais"/>
      <sheetName val="Anual_p"/>
      <sheetName val="Premissas"/>
      <sheetName val="Anual_p_US$"/>
      <sheetName val="Financiamentos"/>
      <sheetName val="TargetP"/>
      <sheetName val="Acionária"/>
      <sheetName val="Máscara 2"/>
      <sheetName val="Máscara 1"/>
      <sheetName val="Summary_Operations"/>
      <sheetName val="WACC"/>
      <sheetName val="Base"/>
      <sheetName val="Forecasts_VDF"/>
      <sheetName val="Data"/>
      <sheetName val="RELATA antigo"/>
      <sheetName val="market"/>
      <sheetName val="DADOS FORNECEDORES"/>
      <sheetName val=""/>
    </sheetNames>
    <sheetDataSet>
      <sheetData sheetId="0"/>
      <sheetData sheetId="1"/>
      <sheetData sheetId="2"/>
      <sheetData sheetId="3"/>
      <sheetData sheetId="4" refreshError="1">
        <row r="161">
          <cell r="Z161">
            <v>-1255.8879413952952</v>
          </cell>
        </row>
        <row r="166">
          <cell r="Z166">
            <v>-2.0120103106201701E-2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JLP FINAL"/>
      <sheetName val="Mutação do PL Trimestral"/>
    </sheetNames>
    <sheetDataSet>
      <sheetData sheetId="0" refreshError="1"/>
      <sheetData sheetId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tre"/>
      <sheetName val="Mutação do PL Trimestral"/>
      <sheetName val="Mutação PL - Dez a Set"/>
      <sheetName val="Reserva Reavaliação"/>
      <sheetName val="Mov. Res. Reavaliacao"/>
      <sheetName val="Lucros a Realizar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"/>
      <sheetName val="Jurídico"/>
      <sheetName val="Assin Contratada"/>
      <sheetName val="Assin_Contratada"/>
      <sheetName val="Terr-preços"/>
      <sheetName val="Unit"/>
      <sheetName val="Local"/>
      <sheetName val="tabela DER julho97"/>
      <sheetName val="Plan3"/>
      <sheetName val="AVALIAÇÃO_terreno"/>
      <sheetName val="INCCTOT"/>
    </sheetNames>
    <sheetDataSet>
      <sheetData sheetId="0" refreshError="1"/>
      <sheetData sheetId="1" refreshError="1">
        <row r="2">
          <cell r="D2" t="str">
            <v>Razão Social</v>
          </cell>
          <cell r="F2" t="str">
            <v>Objeto</v>
          </cell>
          <cell r="G2" t="str">
            <v>Área</v>
          </cell>
          <cell r="H2" t="str">
            <v>Gestor</v>
          </cell>
          <cell r="I2" t="str">
            <v>N.º Contrato</v>
          </cell>
          <cell r="J2" t="str">
            <v>Contrato/Aditivo/Encerr.</v>
          </cell>
          <cell r="K2" t="str">
            <v>Nº Aditivo</v>
          </cell>
        </row>
        <row r="3">
          <cell r="D3" t="str">
            <v>A Integração Recuperadora de Rodovias S/C Ltda</v>
          </cell>
          <cell r="F3" t="str">
            <v>Serviços de conservação civil.</v>
          </cell>
          <cell r="G3" t="str">
            <v>Conservação</v>
          </cell>
          <cell r="H3" t="str">
            <v>Nadalin</v>
          </cell>
          <cell r="I3" t="str">
            <v>ACTUA-CQ-0671/04</v>
          </cell>
          <cell r="J3" t="str">
            <v>Aditivo</v>
          </cell>
          <cell r="K3" t="str">
            <v>1º</v>
          </cell>
        </row>
        <row r="4">
          <cell r="D4" t="str">
            <v>Elena Franco Rosa Resende - ME</v>
          </cell>
          <cell r="F4" t="str">
            <v>Confecção e instalação de Gradil Orsometal de ferro chato 1' x 1/8', para proteção de Pista AVI - 01 do pedágio do km 46 da SP-270, Proteção solicitada pela Comissão da CIPA.</v>
          </cell>
          <cell r="G4" t="str">
            <v>Manutenção</v>
          </cell>
          <cell r="H4" t="str">
            <v>Savietto</v>
          </cell>
          <cell r="J4" t="str">
            <v>Contrato</v>
          </cell>
        </row>
        <row r="5">
          <cell r="D5" t="str">
            <v>Lumafran Consultoria Ltda</v>
          </cell>
          <cell r="F5" t="str">
            <v>Serviços de manutenção e suporte local e remoto de carácter especializado em banco de dados em geral.</v>
          </cell>
          <cell r="G5" t="str">
            <v>Manutenção</v>
          </cell>
          <cell r="H5" t="str">
            <v>Savietto</v>
          </cell>
          <cell r="J5" t="str">
            <v>Contrato</v>
          </cell>
        </row>
        <row r="6">
          <cell r="D6" t="str">
            <v>Marjack Moto Peças Ltda</v>
          </cell>
          <cell r="F6" t="str">
            <v>Fornecimento de peças e materiais em geral para manutenção.</v>
          </cell>
          <cell r="G6" t="str">
            <v>Manutenção</v>
          </cell>
          <cell r="H6" t="str">
            <v>Savietto</v>
          </cell>
          <cell r="J6" t="str">
            <v>Contrato</v>
          </cell>
        </row>
        <row r="7">
          <cell r="D7" t="str">
            <v xml:space="preserve">Álamo Engenharia SA </v>
          </cell>
          <cell r="F7" t="str">
            <v>Serviços de Manutenção de Sistemas Eletro-Eletrônicos para a AutoBAn, conforme os Pacotes abaixo:- Pacote C - Sistemas de emergência, grupos geradores e nobreaks;- Pacote D - Elétrica viária e predial;- Pacote E - Sistemas de climatização;- Pacotes especi</v>
          </cell>
          <cell r="G7" t="str">
            <v>Manutenção</v>
          </cell>
          <cell r="H7" t="str">
            <v>Savietto</v>
          </cell>
          <cell r="J7" t="str">
            <v>Contrato</v>
          </cell>
        </row>
        <row r="8">
          <cell r="D8" t="str">
            <v>Ultraview Sistemas, comércio e serviços Ltda ME</v>
          </cell>
          <cell r="F8" t="str">
            <v xml:space="preserve">Serviços de consultoria  em sistema eletrônicos de ITS para a Concessionária da Ponte Rio-Niterói S.A. </v>
          </cell>
          <cell r="G8" t="str">
            <v>Manutenção</v>
          </cell>
          <cell r="H8" t="str">
            <v>Savietto</v>
          </cell>
          <cell r="J8" t="str">
            <v>Contrato</v>
          </cell>
        </row>
        <row r="9">
          <cell r="D9" t="str">
            <v>Afasa Construções e Comércio Ltda</v>
          </cell>
          <cell r="F9" t="str">
            <v>Venda de equipamentos especializados para execução de selagem de trincas em pavimento asfáltico.</v>
          </cell>
          <cell r="G9" t="str">
            <v>Obras</v>
          </cell>
          <cell r="H9" t="str">
            <v>Herzen</v>
          </cell>
          <cell r="J9" t="str">
            <v>Contrato</v>
          </cell>
        </row>
        <row r="10">
          <cell r="D10" t="str">
            <v>Afasa Construções e Comércio Ltda</v>
          </cell>
          <cell r="F10" t="str">
            <v>Serviços de selagem de trincas com emprego de material asfáltico com polímetro, ao longo do pavimento da Rodovia Presidente Dutra.</v>
          </cell>
          <cell r="G10" t="str">
            <v>Obras</v>
          </cell>
          <cell r="H10" t="str">
            <v>Herzen</v>
          </cell>
          <cell r="I10" t="str">
            <v>ACTUA-CP-0282/05</v>
          </cell>
          <cell r="J10" t="str">
            <v>Contrato</v>
          </cell>
        </row>
        <row r="11">
          <cell r="D11" t="str">
            <v>Lumafran Consultoria Ltda</v>
          </cell>
          <cell r="F11" t="str">
            <v>Serviços de manutenção e suporte local e remoto de carácter especializado em banco de dados em geral.</v>
          </cell>
          <cell r="G11" t="str">
            <v>Manutenção</v>
          </cell>
          <cell r="H11" t="str">
            <v>Savietto</v>
          </cell>
          <cell r="J11" t="str">
            <v>Contrato</v>
          </cell>
        </row>
        <row r="12">
          <cell r="D12" t="str">
            <v>Jofege Pavimentação e Construção Ltda</v>
          </cell>
          <cell r="F12" t="str">
            <v>Serviços de implantação de Marginais na SP-330, Rodovia Anhanguera, entre o km 50+000 e o km 53+550 nas Pistas, Norte e Sul e entre o km 54+158 e o km 58+000 da Pista Norte.</v>
          </cell>
          <cell r="G12" t="str">
            <v>Obras</v>
          </cell>
          <cell r="H12" t="str">
            <v>Moita</v>
          </cell>
          <cell r="J12" t="str">
            <v>Contrato</v>
          </cell>
        </row>
        <row r="13">
          <cell r="D13" t="str">
            <v>Vieceli &amp; Furlan Assossiados Comércio de Serviços Ltda</v>
          </cell>
          <cell r="F13" t="str">
            <v>Desenvolvimento e fornecimento de software para contagem de veículos que utilizam sistemas de identificação automática de veículos e a instalação de duas antenas Amtech em viaduto próximo ao RJ.</v>
          </cell>
          <cell r="G13" t="str">
            <v>Manutenção</v>
          </cell>
          <cell r="H13" t="str">
            <v>Savietto</v>
          </cell>
          <cell r="J13" t="str">
            <v>Contrato</v>
          </cell>
        </row>
        <row r="14">
          <cell r="D14" t="str">
            <v>Terra Brasilis Arquitetura e Consultoria SCL</v>
          </cell>
          <cell r="F14" t="str">
            <v>Plantio de mudas de árvores de espécies nativas, baseado na técnica de sucessão secundária, num total de 4.000 mudas em Guaratinguetá na Rodovia Presidente Dutra.</v>
          </cell>
          <cell r="G14" t="str">
            <v>Ambiente</v>
          </cell>
          <cell r="H14" t="str">
            <v>Nilo</v>
          </cell>
          <cell r="J14" t="str">
            <v>Contrato</v>
          </cell>
        </row>
        <row r="15">
          <cell r="D15" t="str">
            <v>MPMEC Eletro Mecanica Ltda</v>
          </cell>
          <cell r="F15" t="str">
            <v>Serviços de conservação de estruturas metálicas localizadas na Ponte Rio Niterói.</v>
          </cell>
          <cell r="G15" t="str">
            <v>Obras</v>
          </cell>
          <cell r="H15" t="str">
            <v>Nilton</v>
          </cell>
          <cell r="J15" t="str">
            <v>Contrato</v>
          </cell>
        </row>
        <row r="16">
          <cell r="D16" t="str">
            <v>Mapylar Engenharia Ltda</v>
          </cell>
          <cell r="F16" t="str">
            <v>Serviços de Execução de dispositivos de drenagem tais como recuperação de sarjetas e implantação de meio-fio em diversos pontos ao longo da rodovia RJ-124.</v>
          </cell>
          <cell r="G16" t="str">
            <v>Manutenção</v>
          </cell>
          <cell r="H16" t="str">
            <v>Nilton</v>
          </cell>
          <cell r="J16" t="str">
            <v>Contrato</v>
          </cell>
        </row>
        <row r="17">
          <cell r="D17" t="str">
            <v>Engenharia e Construção Mectal Ltda</v>
          </cell>
          <cell r="F17" t="str">
            <v>Serviços de retirada de pórtico bandeira do canteiro de obras da manutenção elétrica,reforma e montagem do mesmo em local a ser definido pela Ponte S/A; Remoção de painel de mensagens variáveis da Av.Jansen de Melo e reinstalação do mesmo no pórtico do it</v>
          </cell>
          <cell r="G17" t="str">
            <v>Obras</v>
          </cell>
          <cell r="H17" t="str">
            <v>Nilton</v>
          </cell>
          <cell r="J17" t="str">
            <v>Contrato</v>
          </cell>
        </row>
        <row r="18">
          <cell r="D18" t="str">
            <v>Sinalta Propista Sinalização, Segurança e Comunicação Visual Ltda</v>
          </cell>
          <cell r="F18" t="str">
            <v>Confecção e implantação de Sinalização Vertical para a Rodovia Presidente Dutra, trechos de São Paulo e Rio de Janeiro.</v>
          </cell>
          <cell r="G18" t="str">
            <v>Obras</v>
          </cell>
          <cell r="H18" t="str">
            <v>Herzen</v>
          </cell>
          <cell r="J18" t="str">
            <v>Contrato</v>
          </cell>
        </row>
        <row r="19">
          <cell r="D19" t="str">
            <v>VCS -Vitória Construções e Serviços Ltda</v>
          </cell>
          <cell r="F19" t="str">
            <v>Serviços de Implantação do Ramo 831 e Acesso Local,localizados no Km 216+700/SP, Pista Norte</v>
          </cell>
          <cell r="G19" t="str">
            <v>Obras</v>
          </cell>
          <cell r="H19" t="str">
            <v>Herzen</v>
          </cell>
          <cell r="J19" t="str">
            <v>Contrato</v>
          </cell>
        </row>
        <row r="21">
          <cell r="I21">
            <v>0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22" name="LIST" displayName="LIST" ref="T3:X7" totalsRowShown="0" headerRowDxfId="628" dataDxfId="627">
  <autoFilter ref="T3:X7"/>
  <tableColumns count="5">
    <tableColumn id="1" name="Rural/Urban" dataDxfId="626"/>
    <tableColumn id="2" name="Direction" dataDxfId="625"/>
    <tableColumn id="3" name="Type of Terr" dataDxfId="624"/>
    <tableColumn id="4" name="Modelo" dataDxfId="623"/>
    <tableColumn id="5" name="Separador" dataDxfId="62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5" name="INPUT" displayName="INPUT" ref="A9:AO37" totalsRowShown="0" headerRowDxfId="621" dataDxfId="620">
  <autoFilter ref="A9:AO37"/>
  <tableColumns count="41">
    <tableColumn id="1" name="Id" dataDxfId="619"/>
    <tableColumn id="12" name="Modelo" dataDxfId="618"/>
    <tableColumn id="25" name="LOS_" dataDxfId="617"/>
    <tableColumn id="20" name="ATS_" dataDxfId="616" dataCellStyle="Vírgula"/>
    <tableColumn id="9" name="PTSF_" dataDxfId="615" dataCellStyle="Vírgula"/>
    <tableColumn id="39" name="VP_" dataDxfId="614" dataCellStyle="Vírgula"/>
    <tableColumn id="38" name="D_" dataDxfId="613" dataCellStyle="Vírgula"/>
    <tableColumn id="24" name="S_" dataDxfId="612" dataCellStyle="Vírgula"/>
    <tableColumn id="2" name="Estado" dataDxfId="611"/>
    <tableColumn id="3" name="Municipio" dataDxfId="610"/>
    <tableColumn id="4" name="km Inicial" dataDxfId="609"/>
    <tableColumn id="5" name="km Final" dataDxfId="608"/>
    <tableColumn id="6" name="Extensão (km)" dataDxfId="607"/>
    <tableColumn id="7" name="Pista" dataDxfId="606"/>
    <tableColumn id="27" name="Sentido" dataDxfId="605"/>
    <tableColumn id="8" name="Declividade" dataDxfId="8">
      <calculatedColumnFormula>4</calculatedColumnFormula>
    </tableColumn>
    <tableColumn id="30" name="Número de Faixas" dataDxfId="604"/>
    <tableColumn id="29" name="Largura das Faixas" dataDxfId="603"/>
    <tableColumn id="28" name="Acostamento" dataDxfId="602"/>
    <tableColumn id="31" name="Largura Acost." dataDxfId="601"/>
    <tableColumn id="32" name="Degrau Acost." dataDxfId="600"/>
    <tableColumn id="33" name="Faixa de Segurança" dataDxfId="599"/>
    <tableColumn id="34" name="Separador" dataDxfId="598"/>
    <tableColumn id="37" name="Vias Marginais" dataDxfId="597"/>
    <tableColumn id="36" name="Num. Faixas Marg." dataDxfId="596">
      <calculatedColumnFormula>0</calculatedColumnFormula>
    </tableColumn>
    <tableColumn id="35" name="Largura Marg." dataDxfId="595"/>
    <tableColumn id="26" name="Rural/ Urban" dataDxfId="594"/>
    <tableColumn id="10" name="Direction analysed ?" dataDxfId="14">
      <calculatedColumnFormula>"up"</calculatedColumnFormula>
    </tableColumn>
    <tableColumn id="11" name="Type of terrain" dataDxfId="593"/>
    <tableColumn id="13" name="Access points /km [1]" dataDxfId="592"/>
    <tableColumn id="14" name="No passing zone [%]" dataDxfId="591"/>
    <tableColumn id="40" name="Total [VDMA]" dataDxfId="590">
      <calculatedColumnFormula>INPUT[Cars '[VDMA']]+INPUT[Trucks '[VDMA']]</calculatedColumnFormula>
    </tableColumn>
    <tableColumn id="15" name="Cars [VDMA]" dataDxfId="16"/>
    <tableColumn id="16" name="Trucks [VDMA]" dataDxfId="17"/>
    <tableColumn id="17" name="Direction Split [%]" dataDxfId="589"/>
    <tableColumn id="18" name="Truck crawl speed [km/h]" dataDxfId="588"/>
    <tableColumn id="19" name="PTC [%]" dataDxfId="587">
      <calculatedColumnFormula>0</calculatedColumnFormula>
    </tableColumn>
    <tableColumn id="41" name="PT [%]" dataDxfId="586" dataCellStyle="Vírgula"/>
    <tableColumn id="21" name="PR [%]" dataDxfId="585"/>
    <tableColumn id="22" name="PHF" dataDxfId="584">
      <calculatedColumnFormula>0.88</calculatedColumnFormula>
    </tableColumn>
    <tableColumn id="23" name="BFFS  [km/h]" dataDxfId="583">
      <calculatedColumnFormula>100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id="5" name="YEAR_BY_YEAR" displayName="YEAR_BY_YEAR" ref="B8:C10" totalsRowShown="0" headerRowDxfId="582" dataDxfId="581">
  <autoFilter ref="B8:C10"/>
  <tableColumns count="2">
    <tableColumn id="320" name="ID" dataDxfId="580"/>
    <tableColumn id="310" name="2023" dataDxfId="579">
      <calculatedColumnFormula>2000</calculatedColumnFormula>
    </tableColumn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id="20" name="TWO_LANE_HIGHWAY_G" displayName="TWO_LANE_HIGHWAY_G" ref="B13:CC14" totalsRowShown="0" headerRowDxfId="578" dataDxfId="577">
  <autoFilter ref="B13:CC14"/>
  <sortState ref="B14:CG48">
    <sortCondition ref="B13:B48"/>
  </sortState>
  <tableColumns count="80">
    <tableColumn id="125" name="ID" dataDxfId="576" dataCellStyle="Normal 5 2"/>
    <tableColumn id="89" name="Estado" dataDxfId="575" dataCellStyle="Normal 5 2">
      <calculatedColumnFormula>"-"</calculatedColumnFormula>
    </tableColumn>
    <tableColumn id="90" name="Municipio" dataDxfId="574" dataCellStyle="Normal 5 2">
      <calculatedColumnFormula>"-"</calculatedColumnFormula>
    </tableColumn>
    <tableColumn id="91" name="km Inicial" dataDxfId="573" dataCellStyle="Normal 5 2">
      <calculatedColumnFormula>"-"</calculatedColumnFormula>
    </tableColumn>
    <tableColumn id="92" name="km Final" dataDxfId="572" dataCellStyle="Normal 5 2">
      <calculatedColumnFormula>"-"</calculatedColumnFormula>
    </tableColumn>
    <tableColumn id="93" name="Extensão" dataDxfId="571" dataCellStyle="Normal 5 2"/>
    <tableColumn id="94" name="Pista" dataDxfId="570" dataCellStyle="Normal 5 2">
      <calculatedColumnFormula>"Pista Simples"</calculatedColumnFormula>
    </tableColumn>
    <tableColumn id="95" name="Sentido" dataDxfId="569" dataCellStyle="Normal 5 2">
      <calculatedColumnFormula>"-"</calculatedColumnFormula>
    </tableColumn>
    <tableColumn id="96" name="Número de Faixas" dataDxfId="568" dataCellStyle="Normal 5 2"/>
    <tableColumn id="97" name="Largura das Faixas" dataDxfId="567" dataCellStyle="Normal 5 2"/>
    <tableColumn id="98" name="Acostamento" dataDxfId="566" dataCellStyle="Normal 5 2">
      <calculatedColumnFormula>"-"</calculatedColumnFormula>
    </tableColumn>
    <tableColumn id="99" name="Largura Acost." dataDxfId="565" dataCellStyle="Normal 5 2"/>
    <tableColumn id="100" name="Degrau Acost." dataDxfId="564" dataCellStyle="Normal 5 2">
      <calculatedColumnFormula>"-"</calculatedColumnFormula>
    </tableColumn>
    <tableColumn id="101" name="Faixa de Segurança" dataDxfId="563" dataCellStyle="Normal 5 2">
      <calculatedColumnFormula>"-"</calculatedColumnFormula>
    </tableColumn>
    <tableColumn id="102" name="Separador" dataDxfId="562" dataCellStyle="Normal 5 2">
      <calculatedColumnFormula>"-"</calculatedColumnFormula>
    </tableColumn>
    <tableColumn id="103" name="Vias Marginais" dataDxfId="561" dataCellStyle="Normal 5 2">
      <calculatedColumnFormula>"-"</calculatedColumnFormula>
    </tableColumn>
    <tableColumn id="104" name="Num. Faixas Marg." dataDxfId="560" dataCellStyle="Normal 5"/>
    <tableColumn id="9" name="Largura Marg." dataDxfId="559" dataCellStyle="Normal 5 2">
      <calculatedColumnFormula>"-"</calculatedColumnFormula>
    </tableColumn>
    <tableColumn id="105" name="Colunas1" dataDxfId="558"/>
    <tableColumn id="106" name="Trecho " dataDxfId="557"/>
    <tableColumn id="107" name="passeio" dataDxfId="556"/>
    <tableColumn id="108" name="pesado" dataDxfId="555"/>
    <tableColumn id="109" name="Colunas2" dataDxfId="554"/>
    <tableColumn id="6" name="tipo" dataDxfId="553">
      <calculatedColumnFormula>IF(OR(H14="Dupla",H14="Pista Dupla"),4,1)</calculatedColumnFormula>
    </tableColumn>
    <tableColumn id="75" name="LOS" dataDxfId="552">
      <calculatedColumnFormula>INDIRECT(CONCATENATE(IF(TWO_LANE_HIGHWAY_G[[#This Row],[tipo]]=1,$AH$4,IF(TWO_LANE_HIGHWAY_G[[#This Row],[tipo]]=2,$AH$5,IF(TWO_LANE_HIGHWAY_G[[#This Row],[tipo]]=3,$AH$6,IF(TWO_LANE_HIGHWAY_G[[#This Row],[tipo]]=4,$AH$7))))&amp;ROW()))</calculatedColumnFormula>
    </tableColumn>
    <tableColumn id="14" name="rural/urbano" dataDxfId="551"/>
    <tableColumn id="18" name="plano/ondulado" dataDxfId="550"/>
    <tableColumn id="36" name="faixa (m)" dataDxfId="549">
      <calculatedColumnFormula>TWO_LANE_HIGHWAY_G[Largura das Faixas]</calculatedColumnFormula>
    </tableColumn>
    <tableColumn id="38" name="acost (m)" dataDxfId="548">
      <calculatedColumnFormula>TWO_LANE_HIGHWAY_G[Largura Acost.]</calculatedColumnFormula>
    </tableColumn>
    <tableColumn id="17" name="passeio'" dataDxfId="547">
      <calculatedColumnFormula>TWO_LANE_HIGHWAY_G[passeio]</calculatedColumnFormula>
    </tableColumn>
    <tableColumn id="16" name="pesado'" dataDxfId="546">
      <calculatedColumnFormula>TWO_LANE_HIGHWAY_G[pesado]</calculatedColumnFormula>
    </tableColumn>
    <tableColumn id="19" name="vdma" dataDxfId="545">
      <calculatedColumnFormula>TWO_LANE_HIGHWAY_G[passeio'']+TWO_LANE_HIGHWAY_G[pesado'']</calculatedColumnFormula>
    </tableColumn>
    <tableColumn id="8" name="Pt" dataDxfId="544">
      <calculatedColumnFormula>TWO_LANE_HIGHWAY_G[pesado'']/TWO_LANE_HIGHWAY_G[vdma]</calculatedColumnFormula>
    </tableColumn>
    <tableColumn id="37" name="PRv" dataDxfId="543">
      <calculatedColumnFormula>3%</calculatedColumnFormula>
    </tableColumn>
    <tableColumn id="53" name="fatK" dataDxfId="542">
      <calculatedColumnFormula>0.12</calculatedColumnFormula>
    </tableColumn>
    <tableColumn id="20" name="veic/h" dataDxfId="541">
      <calculatedColumnFormula>IF(TWO_LANE_HIGHWAY_G[[#This Row],[Pista]]="Pista Simples",TWO_LANE_HIGHWAY_G[[#This Row],[vdma]]*TWO_LANE_HIGHWAY_G[[#This Row],[fatK]],TWO_LANE_HIGHWAY_G[[#This Row],[vdma]]*TWO_LANE_HIGHWAY_G[[#This Row],[fatK]])</calculatedColumnFormula>
    </tableColumn>
    <tableColumn id="21" name="distrib. direc." dataDxfId="540">
      <calculatedColumnFormula>$J$9/100</calculatedColumnFormula>
    </tableColumn>
    <tableColumn id="10" name="Vzão" dataDxfId="539">
      <calculatedColumnFormula>TWO_LANE_HIGHWAY_G[veic/h]*TWO_LANE_HIGHWAY_G[distrib. direc.]</calculatedColumnFormula>
    </tableColumn>
    <tableColumn id="35" name="acessos/km" dataDxfId="538">
      <calculatedColumnFormula>#REF!</calculatedColumnFormula>
    </tableColumn>
    <tableColumn id="7" name="Vel. Limite (km/h)" dataDxfId="537" dataCellStyle="Vírgula">
      <calculatedColumnFormula>0</calculatedColumnFormula>
    </tableColumn>
    <tableColumn id="22" name="BFFS" dataDxfId="536">
      <calculatedColumnFormula>IF(H14="Pista Simples",$J$4,$J$5)</calculatedColumnFormula>
    </tableColumn>
    <tableColumn id="33" name="% zonas s/ultra" dataDxfId="535">
      <calculatedColumnFormula>$J$11/100</calculatedColumnFormula>
    </tableColumn>
    <tableColumn id="23" name="PHF" dataDxfId="534"/>
    <tableColumn id="124" name="Colunas3" dataDxfId="533"/>
    <tableColumn id="26" name="fg ats" dataDxfId="532">
      <calculatedColumnFormula>IF(AND(TWO_LANE_HIGHWAY_G[vp1'']&lt;600,TWO_LANE_HIGHWAY_G[[#This Row],[plano/ondulado]]="Plano"),'HCM2000'!$F$34,IF(AND(TWO_LANE_HIGHWAY_G[vp1'']&lt;600,TWO_LANE_HIGHWAY_G[[#This Row],[plano/ondulado]]="Ondulado"),'HCM2000'!$G$34,
IF(AND(TWO_LANE_HIGHWAY_G[vp1'']&lt;1200,TWO_LANE_HIGHWAY_G[[#This Row],[plano/ondulado]]="Plano"),'HCM2000'!F$35,IF(AND(TWO_LANE_HIGHWAY_G[vp1'']&lt;1200,TWO_LANE_HIGHWAY_G[[#This Row],[plano/ondulado]]="Ondulado"),'HCM2000'!$G$35,
IF(AND(TWO_LANE_HIGHWAY_G[vp1'']&gt;1200,TWO_LANE_HIGHWAY_G[[#This Row],[plano/ondulado]]="Plano"),'HCM2000'!F$36,IF(AND(TWO_LANE_HIGHWAY_G[vp1'']&gt;1200,TWO_LANE_HIGHWAY_G[[#This Row],[plano/ondulado]]="Ondulado"),'HCM2000'!$G$36))))))</calculatedColumnFormula>
    </tableColumn>
    <tableColumn id="24" name="Et" dataDxfId="531">
      <calculatedColumnFormula>IF(AND(TWO_LANE_HIGHWAY_G[vp1'']&lt;600,TWO_LANE_HIGHWAY_G[[#This Row],[plano/ondulado]]="Plano"),'HCM2000'!$F$15,IF(AND(TWO_LANE_HIGHWAY_G[vp1'']&lt;600,TWO_LANE_HIGHWAY_G[[#This Row],[plano/ondulado]]="Ondulado"),'HCM2000'!$G$15,
IF(AND(TWO_LANE_HIGHWAY_G[vp1'']&lt;1200,TWO_LANE_HIGHWAY_G[[#This Row],[plano/ondulado]]="Plano"),'HCM2000'!F$16,IF(AND(TWO_LANE_HIGHWAY_G[vp1'']&lt;1200,TWO_LANE_HIGHWAY_G[[#This Row],[plano/ondulado]]="Ondulado"),'HCM2000'!$G$16,
IF(AND(TWO_LANE_HIGHWAY_G[vp1'']&gt;1200,TWO_LANE_HIGHWAY_G[[#This Row],[plano/ondulado]]="Plano"),'HCM2000'!F$17,IF(AND(TWO_LANE_HIGHWAY_G[vp1'']&gt;1200,TWO_LANE_HIGHWAY_G[[#This Row],[plano/ondulado]]="Ondulado"),'HCM2000'!$G$17))))))</calculatedColumnFormula>
    </tableColumn>
    <tableColumn id="49" name="Er" dataDxfId="530">
      <calculatedColumnFormula>IF(AND(TWO_LANE_HIGHWAY_G[vp1'']&lt;600,TWO_LANE_HIGHWAY_G[[#This Row],[plano/ondulado]]="Plano"),'HCM2000'!$F$18,IF(AND(TWO_LANE_HIGHWAY_G[vp1'']&lt;600,TWO_LANE_HIGHWAY_G[[#This Row],[plano/ondulado]]="Ondulado"),'HCM2000'!$G$18,
IF(AND(TWO_LANE_HIGHWAY_G[vp1'']&lt;1200,TWO_LANE_HIGHWAY_G[[#This Row],[plano/ondulado]]="Plano"),'HCM2000'!F$19,IF(AND(TWO_LANE_HIGHWAY_G[vp1'']&lt;1200,TWO_LANE_HIGHWAY_G[[#This Row],[plano/ondulado]]="Ondulado"),'HCM2000'!$G$19,
IF(AND(TWO_LANE_HIGHWAY_G[vp1'']&gt;1200,TWO_LANE_HIGHWAY_G[[#This Row],[plano/ondulado]]="Plano"),'HCM2000'!F$20,IF(AND(TWO_LANE_HIGHWAY_G[vp1'']&gt;1200,TWO_LANE_HIGHWAY_G[[#This Row],[plano/ondulado]]="Ondulado"),'HCM2000'!$G$20))))))</calculatedColumnFormula>
    </tableColumn>
    <tableColumn id="28" name="fhv ats" dataDxfId="529">
      <calculatedColumnFormula>1/(1+(TWO_LANE_HIGHWAY_G[[#This Row],[Pt]])*(TWO_LANE_HIGHWAY_G[[#This Row],[Et]]-1)+(TWO_LANE_HIGHWAY_G[[#This Row],[PRv]])*(TWO_LANE_HIGHWAY_G[[#This Row],[Er]]-1))</calculatedColumnFormula>
    </tableColumn>
    <tableColumn id="113" name="vp1_init" dataDxfId="528">
      <calculatedColumnFormula>TWO_LANE_HIGHWAY_G[veic/h]/TWO_LANE_HIGHWAY_G[PHF]</calculatedColumnFormula>
    </tableColumn>
    <tableColumn id="112" name="vp1'" dataDxfId="527"/>
    <tableColumn id="29" name="vp1" dataDxfId="526">
      <calculatedColumnFormula>TWO_LANE_HIGHWAY_G[veic/h]/(TWO_LANE_HIGHWAY_G[PHF]*TWO_LANE_HIGHWAY_G[fg ats]*TWO_LANE_HIGHWAY_G[fhv ats])</calculatedColumnFormula>
    </tableColumn>
    <tableColumn id="63" name="class?" dataDxfId="525">
      <calculatedColumnFormula>IF(TWO_LANE_HIGHWAY_G[[#This Row],[fg ats]]=IF(AND(TWO_LANE_HIGHWAY_G[[#This Row],[vp1]]&lt;600,TWO_LANE_HIGHWAY_G[[#This Row],[plano/ondulado]]="Plano"),'HCM2000'!$F$34,IF(AND(TWO_LANE_HIGHWAY_G[[#This Row],[vp1]]&lt;600,TWO_LANE_HIGHWAY_G[[#This Row],[plano/ondulado]]="Ondulado"),'HCM2000'!$G$34,
IF(AND(TWO_LANE_HIGHWAY_G[[#This Row],[vp1]]&lt;1200,TWO_LANE_HIGHWAY_G[[#This Row],[plano/ondulado]]="Plano"),'HCM2000'!F$35,IF(AND(TWO_LANE_HIGHWAY_G[[#This Row],[vp1]]&lt;1200,TWO_LANE_HIGHWAY_G[[#This Row],[plano/ondulado]]="Ondulado"),'HCM2000'!$G$35,
IF(AND(TWO_LANE_HIGHWAY_G[[#This Row],[vp1]]&gt;1200,TWO_LANE_HIGHWAY_G[[#This Row],[plano/ondulado]]="Plano"),'HCM2000'!F$36,IF(AND(TWO_LANE_HIGHWAY_G[[#This Row],[vp1]]&gt;1200,TWO_LANE_HIGHWAY_G[[#This Row],[plano/ondulado]]="Ondulado"),'HCM2000'!$G$36)))))),1,"X")</calculatedColumnFormula>
    </tableColumn>
    <tableColumn id="34" name="teste1" dataDxfId="524">
      <calculatedColumnFormula>IF(AND(TWO_LANE_HIGHWAY_G[[#This Row],[vp1]]*TWO_LANE_HIGHWAY_G[[#This Row],[distrib. direc.]]&lt;1700,TWO_LANE_HIGHWAY_G[[#This Row],[vp1]]&lt;3200),"OK!","FAIL")</calculatedColumnFormula>
    </tableColumn>
    <tableColumn id="30" name="fLS" dataDxfId="523">
      <calculatedColumnFormula>INDEX('HCM2000'!$L$68:$AF$83,MATCH(TWO_LANE_HIGHWAY_G[[#This Row],[faixa (m)]],'HCM2000'!$K$68:$K$83),MATCH(TWO_LANE_HIGHWAY_G[[#This Row],[acost (m)]],'HCM2000'!$L$67:$AF$67))</calculatedColumnFormula>
    </tableColumn>
    <tableColumn id="40" name="fA" dataDxfId="522">
      <calculatedColumnFormula>MIN(16,(2/3)*TWO_LANE_HIGHWAY_G[[#This Row],[acessos/km]])</calculatedColumnFormula>
    </tableColumn>
    <tableColumn id="39" name="FFS" dataDxfId="521">
      <calculatedColumnFormula>TWO_LANE_HIGHWAY_G[BFFS]-TWO_LANE_HIGHWAY_G[fLS]-TWO_LANE_HIGHWAY_G[fA]</calculatedColumnFormula>
    </tableColumn>
    <tableColumn id="56" name="X" dataDxfId="520" dataCellStyle="Vírgula">
      <calculatedColumnFormula>IFERROR(TWO_LANE_HIGHWAY_G[[#This Row],[vp1]],0)</calculatedColumnFormula>
    </tableColumn>
    <tableColumn id="55" name="Y" dataDxfId="519" dataCellStyle="Vírgula">
      <calculatedColumnFormula>IFERROR(TWO_LANE_HIGHWAY_G[[#This Row],[% zonas s/ultra]],0)</calculatedColumnFormula>
    </tableColumn>
    <tableColumn id="57" name="Table" dataDxfId="518">
      <calculatedColumnFormula>"FNP"</calculatedColumnFormula>
    </tableColumn>
    <tableColumn id="54" name="fnp'" dataDxfId="517"/>
    <tableColumn id="41" name="ATS" dataDxfId="516">
      <calculatedColumnFormula>TWO_LANE_HIGHWAY_G[FFS]-0.0125*MIN(TWO_LANE_HIGHWAY_G[[#This Row],[vp1]],TWO_LANE_HIGHWAY_G[[#This Row],[vp1'']])-TWO_LANE_HIGHWAY_G[fnp'']</calculatedColumnFormula>
    </tableColumn>
    <tableColumn id="27" name="fg time" dataDxfId="515">
      <calculatedColumnFormula>IF(AND(TWO_LANE_HIGHWAY_G[vp2'']/TWO_LANE_HIGHWAY_G[[#This Row],[PHF]]&lt;600,TWO_LANE_HIGHWAY_G[[#This Row],[plano/ondulado]]="Plano"),'HCM2000'!$F$40,IF(AND(TWO_LANE_HIGHWAY_G[vp2'']/TWO_LANE_HIGHWAY_G[[#This Row],[PHF]]&lt;600,TWO_LANE_HIGHWAY_G[[#This Row],[plano/ondulado]]="Ondulado"),'HCM2000'!$G$40,
IF(AND(TWO_LANE_HIGHWAY_G[vp2'']/TWO_LANE_HIGHWAY_G[[#This Row],[PHF]]&lt;1200,TWO_LANE_HIGHWAY_G[[#This Row],[plano/ondulado]]="Plano"),'HCM2000'!F$41,IF(AND(TWO_LANE_HIGHWAY_G[vp2'']/TWO_LANE_HIGHWAY_G[[#This Row],[PHF]]&lt;1200,TWO_LANE_HIGHWAY_G[[#This Row],[plano/ondulado]]="Ondulado"),'HCM2000'!$G$41,
IF(AND(TWO_LANE_HIGHWAY_G[vp2'']/TWO_LANE_HIGHWAY_G[[#This Row],[PHF]]&gt;1200,TWO_LANE_HIGHWAY_G[[#This Row],[plano/ondulado]]="Plano"),'HCM2000'!F$42,IF(AND(TWO_LANE_HIGHWAY_G[vp2'']/TWO_LANE_HIGHWAY_G[[#This Row],[PHF]]&gt;1200,TWO_LANE_HIGHWAY_G[[#This Row],[plano/ondulado]]="Ondulado"),'HCM2000'!$G$42))))))</calculatedColumnFormula>
    </tableColumn>
    <tableColumn id="25" name="Et time" dataDxfId="514">
      <calculatedColumnFormula>IF(AND(TWO_LANE_HIGHWAY_G[vp2'']&lt;600,TWO_LANE_HIGHWAY_G[[#This Row],[plano/ondulado]]="Plano"),'HCM2000'!$F$24,IF(AND(TWO_LANE_HIGHWAY_G[vp2'']&lt;600,TWO_LANE_HIGHWAY_G[[#This Row],[plano/ondulado]]="Ondulado"),'HCM2000'!$G$24,
IF(AND(TWO_LANE_HIGHWAY_G[vp2'']&lt;1200,TWO_LANE_HIGHWAY_G[[#This Row],[plano/ondulado]]="Plano"),'HCM2000'!F$25,IF(AND(TWO_LANE_HIGHWAY_G[vp2'']&lt;1200,TWO_LANE_HIGHWAY_G[[#This Row],[plano/ondulado]]="Ondulado"),'HCM2000'!$G$25,
IF(AND(TWO_LANE_HIGHWAY_G[vp2'']&gt;1200,TWO_LANE_HIGHWAY_G[[#This Row],[plano/ondulado]]="Plano"),'HCM2000'!F$26,IF(AND(TWO_LANE_HIGHWAY_G[vp2'']&gt;1200,TWO_LANE_HIGHWAY_G[[#This Row],[plano/ondulado]]="Ondulado"),'HCM2000'!$G$26))))))</calculatedColumnFormula>
    </tableColumn>
    <tableColumn id="50" name="Er time" dataDxfId="513">
      <calculatedColumnFormula>1</calculatedColumnFormula>
    </tableColumn>
    <tableColumn id="42" name="fhv follow" dataDxfId="512">
      <calculatedColumnFormula>1/(1+TWO_LANE_HIGHWAY_G[[#This Row],[Pt]]*(TWO_LANE_HIGHWAY_G[[#This Row],[Et time]]-1)+TWO_LANE_HIGHWAY_G[[#This Row],[PRv]]*(TWO_LANE_HIGHWAY_G[[#This Row],[Er time]]-1))</calculatedColumnFormula>
    </tableColumn>
    <tableColumn id="115" name="vp2_init" dataDxfId="511">
      <calculatedColumnFormula>TWO_LANE_HIGHWAY_G[veic/h]/TWO_LANE_HIGHWAY_G[PHF]</calculatedColumnFormula>
    </tableColumn>
    <tableColumn id="114" name="vp2'" dataDxfId="510"/>
    <tableColumn id="43" name="vp2" dataDxfId="509">
      <calculatedColumnFormula>TWO_LANE_HIGHWAY_G[veic/h]/(TWO_LANE_HIGHWAY_G[PHF]*TWO_LANE_HIGHWAY_G[fg time]*TWO_LANE_HIGHWAY_G[fhv follow])</calculatedColumnFormula>
    </tableColumn>
    <tableColumn id="44" name="teste2" dataDxfId="508">
      <calculatedColumnFormula>IF(AND(TWO_LANE_HIGHWAY_G[[#This Row],[vp2]]*TWO_LANE_HIGHWAY_G[[#This Row],[distrib. direc.]]&lt;1700,TWO_LANE_HIGHWAY_G[[#This Row],[vp2]]&lt;3200),"OK!","FAIL")</calculatedColumnFormula>
    </tableColumn>
    <tableColumn id="45" name="BPTSF" dataDxfId="507">
      <calculatedColumnFormula>100*(1-EXP(-0.000879*MIN(TWO_LANE_HIGHWAY_G[[#This Row],[vp2'']],TWO_LANE_HIGHWAY_G[[#This Row],[vp2]])))</calculatedColumnFormula>
    </tableColumn>
    <tableColumn id="62" name="X'" dataDxfId="506">
      <calculatedColumnFormula>IF(TYPE(TWO_LANE_HIGHWAY_G[distrib. direc.])&lt;&gt;1,0,TWO_LANE_HIGHWAY_G[distrib. direc.])</calculatedColumnFormula>
    </tableColumn>
    <tableColumn id="61" name="Y'" dataDxfId="505">
      <calculatedColumnFormula>IF(TYPE(TWO_LANE_HIGHWAY_G[vp2])&lt;&gt;1,0,TWO_LANE_HIGHWAY_G[vp2])</calculatedColumnFormula>
    </tableColumn>
    <tableColumn id="60" name="Z'" dataDxfId="504">
      <calculatedColumnFormula>IF(TYPE(TWO_LANE_HIGHWAY_G[% zonas s/ultra])&lt;&gt;1,0,TWO_LANE_HIGHWAY_G[% zonas s/ultra])</calculatedColumnFormula>
    </tableColumn>
    <tableColumn id="59" name="Table'" dataDxfId="503">
      <calculatedColumnFormula>"FDNP"</calculatedColumnFormula>
    </tableColumn>
    <tableColumn id="58" name="fd/np'" dataDxfId="502"/>
    <tableColumn id="46" name="PTSF" dataDxfId="501">
      <calculatedColumnFormula>TWO_LANE_HIGHWAY_G[BPTSF]+TWO_LANE_HIGHWAY_G[fd/np'']</calculatedColumnFormula>
    </tableColumn>
    <tableColumn id="52" name="v_c" dataDxfId="500">
      <calculatedColumnFormula>TWO_LANE_HIGHWAY_G[vp1]/3200</calculatedColumnFormula>
    </tableColumn>
    <tableColumn id="47" name="LOS_" dataDxfId="499">
      <calculatedColumnFormula>IF(AND(TWO_LANE_HIGHWAY_G[[#This Row],[teste1]]="OK!",TWO_LANE_HIGHWAY_G[[#This Row],[teste2]]="OK!"),IF(TWO_LANE_HIGHWAY_G[[#This Row],[Pista]]="Pista Simples",INDEX('HCM2000'!$C$134:$N$154,MATCH(ROUNDUP(TWO_LANE_HIGHWAY_G[[#This Row],[PTSF]]/5,0)*5,'HCM2000'!$B$134:$B$154),MATCH(ROUNDUP(TWO_LANE_HIGHWAY_G[[#This Row],[ATS]]/10,0)*10,'HCM2000'!$C$133:$N$133)),"-"),"F")</calculatedColumnFormula>
    </tableColumn>
    <tableColumn id="1" name="ATS_" dataDxfId="498">
      <calculatedColumnFormula>TWO_LANE_HIGHWAY_G[ATS]</calculatedColumnFormula>
    </tableColumn>
    <tableColumn id="2" name="PTSF_" dataDxfId="497">
      <calculatedColumnFormula>TWO_LANE_HIGHWAY_G[PTSF]</calculatedColumnFormula>
    </tableColumn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id="8" name="TWO_LANE_HIGHWAY_SG" displayName="TWO_LANE_HIGHWAY_SG" ref="AI11:CV12" headerRowDxfId="496" dataDxfId="495">
  <autoFilter ref="AI11:CV12"/>
  <tableColumns count="66">
    <tableColumn id="5" name="Type Terrain" dataDxfId="494">
      <calculatedColumnFormula>IF(INPUTS_SG[Type of terrain]="level",0,1)</calculatedColumnFormula>
    </tableColumn>
    <tableColumn id="51" name="fG_ATS_O_UP [20-13]" dataDxfId="493"/>
    <tableColumn id="13" name="fG_ATS_O_DOWN [20-7]" dataDxfId="492"/>
    <tableColumn id="52" name="ETC_ATS_O [20-18]" dataDxfId="491"/>
    <tableColumn id="7" name="ET_ATS_O_DOWN [20-9]" dataDxfId="490"/>
    <tableColumn id="8" name="ER_ATS_O_DOWN [20-9]" dataDxfId="489"/>
    <tableColumn id="53" name="ET_ATS_O_UP [20-15]" dataDxfId="488"/>
    <tableColumn id="54" name="ER_ATS_O_UP [20-17]" dataDxfId="487"/>
    <tableColumn id="14" name="fG_ATS_O" dataDxfId="486">
      <calculatedColumnFormula>IF(INPUTS_SG[Direction analysed ?]="up",TWO_LANE_HIGHWAY_SG[fG_ATS_O_DOWN '[20-7']],TWO_LANE_HIGHWAY_SG[fG_ATS_O_UP '[20-13']])</calculatedColumnFormula>
    </tableColumn>
    <tableColumn id="10" name="ET_ATS_O" dataDxfId="485">
      <calculatedColumnFormula>IF(INPUTS_SG[Direction analysed ?]="up",TWO_LANE_HIGHWAY_SG[ET_ATS_O_DOWN '[20-9']],TWO_LANE_HIGHWAY_SG[ET_ATS_O_UP '[20-15']])</calculatedColumnFormula>
    </tableColumn>
    <tableColumn id="9" name="ER_ATS_O" dataDxfId="484">
      <calculatedColumnFormula>IF(INPUTS_SG[Direction analysed ?]="up",TWO_LANE_HIGHWAY_SG[ER_ATS_O_DOWN '[20-9']],TWO_LANE_HIGHWAY_SG[ER_ATS_O_UP '[20-17']])</calculatedColumnFormula>
    </tableColumn>
    <tableColumn id="1" name="PTC_O' [%]" dataDxfId="483">
      <calculatedColumnFormula>IF(INPUTS_SG[Direction analysed ?]="up",1,0)*INPUTS_SG[PTC '[%']]</calculatedColumnFormula>
    </tableColumn>
    <tableColumn id="55" name="fHV_ATS_O [(20-14)]" dataDxfId="482">
      <calculatedColumnFormula>1/(1+TWO_LANE_HIGHWAY_SG[PTC_O'' '[%']]*INPUTS_SG[PT '[%']]*(TWO_LANE_HIGHWAY_SG[ETC_ATS_O '[20-18']]-1)+(1-TWO_LANE_HIGHWAY_SG[PTC_O'' '[%']])*INPUTS_SG[PT '[%']]*(TWO_LANE_HIGHWAY_SG[ET_ATS_O]-1)+INPUTS_SG[PR '[%']]*(TWO_LANE_HIGHWAY_SG[ER_ATS_O]-1))</calculatedColumnFormula>
    </tableColumn>
    <tableColumn id="2" name="Vo_ATS_init [pc/h]" dataDxfId="481">
      <calculatedColumnFormula>GENERAL_SG[VO '[veh/h']]/GENERAL_SG[PHF]</calculatedColumnFormula>
    </tableColumn>
    <tableColumn id="64" name="Vo_ATS_' [pc/h]" dataDxfId="480"/>
    <tableColumn id="56" name="Vo_ATS [pc/h]" dataDxfId="479">
      <calculatedColumnFormula>IFERROR(GENERAL_SG[VO '[veh/h']]/(GENERAL_SG[PHF]*TWO_LANE_HIGHWAY_SG[fG_ATS_O]*TWO_LANE_HIGHWAY_SG[fHV_ATS_O '[(20-14)']]),0)</calculatedColumnFormula>
    </tableColumn>
    <tableColumn id="16" name="fG_ATS_D_UP [20-13]" dataDxfId="478"/>
    <tableColumn id="12" name="fG_ATS_D_DOWN [20-7]" dataDxfId="477"/>
    <tableColumn id="24" name="ETC_ATS_D [20-18]" dataDxfId="476"/>
    <tableColumn id="20" name="ET_ATS_D_DOWN [20-9]" dataDxfId="475"/>
    <tableColumn id="23" name="ER_ATS_D_DOWN [20-9]" dataDxfId="474"/>
    <tableColumn id="21" name="ET_ATS_D_UP [20-15]" dataDxfId="473"/>
    <tableColumn id="22" name="ER_ATS_D_UP [20-17]" dataDxfId="472"/>
    <tableColumn id="11" name="fG_ATS_D" dataDxfId="471">
      <calculatedColumnFormula>IF(INPUTS_SG[Direction analysed ?]="up",TWO_LANE_HIGHWAY_SG[fG_ATS_D_UP '[20-13']],TWO_LANE_HIGHWAY_SG[fG_ATS_D_DOWN '[20-7']])</calculatedColumnFormula>
    </tableColumn>
    <tableColumn id="15" name="ET_ATS_D" dataDxfId="470">
      <calculatedColumnFormula>IF(INPUTS_SG[Direction analysed ?]="up",TWO_LANE_HIGHWAY_SG[ET_ATS_D_UP '[20-15']],TWO_LANE_HIGHWAY_SG[ET_ATS_D_DOWN '[20-9']])</calculatedColumnFormula>
    </tableColumn>
    <tableColumn id="19" name="ER_ATS_D" dataDxfId="469">
      <calculatedColumnFormula>IF(INPUTS_SG[Direction analysed ?]="up",TWO_LANE_HIGHWAY_SG[ER_ATS_D_UP '[20-17']],TWO_LANE_HIGHWAY_SG[ER_ATS_D_DOWN '[20-9']])</calculatedColumnFormula>
    </tableColumn>
    <tableColumn id="6" name="PTC_D' [%]" dataDxfId="468">
      <calculatedColumnFormula>IF(INPUTS_SG[Direction analysed ?]="up",0,1)*INPUTS_SG[PTC '[%']]</calculatedColumnFormula>
    </tableColumn>
    <tableColumn id="17" name="fHV_ATS_D [(20-14)]" dataDxfId="467">
      <calculatedColumnFormula>1/(1+TWO_LANE_HIGHWAY_SG[PTC_D'' '[%']]*INPUTS_SG[PT '[%']]*(TWO_LANE_HIGHWAY_SG[ETC_ATS_D '[20-18']]-1)+(1-TWO_LANE_HIGHWAY_SG[PTC_D'' '[%']])*INPUTS_SG[PT '[%']]*(TWO_LANE_HIGHWAY_SG[ET_ATS_D]-1)+INPUTS_SG[PR '[%']]*(TWO_LANE_HIGHWAY_SG[ER_ATS_D]-1))</calculatedColumnFormula>
    </tableColumn>
    <tableColumn id="4" name="Vd_ATS_init [pc/h]" dataDxfId="466">
      <calculatedColumnFormula>GENERAL_SG[VD '[veh/h']]/GENERAL_SG[PHF]</calculatedColumnFormula>
    </tableColumn>
    <tableColumn id="3" name="Vd_ATS_' [pc/h]" dataDxfId="465"/>
    <tableColumn id="18" name="Vd_ATS [pc/h]" dataDxfId="464">
      <calculatedColumnFormula>IFERROR(GENERAL_SG[VD '[veh/h']]/(GENERAL_SG[PHF]*TWO_LANE_HIGHWAY_SG[fG_ATS_D]*TWO_LANE_HIGHWAY_SG[fHV_ATS_D '[(20-14)']]),0)</calculatedColumnFormula>
    </tableColumn>
    <tableColumn id="34" name="fnp_ATS [20-19]" dataDxfId="463"/>
    <tableColumn id="35" name="FFSd [km/h]" dataDxfId="462">
      <calculatedColumnFormula>GENERAL_SG[[#This Row],[FFS  '[km/h']]]</calculatedColumnFormula>
    </tableColumn>
    <tableColumn id="36" name="ATSd  [km/h]" dataDxfId="461">
      <calculatedColumnFormula>TWO_LANE_HIGHWAY_SG[FFSd '[km/h']]-0.0125*(MIN(TWO_LANE_HIGHWAY_SG[[#This Row],[Vo_ATS '[pc/h']]],TWO_LANE_HIGHWAY_SG[[#This Row],[Vo_ATS_'' '[pc/h']]])+MIN(TWO_LANE_HIGHWAY_SG[[#This Row],[Vd_ATS_'' '[pc/h']]],TWO_LANE_HIGHWAY_SG[[#This Row],[Vd_ATS '[pc/h']]]))-TWO_LANE_HIGHWAY_SG[fnp_ATS '[20-19']]</calculatedColumnFormula>
    </tableColumn>
    <tableColumn id="57" name="fG_PTSF_O_UP [20-14]" dataDxfId="460"/>
    <tableColumn id="69" name="fG_PTSF_O_DOWN [20-8]" dataDxfId="459"/>
    <tableColumn id="32" name="ET_PTSF_O_DOWN [20-10]" dataDxfId="458"/>
    <tableColumn id="33" name="ER_PTSF_O_DOWN [20-10]" dataDxfId="457">
      <calculatedColumnFormula>1</calculatedColumnFormula>
    </tableColumn>
    <tableColumn id="59" name="ET_PTSF_O_UP [20-16]" dataDxfId="456"/>
    <tableColumn id="60" name="ER_PTSF_O_UP [20-16]" dataDxfId="455">
      <calculatedColumnFormula>1</calculatedColumnFormula>
    </tableColumn>
    <tableColumn id="68" name="FG_PTSF_O" dataDxfId="454">
      <calculatedColumnFormula>IF(INPUTS_SG[Direction analysed ?]="up",TWO_LANE_HIGHWAY_SG[fG_PTSF_O_DOWN '[20-8']],TWO_LANE_HIGHWAY_SG[fG_PTSF_O_UP '[20-14']])</calculatedColumnFormula>
    </tableColumn>
    <tableColumn id="29" name="ET_PTSF_O" dataDxfId="453">
      <calculatedColumnFormula>IF(INPUTS_SG[Direction analysed ?]="up",TWO_LANE_HIGHWAY_SG[ET_PTSF_O_DOWN '[20-10']],TWO_LANE_HIGHWAY_SG[ET_PTSF_O_UP '[20-16']])</calculatedColumnFormula>
    </tableColumn>
    <tableColumn id="30" name="ER_PTSF_O" dataDxfId="452">
      <calculatedColumnFormula>IF(INPUTS_SG[Direction analysed ?]="up",TWO_LANE_HIGHWAY_SG[ER_PTSF_O_DOWN '[20-10']],TWO_LANE_HIGHWAY_SG[ER_PTSF_O_UP '[20-16']])</calculatedColumnFormula>
    </tableColumn>
    <tableColumn id="61" name="fHV_PTSF_O" dataDxfId="451">
      <calculatedColumnFormula>1/(1+INPUTS_SG[PT '[%']]*(TWO_LANE_HIGHWAY_SG[ET_PTSF_O]-1)+INPUTS_SG[PR '[%']]*(TWO_LANE_HIGHWAY_SG[ER_PTSF_O]-1))</calculatedColumnFormula>
    </tableColumn>
    <tableColumn id="28" name="Vo_PTSF_init [pc/h]" dataDxfId="450">
      <calculatedColumnFormula>TWO_LANE_HIGHWAY_SG[Vo_ATS_init '[pc/h']]</calculatedColumnFormula>
    </tableColumn>
    <tableColumn id="27" name="Vo_PTSF_' [pc/h]" dataDxfId="449"/>
    <tableColumn id="63" name="Vo_PTSF [pc/h]" dataDxfId="448">
      <calculatedColumnFormula>IFERROR(GENERAL_SG[VO '[veh/h']]/(GENERAL_SG[PHF]*TWO_LANE_HIGHWAY_SG[FG_PTSF_O]*TWO_LANE_HIGHWAY_SG[fHV_PTSF_O]),0)</calculatedColumnFormula>
    </tableColumn>
    <tableColumn id="38" name="fG_PTSF_D_UP [20-14]" dataDxfId="447"/>
    <tableColumn id="70" name="fG_PTSF_D_DOWN [20-8]" dataDxfId="446"/>
    <tableColumn id="67" name="ET_PTSF_D_DOWN [20-10]" dataDxfId="445"/>
    <tableColumn id="66" name="ER_PTSF_D_DOWN  [20-10]" dataDxfId="444">
      <calculatedColumnFormula>1</calculatedColumnFormula>
    </tableColumn>
    <tableColumn id="40" name="ET_PTSF_D_UP [20-16]" dataDxfId="443"/>
    <tableColumn id="41" name="ER_PTSF_D_UP [20-16]" dataDxfId="442">
      <calculatedColumnFormula>1</calculatedColumnFormula>
    </tableColumn>
    <tableColumn id="71" name="FG_PTSF_D" dataDxfId="441">
      <calculatedColumnFormula>IF(INPUTS_SG[Direction analysed ?]="up",TWO_LANE_HIGHWAY_SG[fG_PTSF_D_UP '[20-14']],TWO_LANE_HIGHWAY_SG[fG_PTSF_D_DOWN '[20-8']])</calculatedColumnFormula>
    </tableColumn>
    <tableColumn id="44" name="ET_PTSF_D" dataDxfId="440">
      <calculatedColumnFormula>IF(INPUTS_SG[Direction analysed ?]="up",TWO_LANE_HIGHWAY_SG[ET_PTSF_D_UP '[20-16']],TWO_LANE_HIGHWAY_SG[ET_PTSF_D_DOWN '[20-10']])</calculatedColumnFormula>
    </tableColumn>
    <tableColumn id="62" name="ER_PTSF_D" dataDxfId="439">
      <calculatedColumnFormula>IF(INPUTS_SG[Direction analysed ?]="up",TWO_LANE_HIGHWAY_SG[ER_PTSF_D_UP '[20-16']],TWO_LANE_HIGHWAY_SG[ER_PTSF_D_DOWN  '[20-10']])</calculatedColumnFormula>
    </tableColumn>
    <tableColumn id="42" name="fHV_PTSF_D" dataDxfId="438">
      <calculatedColumnFormula>1/(1+INPUTS_SG[PT '[%']]*(TWO_LANE_HIGHWAY_SG[ET_PTSF_D]-1)+INPUTS_SG[PR '[%']]*(TWO_LANE_HIGHWAY_SG[ER_PTSF_D]-1))</calculatedColumnFormula>
    </tableColumn>
    <tableColumn id="65" name="Vd_PTSF_init [pc/h]" dataDxfId="437">
      <calculatedColumnFormula>TWO_LANE_HIGHWAY_SG[Vd_ATS_init '[pc/h']]</calculatedColumnFormula>
    </tableColumn>
    <tableColumn id="37" name="Vd_PTSF_' [pc/h]" dataDxfId="436"/>
    <tableColumn id="43" name="Vd_PTSF [pc/h]" dataDxfId="435" totalsRowDxfId="434">
      <calculatedColumnFormula>IFERROR(GENERAL_SG[VD '[veh/h']]/(GENERAL_SG[PHF]*TWO_LANE_HIGHWAY_SG[FG_PTSF_D]*TWO_LANE_HIGHWAY_SG[fHV_PTSF_D]),0)</calculatedColumnFormula>
    </tableColumn>
    <tableColumn id="45" name="fnp_PTSF [20-20]" dataDxfId="433" totalsRowDxfId="432"/>
    <tableColumn id="46" name="a [20-21]" dataDxfId="431" totalsRowDxfId="430"/>
    <tableColumn id="49" name="b [20-21]" dataDxfId="429" totalsRowDxfId="428"/>
    <tableColumn id="48" name="BPTSFd [%]" dataDxfId="427" totalsRowDxfId="426">
      <calculatedColumnFormula>100*(1-EXP(TWO_LANE_HIGHWAY_SG[a '[20-21']]*MIN(TWO_LANE_HIGHWAY_SG[[#This Row],[Vd_PTSF '[pc/h']]],TWO_LANE_HIGHWAY_SG[[#This Row],[Vd_PTSF_'' '[pc/h']]])^TWO_LANE_HIGHWAY_SG[b '[20-21']]))</calculatedColumnFormula>
    </tableColumn>
    <tableColumn id="47" name="PTSFd [%]" dataDxfId="425" totalsRowDxfId="424">
      <calculatedColumnFormula>TWO_LANE_HIGHWAY_SG[BPTSFd '[%']]+TWO_LANE_HIGHWAY_SG[fnp_PTSF '[20-20']]</calculatedColumnFormula>
    </tableColumn>
    <tableColumn id="50" name="LOS [20-2]" dataDxfId="423" totalsRowDxfId="422">
      <calculatedColumnFormula>IF(TWO_LANE_HIGHWAY_SG[[#This Row],[Vd_ATS '[pc/h']]]&gt;1700,"F",INDEX('HCM2000'!$C$134:$N$154,MATCH(ROUNDUP(TWO_LANE_HIGHWAY_SG[[#This Row],[PTSFd '[%']]]/5,0)*5,'HCM2000'!$B$134:$B$154),MATCH(ROUNDUP(TWO_LANE_HIGHWAY_SG[[#This Row],[ATSd  '[km/h']]]/10,0)*10,'HCM2000'!$C$133:$N$133)))</calculatedColumnFormula>
    </tableColumn>
  </tableColumns>
  <tableStyleInfo name="TableStyleMedium18" showFirstColumn="0" showLastColumn="0" showRowStripes="1" showColumnStripes="0"/>
</table>
</file>

<file path=xl/tables/table6.xml><?xml version="1.0" encoding="utf-8"?>
<table xmlns="http://schemas.openxmlformats.org/spreadsheetml/2006/main" id="13" name="INPUTS_SG" displayName="INPUTS_SG" ref="A11:W12" totalsRowShown="0" headerRowDxfId="421" dataDxfId="420">
  <autoFilter ref="A11:W12"/>
  <tableColumns count="23">
    <tableColumn id="16" name="ID" dataDxfId="419"/>
    <tableColumn id="1" name="Grade [%]" dataDxfId="418"/>
    <tableColumn id="2" name="Length [km]" dataDxfId="417"/>
    <tableColumn id="19" name="Direction analysed ?" dataDxfId="416"/>
    <tableColumn id="18" name="Type of terrain_'" dataDxfId="415"/>
    <tableColumn id="6" name="Type of terrain" dataDxfId="414">
      <calculatedColumnFormula>"Level"</calculatedColumnFormula>
    </tableColumn>
    <tableColumn id="13" name="Lane width [m]" dataDxfId="413"/>
    <tableColumn id="15" name="Shoulder width [m]" dataDxfId="412"/>
    <tableColumn id="14" name="Model" dataDxfId="411">
      <calculatedColumnFormula>"Spe. Grad."</calculatedColumnFormula>
    </tableColumn>
    <tableColumn id="3" name="Access points /km [1]" dataDxfId="410"/>
    <tableColumn id="4" name="No passing zone [%]" dataDxfId="409"/>
    <tableColumn id="5" name="Cars [VDMA]" dataDxfId="408"/>
    <tableColumn id="7" name="Trucks [VDMA]" dataDxfId="407"/>
    <tableColumn id="8" name="Direction Split [%]" dataDxfId="406">
      <calculatedColumnFormula>292/(292+239)</calculatedColumnFormula>
    </tableColumn>
    <tableColumn id="17" name="Truck crawl speed [km/h]" dataDxfId="405">
      <calculatedColumnFormula>70</calculatedColumnFormula>
    </tableColumn>
    <tableColumn id="9" name="PTC [%]" dataDxfId="404"/>
    <tableColumn id="10" name="PT [%]" dataDxfId="403">
      <calculatedColumnFormula>INPUTS_SG[Trucks '[VDMA']]/(INPUTS_SG[Cars '[VDMA']]+INPUTS_SG[Trucks '[VDMA']])</calculatedColumnFormula>
    </tableColumn>
    <tableColumn id="11" name="PR [%]" dataDxfId="402"/>
    <tableColumn id="12" name="PHF" dataDxfId="401"/>
    <tableColumn id="20" name="BFFS  [km/h]" dataDxfId="400"/>
    <tableColumn id="21" name="LOS_" dataDxfId="399">
      <calculatedColumnFormula>TWO_LANE_HIGHWAY_SG[LOS '[20-2']]</calculatedColumnFormula>
    </tableColumn>
    <tableColumn id="22" name="ATS_" dataDxfId="398">
      <calculatedColumnFormula>TWO_LANE_HIGHWAY_SG[ATSd  '[km/h']]</calculatedColumnFormula>
    </tableColumn>
    <tableColumn id="24" name="PTSF_" dataDxfId="397">
      <calculatedColumnFormula>TWO_LANE_HIGHWAY_SG[PTSFd '[%']]</calculatedColumnFormula>
    </tableColumn>
  </tableColumns>
  <tableStyleInfo name="TableStyleMedium18" showFirstColumn="0" showLastColumn="0" showRowStripes="1" showColumnStripes="0"/>
</table>
</file>

<file path=xl/tables/table7.xml><?xml version="1.0" encoding="utf-8"?>
<table xmlns="http://schemas.openxmlformats.org/spreadsheetml/2006/main" id="14" name="GENERAL_SG" displayName="GENERAL_SG" ref="Y11:AG12" totalsRowShown="0" headerRowDxfId="396" dataDxfId="395">
  <autoFilter ref="Y11:AG12"/>
  <tableColumns count="9">
    <tableColumn id="1" name="PHF" dataDxfId="394">
      <calculatedColumnFormula>INPUTS_SG[PHF]</calculatedColumnFormula>
    </tableColumn>
    <tableColumn id="4" name="VD [veh/h]" dataDxfId="393">
      <calculatedColumnFormula>(INPUTS_SG[Cars '[VDMA']]+INPUTS_SG[Trucks '[VDMA']])*GENERAL_SG[VDMA to veh/h ]*INPUTS_SG[Direction Split '[%']]</calculatedColumnFormula>
    </tableColumn>
    <tableColumn id="5" name="VO [veh/h]" dataDxfId="392">
      <calculatedColumnFormula>(INPUTS_SG[Cars '[VDMA']]+INPUTS_SG[Trucks '[VDMA']])*GENERAL_SG[VDMA to veh/h ]*(1-INPUTS_SG[Direction Split '[%']])</calculatedColumnFormula>
    </tableColumn>
    <tableColumn id="8" name="BFFS  [km/h]" dataDxfId="391">
      <calculatedColumnFormula>INPUTS_SG[BFFS  '[km/h']]</calculatedColumnFormula>
    </tableColumn>
    <tableColumn id="7" name="fLS [20-5]" dataDxfId="390">
      <calculatedColumnFormula>INDEX('HCM2000'!$L$68:$AF$83,MATCH(INPUTS_SG[Lane width '[m']],'HCM2000'!$K$68:$K$83),MATCH(INPUTS_SG[Shoulder width '[m']],'HCM2000'!$L$67:$AF$67)+1)</calculatedColumnFormula>
    </tableColumn>
    <tableColumn id="6" name="fA [20-6]" dataDxfId="389">
      <calculatedColumnFormula>MIN(16,2/3*INPUTS_SG[Access points /km '[1']])</calculatedColumnFormula>
    </tableColumn>
    <tableColumn id="2" name="FFS  [km/h]" dataDxfId="388">
      <calculatedColumnFormula>GENERAL_SG[BFFS  '[km/h']]-GENERAL_SG[fLS '[20-5']]-GENERAL_SG[fA '[20-6']]</calculatedColumnFormula>
    </tableColumn>
    <tableColumn id="3" name="VDMA to veh/h " dataDxfId="387">
      <calculatedColumnFormula>0.12</calculatedColumnFormula>
    </tableColumn>
    <tableColumn id="10" name="FFS - Truck scrawl speed" dataDxfId="386">
      <calculatedColumnFormula>GENERAL_SG[FFS  '[km/h']] - INPUTS_SG[Truck crawl speed '[km/h']]</calculatedColumnFormula>
    </tableColumn>
  </tableColumns>
  <tableStyleInfo name="TableStyleMedium18" showFirstColumn="0" showLastColumn="0" showRowStripes="1" showColumnStripes="0"/>
</table>
</file>

<file path=xl/tables/table8.xml><?xml version="1.0" encoding="utf-8"?>
<table xmlns="http://schemas.openxmlformats.org/spreadsheetml/2006/main" id="21" name="MULTILANE_HIGHWAY" displayName="MULTILANE_HIGHWAY" ref="B13:CF14" totalsRowShown="0" headerRowDxfId="385" dataDxfId="384">
  <autoFilter ref="B13:CF14"/>
  <sortState ref="B14:CG48">
    <sortCondition ref="B13:B48"/>
  </sortState>
  <tableColumns count="83">
    <tableColumn id="125" name="ID" dataDxfId="383" dataCellStyle="Normal 5 2"/>
    <tableColumn id="89" name="Estado" dataDxfId="382" dataCellStyle="Normal 5 2"/>
    <tableColumn id="90" name="Municipio" dataDxfId="381" dataCellStyle="Normal 5 2"/>
    <tableColumn id="91" name="km Inicial" dataDxfId="380" dataCellStyle="Normal 5 2"/>
    <tableColumn id="92" name="km Final" dataDxfId="379" dataCellStyle="Normal 5 2"/>
    <tableColumn id="93" name="Extensão" dataDxfId="378" dataCellStyle="Normal 5 2"/>
    <tableColumn id="94" name="Pista" dataDxfId="377" dataCellStyle="Normal 5 2">
      <calculatedColumnFormula>"Dupla"</calculatedColumnFormula>
    </tableColumn>
    <tableColumn id="95" name="Sentido" dataDxfId="376" dataCellStyle="Normal 5 2"/>
    <tableColumn id="96" name="Número de Faixas" dataDxfId="375" dataCellStyle="Normal 5 2"/>
    <tableColumn id="97" name="Largura das Faixas" dataDxfId="374" dataCellStyle="Normal 5 2"/>
    <tableColumn id="98" name="Acostamento" dataDxfId="373" dataCellStyle="Normal 5 2"/>
    <tableColumn id="99" name="Largura Acost." dataDxfId="372" dataCellStyle="Normal 5 2"/>
    <tableColumn id="100" name="Degrau Acost." dataDxfId="371" dataCellStyle="Normal 5 2"/>
    <tableColumn id="101" name="Faixa de Segurança" dataDxfId="370" dataCellStyle="Normal 5 2"/>
    <tableColumn id="102" name="Separador" dataDxfId="369" dataCellStyle="Normal 5 2"/>
    <tableColumn id="103" name="Vias Marginais" dataDxfId="368" dataCellStyle="Normal 5"/>
    <tableColumn id="104" name="Num. Faixas Marg." dataDxfId="367" dataCellStyle="Normal 5"/>
    <tableColumn id="9" name="Largura Marg." dataDxfId="366" dataCellStyle="Normal 5"/>
    <tableColumn id="105" name="Colunas1" dataDxfId="365"/>
    <tableColumn id="106" name="Trecho " dataDxfId="364"/>
    <tableColumn id="107" name="passeio" dataDxfId="363"/>
    <tableColumn id="108" name="pesado" dataDxfId="362"/>
    <tableColumn id="109" name="Colunas2" dataDxfId="361"/>
    <tableColumn id="6" name="tipo" dataDxfId="360">
      <calculatedColumnFormula>IF(OR(H14="Dupla",H14="Pista Dupla"),4,1)</calculatedColumnFormula>
    </tableColumn>
    <tableColumn id="75" name="LOS" dataDxfId="359">
      <calculatedColumnFormula>INDIRECT(CONCATENATE(IF(MULTILANE_HIGHWAY[[#This Row],[tipo]]=1,$AH$4,IF(MULTILANE_HIGHWAY[[#This Row],[tipo]]=2,$AH$5,IF(MULTILANE_HIGHWAY[[#This Row],[tipo]]=3,$AH$6,IF(MULTILANE_HIGHWAY[[#This Row],[tipo]]=4,$AH$7))))&amp;ROW()))</calculatedColumnFormula>
    </tableColumn>
    <tableColumn id="14" name="rural/urbano" dataDxfId="358"/>
    <tableColumn id="18" name="plano/ondulado" dataDxfId="357"/>
    <tableColumn id="36" name="faixa (m)" dataDxfId="356">
      <calculatedColumnFormula>MULTILANE_HIGHWAY[Largura das Faixas]</calculatedColumnFormula>
    </tableColumn>
    <tableColumn id="38" name="acost (m)" dataDxfId="355">
      <calculatedColumnFormula>MULTILANE_HIGHWAY[Largura Acost.]</calculatedColumnFormula>
    </tableColumn>
    <tableColumn id="17" name="passeio'" dataDxfId="354">
      <calculatedColumnFormula>MULTILANE_HIGHWAY[passeio]</calculatedColumnFormula>
    </tableColumn>
    <tableColumn id="16" name="pesado'" dataDxfId="353">
      <calculatedColumnFormula>MULTILANE_HIGHWAY[pesado]</calculatedColumnFormula>
    </tableColumn>
    <tableColumn id="19" name="vdma" dataDxfId="352">
      <calculatedColumnFormula>MULTILANE_HIGHWAY[passeio'']+MULTILANE_HIGHWAY[pesado'']</calculatedColumnFormula>
    </tableColumn>
    <tableColumn id="8" name="Pt" dataDxfId="351">
      <calculatedColumnFormula>MULTILANE_HIGHWAY[pesado'']/MULTILANE_HIGHWAY[vdma]</calculatedColumnFormula>
    </tableColumn>
    <tableColumn id="37" name="PRv" dataDxfId="350">
      <calculatedColumnFormula>3%</calculatedColumnFormula>
    </tableColumn>
    <tableColumn id="53" name="fatK" dataDxfId="13">
      <calculatedColumnFormula>0.12</calculatedColumnFormula>
    </tableColumn>
    <tableColumn id="20" name="veic/h" dataDxfId="349">
      <calculatedColumnFormula>IF(MULTILANE_HIGHWAY[[#This Row],[Pista]]="Pista Simples",MULTILANE_HIGHWAY[[#This Row],[vdma]]*MULTILANE_HIGHWAY[[#This Row],[fatK]],MULTILANE_HIGHWAY[[#This Row],[vdma]]*MULTILANE_HIGHWAY[[#This Row],[fatK]])</calculatedColumnFormula>
    </tableColumn>
    <tableColumn id="21" name="distrib. direc." dataDxfId="348">
      <calculatedColumnFormula>$J$9/100</calculatedColumnFormula>
    </tableColumn>
    <tableColumn id="10" name="Vzão" dataDxfId="347">
      <calculatedColumnFormula>MULTILANE_HIGHWAY[veic/h]*MULTILANE_HIGHWAY[distrib. direc.]</calculatedColumnFormula>
    </tableColumn>
    <tableColumn id="35" name="acessos/km" dataDxfId="346">
      <calculatedColumnFormula>#REF!</calculatedColumnFormula>
    </tableColumn>
    <tableColumn id="7" name="Vel. Limite (km/h)" dataDxfId="345" dataCellStyle="Vírgula">
      <calculatedColumnFormula>0</calculatedColumnFormula>
    </tableColumn>
    <tableColumn id="22" name="BFFS" dataDxfId="344">
      <calculatedColumnFormula>IF(H14="Pista Simples",$J$4,$J$5)</calculatedColumnFormula>
    </tableColumn>
    <tableColumn id="33" name="% zonas s/ultra" dataDxfId="343">
      <calculatedColumnFormula>$J$11/100</calculatedColumnFormula>
    </tableColumn>
    <tableColumn id="23" name="PHF" dataDxfId="342">
      <calculatedColumnFormula>#REF!</calculatedColumnFormula>
    </tableColumn>
    <tableColumn id="124" name="Colunas3" dataDxfId="341"/>
    <tableColumn id="83" name="fLW" dataDxfId="340">
      <calculatedColumnFormula>VLOOKUP(MULTILANE_HIGHWAY[faixa (m)],'HCM2000'!$B$541:$C$547,2,TRUE)</calculatedColumnFormula>
    </tableColumn>
    <tableColumn id="84" name="Lcr" dataDxfId="339">
      <calculatedColumnFormula>IF(MULTILANE_HIGHWAY[acost (m)]&gt;0,1.8,1.2)</calculatedColumnFormula>
    </tableColumn>
    <tableColumn id="85" name="Lcl" dataDxfId="338">
      <calculatedColumnFormula>IF(MULTILANE_HIGHWAY[Separador]=$AU$6,$AW$6,IF(MULTILANE_HIGHWAY[Separador]=$AU$7,$AW$7,$AW$8))</calculatedColumnFormula>
    </tableColumn>
    <tableColumn id="86" name="fLC" dataDxfId="337">
      <calculatedColumnFormula>IF(MULTILANE_HIGHWAY[Número de Faixas]=2,VLOOKUP(MULTILANE_HIGHWAY[Lcr]+MULTILANE_HIGHWAY[Lcl],'HCM2000'!$B$551:$D$587,2,FALSE),IF(MULTILANE_HIGHWAY[Número de Faixas]&gt;=3,VLOOKUP(MULTILANE_HIGHWAY[Lcr]+MULTILANE_HIGHWAY[Lcl],'HCM2000'!$B$551:$D$587,3,FALSE),"Pista simples"))</calculatedColumnFormula>
    </tableColumn>
    <tableColumn id="79" name="fM" dataDxfId="336">
      <calculatedColumnFormula>IF(MULTILANE_HIGHWAY[Separador]="Sinalização horizontal",'HCM2000'!$C$590,'HCM2000'!$C$591)</calculatedColumnFormula>
    </tableColumn>
    <tableColumn id="80" name="fA2" dataDxfId="335">
      <calculatedColumnFormula>MIN((2/3)*MULTILANE_HIGHWAY[[#This Row],[acessos/km]],16)</calculatedColumnFormula>
    </tableColumn>
    <tableColumn id="81" name="FFS2" dataDxfId="334">
      <calculatedColumnFormula>IF(MULTILANE_HIGHWAY[fLC]="Pista simples","-",MULTILANE_HIGHWAY[BFFS]-MULTILANE_HIGHWAY[fLW]-MULTILANE_HIGHWAY[fLC]-MULTILANE_HIGHWAY[fM]-MULTILANE_HIGHWAY[fA2])</calculatedColumnFormula>
    </tableColumn>
    <tableColumn id="82" name="Et2" dataDxfId="333">
      <calculatedColumnFormula>IF(MULTILANE_HIGHWAY[plano/ondulado]="Montanhoso",MULTILANE_HIGHWAY[Para PT&lt;],VLOOKUP(MULTILANE_HIGHWAY[plano/ondulado],'HCM2000'!$B$606:$C$608,2,FALSE))</calculatedColumnFormula>
    </tableColumn>
    <tableColumn id="51" name="Er2" dataDxfId="332">
      <calculatedColumnFormula>IF(MULTILANE_HIGHWAY[[#This Row],[plano/ondulado]]="Montanhoso",MULTILANE_HIGHWAY[[#This Row],[Para PT&lt;]],VLOOKUP(MULTILANE_HIGHWAY[[#This Row],[plano/ondulado]],'HCM2000'!$E$606:$F$608,2,FALSE))</calculatedColumnFormula>
    </tableColumn>
    <tableColumn id="5" name="fHV" dataDxfId="331">
      <calculatedColumnFormula>1/(1+(MULTILANE_HIGHWAY[Pt]*(MULTILANE_HIGHWAY[Et2]-1))+(MULTILANE_HIGHWAY[PRv]*(MULTILANE_HIGHWAY[Er2]-1)))</calculatedColumnFormula>
    </tableColumn>
    <tableColumn id="76" name="N" dataDxfId="15">
      <calculatedColumnFormula>MULTILANE_HIGHWAY[[#This Row],[Número de Faixas]]+IF(MULTILANE_HIGHWAY[[#This Row],[Num. Faixas Marg.]]="-",0,MULTILANE_HIGHWAY[[#This Row],[Num. Faixas Marg.]])</calculatedColumnFormula>
    </tableColumn>
    <tableColumn id="77" name="vp3" dataDxfId="330">
      <calculatedColumnFormula>MULTILANE_HIGHWAY[[#This Row],[Vzão]]/(MULTILANE_HIGHWAY[[#This Row],[PHF]]*MULTILANE_HIGHWAY[[#This Row],[N]]*MULTILANE_HIGHWAY[[#This Row],[fHV]])</calculatedColumnFormula>
    </tableColumn>
    <tableColumn id="78" name="D" dataDxfId="329">
      <calculatedColumnFormula>IF(MULTILANE_HIGHWAY[fLC]="Pista simples","-",MULTILANE_HIGHWAY[vp3]/MULTILANE_HIGHWAY[S])</calculatedColumnFormula>
    </tableColumn>
    <tableColumn id="3" name="S" dataDxfId="328">
      <calculatedColumnFormula>IF(MULTILANE_HIGHWAY[vp3]&lt;=1400,MULTILANE_HIGHWAY[FFS2],
IF(MULTILANE_HIGHWAY[FFS2]&lt;=70,MULTILANE_HIGHWAY[FFS2]-(($BB$7*MULTILANE_HIGHWAY[FFS2]-$BC$7)*((MULTILANE_HIGHWAY[vp3]-1400)/($BD$7*MULTILANE_HIGHWAY[FFS2]-$BE$7))^1.31),
IF(MULTILANE_HIGHWAY[FFS2]&lt;=80,MULTILANE_HIGHWAY[FFS2]-(($BB$6*MULTILANE_HIGHWAY[FFS2]-$BC$6)*((MULTILANE_HIGHWAY[vp3]-1400)/($BD$6*MULTILANE_HIGHWAY[FFS2]-$BE$6))^1.31),
IF(MULTILANE_HIGHWAY[FFS2]&lt;=90,MULTILANE_HIGHWAY[FFS2]-(($BB$5*MULTILANE_HIGHWAY[FFS2]-$BC$5)*((MULTILANE_HIGHWAY[vp3]-1400)/($BD$5*MULTILANE_HIGHWAY[FFS2]-$BE$5))^1.31),
IF(MULTILANE_HIGHWAY[FFS2]&lt;=120,MULTILANE_HIGHWAY[FFS2]-(($BB$4*MULTILANE_HIGHWAY[FFS2]-$BC$4)*((MULTILANE_HIGHWAY[vp3]-1400)/($BD$4*MULTILANE_HIGHWAY[FFS2]-$BE$4))^1.31))))))</calculatedColumnFormula>
    </tableColumn>
    <tableColumn id="4" name="LOS_vp" dataDxfId="327">
      <calculatedColumnFormula>IF(ISNA(IF(MULTILANE_HIGHWAY[[#This Row],[FFS2]]&gt;100,MATCH(MULTILANE_HIGHWAY[[#This Row],[vp3]],'HCM2000'!$L$659:$P$659,-1),IF(MULTILANE_HIGHWAY[[#This Row],[FFS2]]&gt;90,MATCH(MULTILANE_HIGHWAY[[#This Row],[vp3]],'HCM2000'!$L$664:$P$664,-1),IF(MULTILANE_HIGHWAY[[#This Row],[FFS2]]&gt;80,MATCH(MULTILANE_HIGHWAY[[#This Row],[vp3]],'HCM2000'!$L$669:$P$669,-1),MATCH(MULTILANE_HIGHWAY[[#This Row],[vp3]],'HCM2000'!$L$674:$P$674,-1))))),"F",IF(MULTILANE_HIGHWAY[[#This Row],[FFS2]]&gt;100,MATCH(MULTILANE_HIGHWAY[[#This Row],[vp3]],'HCM2000'!$L$659:$P$659,-1),IF(MULTILANE_HIGHWAY[[#This Row],[FFS2]]&gt;90,MATCH(MULTILANE_HIGHWAY[[#This Row],[vp3]],'HCM2000'!$L$664:$P$664,-1),IF(MULTILANE_HIGHWAY[[#This Row],[FFS2]]&gt;80,MATCH(MULTILANE_HIGHWAY[[#This Row],[vp3]],'HCM2000'!$L$669:$P$669,-1),MATCH(MULTILANE_HIGHWAY[[#This Row],[vp3]],'HCM2000'!$L$674:$P$674,-1)))))</calculatedColumnFormula>
    </tableColumn>
    <tableColumn id="1" name="LOS_vp2" dataDxfId="326">
      <calculatedColumnFormula>IF(MULTILANE_HIGHWAY[LOS_vp3]="F","F",VLOOKUP(MULTILANE_HIGHWAY[LOS_vp3],'HCM2000'!$R$655:$S$659,2))</calculatedColumnFormula>
    </tableColumn>
    <tableColumn id="88" name="LOS_D" dataDxfId="325">
      <calculatedColumnFormula>IF(ISNA(IF(MULTILANE_HIGHWAY[[#This Row],[fLC]]="Pista simples","-",IF(MULTILANE_HIGHWAY[[#This Row],[FFS2]]&gt;100,MATCH(MULTILANE_HIGHWAY[[#This Row],[D]],'HCM2000'!$L$656:$P$656,-1),IF(MULTILANE_HIGHWAY[[#This Row],[FFS2]]&gt;90,MATCH(MULTILANE_HIGHWAY[[#This Row],[D]],'HCM2000'!$L$660:$P$660,-1),IF(MULTILANE_HIGHWAY[[#This Row],[FFS2]]&gt;80,MATCH(MULTILANE_HIGHWAY[[#This Row],[D]],'HCM2000'!$L$665:$P$665,-1),MATCH(MULTILANE_HIGHWAY[[#This Row],[D]],'HCM2000'!$L$670:$P$670,-1)))))),"F",IF(MULTILANE_HIGHWAY[[#This Row],[fLC]]="Pista simples","-",IF(MULTILANE_HIGHWAY[[#This Row],[FFS2]]&gt;100,MATCH(MULTILANE_HIGHWAY[[#This Row],[D]],'HCM2000'!$L$656:$P$656,-1),IF(MULTILANE_HIGHWAY[[#This Row],[FFS2]]&gt;90,MATCH(MULTILANE_HIGHWAY[[#This Row],[D]],'HCM2000'!$L$660:$P$660,-1),IF(MULTILANE_HIGHWAY[[#This Row],[FFS2]]&gt;80,MATCH(MULTILANE_HIGHWAY[[#This Row],[D]],'HCM2000'!$L$665:$P$665,-1),MATCH(MULTILANE_HIGHWAY[[#This Row],[D]],'HCM2000'!$L$670:$P$670,-1))))))</calculatedColumnFormula>
    </tableColumn>
    <tableColumn id="87" name="LOS_D2" dataDxfId="324">
      <calculatedColumnFormula>IF(MULTILANE_HIGHWAY[[#This Row],[LOS_vp3]]="F","F",IF(MULTILANE_HIGHWAY[[#This Row],[fLC]]="Pista simples","-",VLOOKUP(MULTILANE_HIGHWAY[[#This Row],[LOS_D3]],'HCM2000'!$R$655:$S$659,2)))</calculatedColumnFormula>
    </tableColumn>
    <tableColumn id="2" name="LOS_" dataDxfId="323">
      <calculatedColumnFormula>IF(OR(MULTILANE_HIGHWAY[[#This Row],[LOS_vp3]]="F",MULTILANE_HIGHWAY[[#This Row],[LOS_D3]]="F"),"F",IF(MULTILANE_HIGHWAY[[#This Row],[Pista]]="Pista Simples","-",VLOOKUP(MINA(MULTILANE_HIGHWAY[[#This Row],[LOS_vp]],MULTILANE_HIGHWAY[[#This Row],[LOS_D]]),'HCM2000'!$R$655:$S$659,2)))</calculatedColumnFormula>
    </tableColumn>
    <tableColumn id="26" name="VP_" dataDxfId="322">
      <calculatedColumnFormula>MULTILANE_HIGHWAY[vp3]</calculatedColumnFormula>
    </tableColumn>
    <tableColumn id="25" name="D_" dataDxfId="321">
      <calculatedColumnFormula>MULTILANE_HIGHWAY[D]</calculatedColumnFormula>
    </tableColumn>
    <tableColumn id="29" name="S_" dataDxfId="320">
      <calculatedColumnFormula>MULTILANE_HIGHWAY[S]</calculatedColumnFormula>
    </tableColumn>
    <tableColumn id="15" name="%" dataDxfId="319">
      <calculatedColumnFormula>8</calculatedColumnFormula>
    </tableColumn>
    <tableColumn id="31" name="ext" dataDxfId="318"/>
    <tableColumn id="11" name="Ex 21-9 Pt &lt;" dataDxfId="317">
      <calculatedColumnFormula>INDEX('HCM2000'!$E$613:$M$642,IF(MULTILANE_HIGHWAY[[#This Row],[%]]&lt;5,MATCH(MULTILANE_HIGHWAY[[#This Row],[ext]],'HCM2000'!$D$613:$D$618,1),MATCH(MULTILANE_HIGHWAY[[#This Row],[ext]],'HCM2000'!$D$631:$D$636,1))-1+(MATCH(MULTILANE_HIGHWAY[[#This Row],[%]],'HCM2000'!$C$613:$C$642,1)-5),MATCH(MULTILANE_HIGHWAY[[#This Row],[Pt]]*100,'HCM2000'!$E$611:$M$611,1))</calculatedColumnFormula>
    </tableColumn>
    <tableColumn id="12" name="Ex 21-9 Pt &gt;" dataDxfId="316">
      <calculatedColumnFormula>INDEX('HCM2000'!$E$613:$M$642,IF(MULTILANE_HIGHWAY[[#This Row],[%]]&lt;5,MATCH(MULTILANE_HIGHWAY[[#This Row],[ext]],'HCM2000'!$D$613:$D$618,1),MATCH(MULTILANE_HIGHWAY[[#This Row],[ext]],'HCM2000'!$D$631:$D$636,1))-1+(MATCH(MULTILANE_HIGHWAY[[#This Row],[%]],'HCM2000'!$C$613:$C$642,1)-5),MATCH(MULTILANE_HIGHWAY[[#This Row],[Pt]]*100,'HCM2000'!$E$611:$M$611,1)+1)</calculatedColumnFormula>
    </tableColumn>
    <tableColumn id="13" name="Para PT&lt;" dataDxfId="315">
      <calculatedColumnFormula>ABS(INDEX('HCM2000'!$E$611:$M$611,1,MATCH(MULTILANE_HIGHWAY[Pt]*100,'HCM2000'!$E$611:$M$611,1))-MULTILANE_HIGHWAY[Pt]*100)</calculatedColumnFormula>
    </tableColumn>
    <tableColumn id="64" name="Para PT&gt;" dataDxfId="314">
      <calculatedColumnFormula>INDEX('HCM2000'!$E$611:$M$611,1,MATCH(MULTILANE_HIGHWAY[[#This Row],[Pt]]*100,'HCM2000'!$E$611:$M$611,1)+1)-MULTILANE_HIGHWAY[[#This Row],[Pt]]*100</calculatedColumnFormula>
    </tableColumn>
    <tableColumn id="65" name="ETsu" dataDxfId="313">
      <calculatedColumnFormula>IFERROR(MULTILANE_HIGHWAY[[#This Row],[Ex 21-9 Pt &gt;]]+(MULTILANE_HIGHWAY[[#This Row],[Para PT&gt;]]/(MULTILANE_HIGHWAY[[#This Row],[Para PT&lt;]]+MULTILANE_HIGHWAY[[#This Row],[Para PT&gt;]])*ABS(MULTILANE_HIGHWAY[[#This Row],[Ex 21-9 Pt &lt;]]-MULTILANE_HIGHWAY[[#This Row],[Ex 21-9 Pt &gt;]])),MULTILANE_HIGHWAY[[#This Row],[Ex 21-9 Pt &lt;]])</calculatedColumnFormula>
    </tableColumn>
    <tableColumn id="66" name="ERsu" dataDxfId="312"/>
    <tableColumn id="67" name="fHVsu" dataDxfId="311">
      <calculatedColumnFormula>1/(1+(MULTILANE_HIGHWAY[Pt]*(MULTILANE_HIGHWAY[ETsu]-1))+(MULTILANE_HIGHWAY[PRv]*(MULTILANE_HIGHWAY[ERsu]-1)))</calculatedColumnFormula>
    </tableColumn>
    <tableColumn id="68" name="vpsu" dataDxfId="310">
      <calculatedColumnFormula>MULTILANE_HIGHWAY[Vzão]/(MULTILANE_HIGHWAY[PHF]*MULTILANE_HIGHWAY[N]*MULTILANE_HIGHWAY[fHVsu])</calculatedColumnFormula>
    </tableColumn>
    <tableColumn id="69" name="Dsu" dataDxfId="309">
      <calculatedColumnFormula>IF(MULTILANE_HIGHWAY[fLC]="Pista simples","-",MULTILANE_HIGHWAY[vpsu]/MULTILANE_HIGHWAY[S])</calculatedColumnFormula>
    </tableColumn>
    <tableColumn id="70" name="Ssu" dataDxfId="308">
      <calculatedColumnFormula>IF(MULTILANE_HIGHWAY[vpsu]&lt;=1400,MULTILANE_HIGHWAY[FFS2],
IF(MULTILANE_HIGHWAY[FFS2]&lt;=70,MULTILANE_HIGHWAY[FFS2]-(($BB$7*MULTILANE_HIGHWAY[FFS2]-$BC$7)*((MULTILANE_HIGHWAY[vpsu]-1400)/($BD$7*MULTILANE_HIGHWAY[FFS2]-$BE$7))^1.31),
IF(MULTILANE_HIGHWAY[FFS2]&lt;=80,MULTILANE_HIGHWAY[FFS2]-(($BB$6*MULTILANE_HIGHWAY[FFS2]-$BC$6)*((MULTILANE_HIGHWAY[vpsu]-1400)/($BD$6*MULTILANE_HIGHWAY[FFS2]-$BE$6))^1.31),
IF(MULTILANE_HIGHWAY[FFS2]&lt;=90,MULTILANE_HIGHWAY[FFS2]-(($BB$5*MULTILANE_HIGHWAY[FFS2]-$BC$5)*((MULTILANE_HIGHWAY[vpsu]-1400)/($BD$5*MULTILANE_HIGHWAY[FFS2]-$BE$5))^1.31),
IF(MULTILANE_HIGHWAY[FFS2]&lt;=120,MULTILANE_HIGHWAY[FFS2]-(($BB$4*MULTILANE_HIGHWAY[FFS2]-$BC$4)*((MULTILANE_HIGHWAY[vpsu]-1400)/($BD$4*MULTILANE_HIGHWAY[FFS2]-$BE$4))^1.31))))))</calculatedColumnFormula>
    </tableColumn>
    <tableColumn id="71" name="LOS_vp3" dataDxfId="307">
      <calculatedColumnFormula>IF(ISNA(IF(MULTILANE_HIGHWAY[[#This Row],[FFS2]]&gt;100,MATCH(MULTILANE_HIGHWAY[[#This Row],[vpsu]],'HCM2000'!$L$659:$P$659,-1),IF(MULTILANE_HIGHWAY[[#This Row],[FFS2]]&gt;90,MATCH(MULTILANE_HIGHWAY[[#This Row],[vpsu]],'HCM2000'!$L$664:$P$664,-1),IF(MULTILANE_HIGHWAY[[#This Row],[FFS2]]&gt;80,MATCH(MULTILANE_HIGHWAY[[#This Row],[vpsu]],'HCM2000'!$L$669:$P$669,-1),MATCH(MULTILANE_HIGHWAY[[#This Row],[vpsu]],'HCM2000'!$L$674:$P$674,-1))))),"F",IF(MULTILANE_HIGHWAY[[#This Row],[FFS2]]&gt;100,MATCH(MULTILANE_HIGHWAY[[#This Row],[vpsu]],'HCM2000'!$L$659:$P$659,-1),IF(MULTILANE_HIGHWAY[[#This Row],[FFS2]]&gt;90,MATCH(MULTILANE_HIGHWAY[[#This Row],[vpsu]],'HCM2000'!$L$664:$P$664,-1),IF(MULTILANE_HIGHWAY[[#This Row],[FFS2]]&gt;80,MATCH(MULTILANE_HIGHWAY[[#This Row],[vpsu]],'HCM2000'!$L$669:$P$669,-1),MATCH(MULTILANE_HIGHWAY[[#This Row],[vpsu]],'HCM2000'!$L$674:$P$674,-1)))))</calculatedColumnFormula>
    </tableColumn>
    <tableColumn id="72" name="LOS_vp4" dataDxfId="306">
      <calculatedColumnFormula>IF(MULTILANE_HIGHWAY[[#This Row],[LOS_vp3]]="F","F",VLOOKUP(MULTILANE_HIGHWAY[[#This Row],[LOS_vp3]],'HCM2000'!$R$655:$S$659,2))</calculatedColumnFormula>
    </tableColumn>
    <tableColumn id="73" name="LOS_D3" dataDxfId="305">
      <calculatedColumnFormula>IF(ISNA(IF(MULTILANE_HIGHWAY[[#This Row],[fLC]]="Pista simples","-",IF(MULTILANE_HIGHWAY[[#This Row],[FFS2]]&gt;100,MATCH(MULTILANE_HIGHWAY[[#This Row],[Dsu]],'HCM2000'!$L$656:$P$656,-1),IF(MULTILANE_HIGHWAY[[#This Row],[FFS2]]&gt;90,MATCH(MULTILANE_HIGHWAY[[#This Row],[Dsu]],'HCM2000'!$L$660:$P$660,-1),IF(MULTILANE_HIGHWAY[[#This Row],[FFS2]]&gt;80,MATCH(MULTILANE_HIGHWAY[[#This Row],[Dsu]],'HCM2000'!$L$665:$P$665,-1),MATCH(MULTILANE_HIGHWAY[[#This Row],[Dsu]],'HCM2000'!$L$670:$P$670,-1)))))),"F",IF(MULTILANE_HIGHWAY[[#This Row],[fLC]]="Pista simples","-",IF(MULTILANE_HIGHWAY[[#This Row],[FFS2]]&gt;100,MATCH(MULTILANE_HIGHWAY[[#This Row],[Dsu]],'HCM2000'!$L$656:$P$656,-1),IF(MULTILANE_HIGHWAY[[#This Row],[FFS2]]&gt;90,MATCH(MULTILANE_HIGHWAY[[#This Row],[Dsu]],'HCM2000'!$L$660:$P$660,-1),IF(MULTILANE_HIGHWAY[[#This Row],[FFS2]]&gt;80,MATCH(MULTILANE_HIGHWAY[[#This Row],[Dsu]],'HCM2000'!$L$665:$P$665,-1),MATCH(MULTILANE_HIGHWAY[[#This Row],[Dsu]],'HCM2000'!$L$670:$P$670,-1))))))</calculatedColumnFormula>
    </tableColumn>
    <tableColumn id="74" name="LOS_D4" dataDxfId="304">
      <calculatedColumnFormula>IF(MULTILANE_HIGHWAY[[#This Row],[LOS_vp3]]="F","F",IF(MULTILANE_HIGHWAY[[#This Row],[fLC]]="Pista simples","-",VLOOKUP(MULTILANE_HIGHWAY[[#This Row],[LOS_D3]],'HCM2000'!$R$655:$S$659,2)))</calculatedColumnFormula>
    </tableColumn>
    <tableColumn id="110" name="mlsu LOS" dataDxfId="303">
      <calculatedColumnFormula>IF(OR(MULTILANE_HIGHWAY[[#This Row],[LOS_vp3]]="F",MULTILANE_HIGHWAY[[#This Row],[LOS_D3]]="F"),"F",IF(MULTILANE_HIGHWAY[[#This Row],[Pista]]="Pista Simples","-",VLOOKUP(MINA(MULTILANE_HIGHWAY[LOS_vp3],MULTILANE_HIGHWAY[LOS_D3]),'HCM2000'!$R$655:$S$659,2)))</calculatedColumnFormula>
    </tableColumn>
  </tableColumns>
  <tableStyleInfo name="Estilo de Tabela 1" showFirstColumn="0" showLastColumn="0" showRowStripes="1" showColumnStripes="0"/>
</table>
</file>

<file path=xl/tables/table9.xml><?xml version="1.0" encoding="utf-8"?>
<table xmlns="http://schemas.openxmlformats.org/spreadsheetml/2006/main" id="16" name="MULTILANE_HIGHWAY_SPECIAL_GRADE" displayName="MULTILANE_HIGHWAY_SPECIAL_GRADE" ref="B13:BN42" totalsRowShown="0" headerRowDxfId="302" dataDxfId="301">
  <autoFilter ref="B13:BN42"/>
  <sortState ref="B14:CG48">
    <sortCondition ref="B13:B48"/>
  </sortState>
  <tableColumns count="65">
    <tableColumn id="125" name="ID" dataDxfId="300" dataCellStyle="Normal 5 2"/>
    <tableColumn id="93" name="Extensão" dataDxfId="299" dataCellStyle="Normal 5 2"/>
    <tableColumn id="94" name="Pista" dataDxfId="298" dataCellStyle="Normal 5 2">
      <calculatedColumnFormula>"Dupla"</calculatedColumnFormula>
    </tableColumn>
    <tableColumn id="29" name="Grade [%]" dataDxfId="297" dataCellStyle="Normal 5 2"/>
    <tableColumn id="95" name="Direction analysed ?" dataDxfId="296" dataCellStyle="Normal 5 2"/>
    <tableColumn id="96" name="Número de Faixas" dataDxfId="295" dataCellStyle="Normal 5 2"/>
    <tableColumn id="97" name="Largura das Faixas" dataDxfId="294" dataCellStyle="Normal 5 2"/>
    <tableColumn id="99" name="Largura Acost." dataDxfId="293" dataCellStyle="Normal 5 2"/>
    <tableColumn id="102" name="Separador" dataDxfId="292" dataCellStyle="Normal 5 2"/>
    <tableColumn id="104" name="Num. Faixas Marg." dataDxfId="291" dataCellStyle="Normal 5"/>
    <tableColumn id="14" name="rural/urbano" dataDxfId="290"/>
    <tableColumn id="18" name="plano/ondulado" dataDxfId="289"/>
    <tableColumn id="36" name="faixa (m)" dataDxfId="288">
      <calculatedColumnFormula>MULTILANE_HIGHWAY_SPECIAL_GRADE[Largura das Faixas]</calculatedColumnFormula>
    </tableColumn>
    <tableColumn id="38" name="acost (m)" dataDxfId="287">
      <calculatedColumnFormula>MULTILANE_HIGHWAY_SPECIAL_GRADE[Largura Acost.]</calculatedColumnFormula>
    </tableColumn>
    <tableColumn id="17" name="passeio" dataDxfId="286"/>
    <tableColumn id="16" name="pesado" dataDxfId="285"/>
    <tableColumn id="19" name="vdma" dataDxfId="284">
      <calculatedColumnFormula>MULTILANE_HIGHWAY_SPECIAL_GRADE[passeio]+MULTILANE_HIGHWAY_SPECIAL_GRADE[pesado]</calculatedColumnFormula>
    </tableColumn>
    <tableColumn id="8" name="Pt" dataDxfId="283">
      <calculatedColumnFormula>MULTILANE_HIGHWAY_SPECIAL_GRADE[pesado]/MULTILANE_HIGHWAY_SPECIAL_GRADE[vdma]</calculatedColumnFormula>
    </tableColumn>
    <tableColumn id="37" name="PRv" dataDxfId="282">
      <calculatedColumnFormula>3%</calculatedColumnFormula>
    </tableColumn>
    <tableColumn id="53" name="fatK" dataDxfId="281">
      <calculatedColumnFormula>0.12</calculatedColumnFormula>
    </tableColumn>
    <tableColumn id="20" name="veic/h" dataDxfId="280">
      <calculatedColumnFormula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calculatedColumnFormula>
    </tableColumn>
    <tableColumn id="21" name="distrib. direc." dataDxfId="279">
      <calculatedColumnFormula>$J$9/100</calculatedColumnFormula>
    </tableColumn>
    <tableColumn id="10" name="Vzão" dataDxfId="278">
      <calculatedColumnFormula>MULTILANE_HIGHWAY_SPECIAL_GRADE[veic/h]*MULTILANE_HIGHWAY_SPECIAL_GRADE[distrib. direc.]</calculatedColumnFormula>
    </tableColumn>
    <tableColumn id="35" name="acessos/km" dataDxfId="277" dataCellStyle="Vírgula"/>
    <tableColumn id="7" name="Vel. Limite (km/h)" dataDxfId="276" dataCellStyle="Vírgula">
      <calculatedColumnFormula>0</calculatedColumnFormula>
    </tableColumn>
    <tableColumn id="22" name="BFFS" dataDxfId="275">
      <calculatedColumnFormula>IF(D14="Pista Simples",$J$4,$J$5)</calculatedColumnFormula>
    </tableColumn>
    <tableColumn id="33" name="% zonas s/ultra" dataDxfId="274">
      <calculatedColumnFormula>$J$11/100</calculatedColumnFormula>
    </tableColumn>
    <tableColumn id="23" name="PHF" dataDxfId="273">
      <calculatedColumnFormula>#REF!</calculatedColumnFormula>
    </tableColumn>
    <tableColumn id="83" name="fLW" dataDxfId="272">
      <calculatedColumnFormula>VLOOKUP(MULTILANE_HIGHWAY_SPECIAL_GRADE[faixa (m)],'HCM2000'!$B$541:$C$547,2,TRUE)</calculatedColumnFormula>
    </tableColumn>
    <tableColumn id="84" name="Lcr" dataDxfId="271">
      <calculatedColumnFormula>IF(MULTILANE_HIGHWAY_SPECIAL_GRADE[acost (m)]&gt;0,1.8,1.2)</calculatedColumnFormula>
    </tableColumn>
    <tableColumn id="85" name="Lcl" dataDxfId="270">
      <calculatedColumnFormula>IF(MULTILANE_HIGHWAY_SPECIAL_GRADE[Separador]=$AU$6,$AW$6,IF(MULTILANE_HIGHWAY_SPECIAL_GRADE[Separador]=$AU$7,$AW$7,$AW$8))</calculatedColumnFormula>
    </tableColumn>
    <tableColumn id="86" name="fLC" dataDxfId="269">
      <calculatedColumnFormula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calculatedColumnFormula>
    </tableColumn>
    <tableColumn id="79" name="fM" dataDxfId="268">
      <calculatedColumnFormula>IF(MULTILANE_HIGHWAY_SPECIAL_GRADE[Separador]="Sinalização horizontal",'HCM2000'!$C$590,'HCM2000'!$C$591)</calculatedColumnFormula>
    </tableColumn>
    <tableColumn id="80" name="fA2" dataDxfId="267">
      <calculatedColumnFormula>MIN((2/3)*MULTILANE_HIGHWAY_SPECIAL_GRADE[acessos/km],16)</calculatedColumnFormula>
    </tableColumn>
    <tableColumn id="81" name="FFS2" dataDxfId="266">
      <calculatedColumnFormula>IF(MULTILANE_HIGHWAY_SPECIAL_GRADE[fLC]="Pista simples","-",MULTILANE_HIGHWAY_SPECIAL_GRADE[BFFS]-MULTILANE_HIGHWAY_SPECIAL_GRADE[fLW]-MULTILANE_HIGHWAY_SPECIAL_GRADE[fLC]-MULTILANE_HIGHWAY_SPECIAL_GRADE[fM]-MULTILANE_HIGHWAY_SPECIAL_GRADE[fA2])</calculatedColumnFormula>
    </tableColumn>
    <tableColumn id="82" name="Et2" dataDxfId="265">
      <calculatedColumnFormula>IF(MULTILANE_HIGHWAY_SPECIAL_GRADE[plano/ondulado]="Montanhoso",#REF!,VLOOKUP(MULTILANE_HIGHWAY_SPECIAL_GRADE[plano/ondulado],'HCM2000'!$B$606:$C$608,2,FALSE))</calculatedColumnFormula>
    </tableColumn>
    <tableColumn id="51" name="Er2" dataDxfId="264">
      <calculatedColumnFormula>IF(MULTILANE_HIGHWAY_SPECIAL_GRADE[[#This Row],[plano/ondulado]]="Montanhoso",#REF!,VLOOKUP(MULTILANE_HIGHWAY_SPECIAL_GRADE[[#This Row],[plano/ondulado]],'HCM2000'!$E$606:$F$608,2,FALSE))</calculatedColumnFormula>
    </tableColumn>
    <tableColumn id="5" name="fHV" dataDxfId="263">
      <calculatedColumnFormula>1/(1+(MULTILANE_HIGHWAY_SPECIAL_GRADE[Pt]*(MULTILANE_HIGHWAY_SPECIAL_GRADE[Et2]-1))+(MULTILANE_HIGHWAY_SPECIAL_GRADE[PRv]*(MULTILANE_HIGHWAY_SPECIAL_GRADE[Er2]-1)))</calculatedColumnFormula>
    </tableColumn>
    <tableColumn id="76" name="N" dataDxfId="262">
      <calculatedColumnFormula>MULTILANE_HIGHWAY_SPECIAL_GRADE[[#This Row],[Número de Faixas]]+IF(MULTILANE_HIGHWAY_SPECIAL_GRADE[[#This Row],[Num. Faixas Marg.]]="-",0,MULTILANE_HIGHWAY_SPECIAL_GRADE[[#This Row],[Num. Faixas Marg.]])</calculatedColumnFormula>
    </tableColumn>
    <tableColumn id="77" name="vp3" dataDxfId="261">
      <calculatedColumnFormula>MULTILANE_HIGHWAY_SPECIAL_GRADE[[#This Row],[Vzão]]/(MULTILANE_HIGHWAY_SPECIAL_GRADE[[#This Row],[PHF]]*MULTILANE_HIGHWAY_SPECIAL_GRADE[[#This Row],[N]]*MULTILANE_HIGHWAY_SPECIAL_GRADE[[#This Row],[fHV]])</calculatedColumnFormula>
    </tableColumn>
    <tableColumn id="78" name="D" dataDxfId="260">
      <calculatedColumnFormula>IF(MULTILANE_HIGHWAY_SPECIAL_GRADE[fLC]="Pista simples","-",MULTILANE_HIGHWAY_SPECIAL_GRADE[vp3]/MULTILANE_HIGHWAY_SPECIAL_GRADE[S])</calculatedColumnFormula>
    </tableColumn>
    <tableColumn id="3" name="S" dataDxfId="259">
      <calculatedColumnFormula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calculatedColumnFormula>
    </tableColumn>
    <tableColumn id="4" name="LOS_vp" dataDxfId="258">
      <calculatedColumnFormula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calculatedColumnFormula>
    </tableColumn>
    <tableColumn id="1" name="LOS_vp2" dataDxfId="257">
      <calculatedColumnFormula>IF(MULTILANE_HIGHWAY_SPECIAL_GRADE[LOS_vp3]="F","F",VLOOKUP(MULTILANE_HIGHWAY_SPECIAL_GRADE[LOS_vp3],'HCM2000'!$R$655:$S$659,2))</calculatedColumnFormula>
    </tableColumn>
    <tableColumn id="88" name="LOS_D" dataDxfId="256">
      <calculatedColumnFormula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calculatedColumnFormula>
    </tableColumn>
    <tableColumn id="87" name="LOS_D2" dataDxfId="255">
      <calculatedColumnFormula>IF(MULTILANE_HIGHWAY_SPECIAL_GRADE[[#This Row],[LOS_vp3]]="F","F",IF(MULTILANE_HIGHWAY_SPECIAL_GRADE[[#This Row],[fLC]]="Pista simples","-",VLOOKUP(MULTILANE_HIGHWAY_SPECIAL_GRADE[[#This Row],[LOS_D3]],'HCM2000'!$R$655:$S$659,2)))</calculatedColumnFormula>
    </tableColumn>
    <tableColumn id="2" name="ml LOS" dataDxfId="254">
      <calculatedColumnFormula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calculatedColumnFormula>
    </tableColumn>
    <tableColumn id="25" name="ET_UP" dataDxfId="253"/>
    <tableColumn id="26" name="ER_UP" dataDxfId="252"/>
    <tableColumn id="27" name="ET_DOWN" dataDxfId="251"/>
    <tableColumn id="28" name="ER_DOWN" dataDxfId="12">
      <calculatedColumnFormula>1.2</calculatedColumnFormula>
    </tableColumn>
    <tableColumn id="65" name="ET" dataDxfId="11" dataCellStyle="Vírgula">
      <calculatedColumnFormula>IF(MULTILANE_HIGHWAY_SPECIAL_GRADE[Direction analysed ?]="up",MULTILANE_HIGHWAY_SPECIAL_GRADE[ET_UP],MULTILANE_HIGHWAY_SPECIAL_GRADE[ET_DOWN])</calculatedColumnFormula>
    </tableColumn>
    <tableColumn id="66" name="ER" dataDxfId="9" dataCellStyle="Vírgula">
      <calculatedColumnFormula>IF(MULTILANE_HIGHWAY_SPECIAL_GRADE[Direction analysed ?]="up",MULTILANE_HIGHWAY_SPECIAL_GRADE[ER_UP],MULTILANE_HIGHWAY_SPECIAL_GRADE[ER_DOWN])</calculatedColumnFormula>
    </tableColumn>
    <tableColumn id="67" name="fHV_SG" dataDxfId="10">
      <calculatedColumnFormula>1/(1+(MULTILANE_HIGHWAY_SPECIAL_GRADE[Pt]*(MULTILANE_HIGHWAY_SPECIAL_GRADE[ET]-1))+(MULTILANE_HIGHWAY_SPECIAL_GRADE[PRv]*(MULTILANE_HIGHWAY_SPECIAL_GRADE[ER]-1)))</calculatedColumnFormula>
    </tableColumn>
    <tableColumn id="68" name="VP_SG" dataDxfId="250">
      <calculatedColumnFormula>MULTILANE_HIGHWAY_SPECIAL_GRADE[Vzão]/(MULTILANE_HIGHWAY_SPECIAL_GRADE[PHF]*MULTILANE_HIGHWAY_SPECIAL_GRADE[N]*MULTILANE_HIGHWAY_SPECIAL_GRADE[fHV_SG])</calculatedColumnFormula>
    </tableColumn>
    <tableColumn id="69" name="D_SG" dataDxfId="249">
      <calculatedColumnFormula>IF(MULTILANE_HIGHWAY_SPECIAL_GRADE[fLC]="Pista simples","-",MULTILANE_HIGHWAY_SPECIAL_GRADE[VP_SG]/MULTILANE_HIGHWAY_SPECIAL_GRADE[S])</calculatedColumnFormula>
    </tableColumn>
    <tableColumn id="70" name="S_SG" dataDxfId="248">
      <calculatedColumnFormula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calculatedColumnFormula>
    </tableColumn>
    <tableColumn id="71" name="LOS_vp3" dataDxfId="247">
      <calculatedColumnFormula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calculatedColumnFormula>
    </tableColumn>
    <tableColumn id="72" name="LOS_vp4" dataDxfId="246">
      <calculatedColumnFormula>IF(MULTILANE_HIGHWAY_SPECIAL_GRADE[[#This Row],[LOS_vp3]]="F","F",VLOOKUP(MULTILANE_HIGHWAY_SPECIAL_GRADE[[#This Row],[LOS_vp3]],'HCM2000'!$R$655:$S$659,2))</calculatedColumnFormula>
    </tableColumn>
    <tableColumn id="73" name="LOS_D3" dataDxfId="245">
      <calculatedColumnFormula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calculatedColumnFormula>
    </tableColumn>
    <tableColumn id="74" name="LOS_D4" dataDxfId="244">
      <calculatedColumnFormula>IF(MULTILANE_HIGHWAY_SPECIAL_GRADE[[#This Row],[LOS_vp3]]="F","F",IF(MULTILANE_HIGHWAY_SPECIAL_GRADE[[#This Row],[fLC]]="Pista simples","-",VLOOKUP(MULTILANE_HIGHWAY_SPECIAL_GRADE[[#This Row],[LOS_D3]],'HCM2000'!$R$655:$S$659,2)))</calculatedColumnFormula>
    </tableColumn>
    <tableColumn id="110" name="LOS_" dataDxfId="243">
      <calculatedColumnFormula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calculatedColumnFormula>
    </tableColumn>
    <tableColumn id="6" name="VP_" dataDxfId="242">
      <calculatedColumnFormula>MULTILANE_HIGHWAY_SPECIAL_GRADE[VP_SG]</calculatedColumnFormula>
    </tableColumn>
    <tableColumn id="9" name="D_" dataDxfId="241">
      <calculatedColumnFormula>MULTILANE_HIGHWAY_SPECIAL_GRADE[D_SG]</calculatedColumnFormula>
    </tableColumn>
    <tableColumn id="11" name="S_" dataDxfId="240">
      <calculatedColumnFormula>MULTILANE_HIGHWAY_SPECIAL_GRADE[S_SG]</calculatedColumnFormula>
    </tableColumn>
  </tableColumns>
  <tableStyleInfo name="TableStyleMedium18" showFirstColumn="0" showLastColumn="0" showRowStripes="1" showColumnStripes="0"/>
</table>
</file>

<file path=xl/tables/table10.xml><?xml version="1.0" encoding="utf-8"?>
<table xmlns="http://schemas.openxmlformats.org/spreadsheetml/2006/main" id="3" name="Tabela24" displayName="Tabela24" ref="B13:DM91" totalsRowShown="0" headerRowDxfId="239" dataDxfId="238">
  <autoFilter ref="B13:DM91"/>
  <sortState ref="B14:CG48">
    <sortCondition ref="B13:B48"/>
  </sortState>
  <tableColumns count="116">
    <tableColumn id="125" name="Novo Id" dataDxfId="237" dataCellStyle="Normal 5 2"/>
    <tableColumn id="89" name="Estado" dataDxfId="236" dataCellStyle="Normal 5 2"/>
    <tableColumn id="90" name="Municipio" dataDxfId="235" dataCellStyle="Normal 5 2"/>
    <tableColumn id="91" name="km Inicial" dataDxfId="234" dataCellStyle="Normal 5 2"/>
    <tableColumn id="92" name="km Final" dataDxfId="233" dataCellStyle="Normal 5 2"/>
    <tableColumn id="93" name="Extensão" dataDxfId="232" dataCellStyle="Normal 5 2"/>
    <tableColumn id="94" name="Pista" dataDxfId="231" dataCellStyle="Normal 5 2"/>
    <tableColumn id="95" name="Sentido" dataDxfId="230" dataCellStyle="Normal 5 2"/>
    <tableColumn id="96" name="Número de Faixas" dataDxfId="229" dataCellStyle="Normal 5 2"/>
    <tableColumn id="97" name="Largura das Faixas" dataDxfId="228" dataCellStyle="Normal 5 2"/>
    <tableColumn id="98" name="Acostamento" dataDxfId="227" dataCellStyle="Normal 5 2"/>
    <tableColumn id="99" name="Largura Acost." dataDxfId="226" dataCellStyle="Normal 5 2"/>
    <tableColumn id="100" name="Degrau Acost." dataDxfId="225" dataCellStyle="Normal 5 2"/>
    <tableColumn id="101" name="Faixa de Segurança" dataDxfId="224" dataCellStyle="Normal 5 2"/>
    <tableColumn id="102" name="Separador" dataDxfId="223" dataCellStyle="Normal 5 2"/>
    <tableColumn id="103" name="Vias Marginais" dataDxfId="222" dataCellStyle="Normal 5"/>
    <tableColumn id="104" name="Num. Faixas Marg." dataDxfId="221" dataCellStyle="Normal 5"/>
    <tableColumn id="9" name="Largura Marg." dataDxfId="220" dataCellStyle="Normal 5"/>
    <tableColumn id="105" name="Colunas1" dataDxfId="219"/>
    <tableColumn id="106" name="Trecho " dataDxfId="218"/>
    <tableColumn id="107" name="passeio" dataDxfId="217"/>
    <tableColumn id="108" name="pesado" dataDxfId="216"/>
    <tableColumn id="109" name="Colunas2" dataDxfId="215"/>
    <tableColumn id="6" name="tipo" dataDxfId="214">
      <calculatedColumnFormula>IF(OR(H14="Dupla",H14="Pista Dupla"),4,1)</calculatedColumnFormula>
    </tableColumn>
    <tableColumn id="75" name="LOS" dataDxfId="213">
      <calculatedColumnFormula>INDIRECT(CONCATENATE(IF(Tabela24[[#This Row],[tipo]]=1,$AH$4,IF(Tabela24[[#This Row],[tipo]]=2,$AH$5,IF(Tabela24[[#This Row],[tipo]]=3,$AH$6,IF(Tabela24[[#This Row],[tipo]]=4,$AH$7))))&amp;ROW()))</calculatedColumnFormula>
    </tableColumn>
    <tableColumn id="14" name="rural/urbano" dataDxfId="212"/>
    <tableColumn id="18" name="plano/ondulado" dataDxfId="211"/>
    <tableColumn id="36" name="faixa (m)" dataDxfId="210"/>
    <tableColumn id="38" name="acost (m)" dataDxfId="209"/>
    <tableColumn id="17" name="passeio'" dataDxfId="208">
      <calculatedColumnFormula>V14</calculatedColumnFormula>
    </tableColumn>
    <tableColumn id="16" name="pesado'" dataDxfId="207">
      <calculatedColumnFormula>W14</calculatedColumnFormula>
    </tableColumn>
    <tableColumn id="19" name="vdma" dataDxfId="206">
      <calculatedColumnFormula>Tabela24[passeio'']+Tabela24[pesado'']</calculatedColumnFormula>
    </tableColumn>
    <tableColumn id="8" name="Pt" dataDxfId="205">
      <calculatedColumnFormula>Tabela24[pesado'']/Tabela24[vdma]</calculatedColumnFormula>
    </tableColumn>
    <tableColumn id="37" name="PRv" dataDxfId="204">
      <calculatedColumnFormula>3%</calculatedColumnFormula>
    </tableColumn>
    <tableColumn id="53" name="fatK" dataDxfId="203">
      <calculatedColumnFormula>$C$4</calculatedColumnFormula>
    </tableColumn>
    <tableColumn id="20" name="veic/h" dataDxfId="202">
      <calculatedColumnFormula>IF(Tabela24[Pista]="Pista Simples",Tabela24[vdma]*Tabela24[fatK],Tabela24[vdma]*Tabela24[fatK])</calculatedColumnFormula>
    </tableColumn>
    <tableColumn id="21" name="distrib. direc." dataDxfId="201">
      <calculatedColumnFormula>$J$9/100</calculatedColumnFormula>
    </tableColumn>
    <tableColumn id="10" name="Vzão" dataDxfId="200">
      <calculatedColumnFormula>Tabela24[veic/h]*Tabela24[distrib. direc.]</calculatedColumnFormula>
    </tableColumn>
    <tableColumn id="35" name="acessos/km" dataDxfId="199">
      <calculatedColumnFormula>#REF!</calculatedColumnFormula>
    </tableColumn>
    <tableColumn id="7" name="Vel. Limite (km/h)" dataDxfId="198" dataCellStyle="Vírgula">
      <calculatedColumnFormula>0</calculatedColumnFormula>
    </tableColumn>
    <tableColumn id="22" name="BFFS" dataDxfId="197">
      <calculatedColumnFormula>IF(H14="Pista Simples",$J$4,$J$5)</calculatedColumnFormula>
    </tableColumn>
    <tableColumn id="33" name="% zonas s/ultra" dataDxfId="196">
      <calculatedColumnFormula>$J$11/100</calculatedColumnFormula>
    </tableColumn>
    <tableColumn id="23" name="PHF" dataDxfId="195">
      <calculatedColumnFormula>#REF!</calculatedColumnFormula>
    </tableColumn>
    <tableColumn id="124" name="Colunas3" dataDxfId="194"/>
    <tableColumn id="26" name="fg ats" dataDxfId="193">
      <calculatedColumnFormula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calculatedColumnFormula>
    </tableColumn>
    <tableColumn id="24" name="Et" dataDxfId="192">
      <calculatedColumnFormula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calculatedColumnFormula>
    </tableColumn>
    <tableColumn id="49" name="Er" dataDxfId="191">
      <calculatedColumnFormula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calculatedColumnFormula>
    </tableColumn>
    <tableColumn id="28" name="fhv ats" dataDxfId="190">
      <calculatedColumnFormula>1/(1+(Tabela24[[#This Row],[Pt]])*(Tabela24[[#This Row],[Et]]-1)+(Tabela24[[#This Row],[PRv]])*(Tabela24[[#This Row],[Er]]-1))</calculatedColumnFormula>
    </tableColumn>
    <tableColumn id="113" name="vp1_init" dataDxfId="189">
      <calculatedColumnFormula>Tabela24[veic/h]/Tabela24[PHF]</calculatedColumnFormula>
    </tableColumn>
    <tableColumn id="112" name="vp1'" dataDxfId="188"/>
    <tableColumn id="29" name="vp1" dataDxfId="187">
      <calculatedColumnFormula>Tabela24[veic/h]/(Tabela24[PHF]*Tabela24[fg ats]*Tabela24[fhv ats])</calculatedColumnFormula>
    </tableColumn>
    <tableColumn id="63" name="class?" dataDxfId="186">
      <calculatedColumnFormula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calculatedColumnFormula>
    </tableColumn>
    <tableColumn id="34" name="teste1" dataDxfId="185">
      <calculatedColumnFormula>IF(AND(Tabela24[[#This Row],[vp1]]*Tabela24[[#This Row],[distrib. direc.]]&lt;1700,Tabela24[[#This Row],[vp1]]&lt;3200),"OK!","FAIL")</calculatedColumnFormula>
    </tableColumn>
    <tableColumn id="30" name="fLS" dataDxfId="184">
      <calculatedColumnFormula>INDEX('HCM2000'!$L$68:$AF$83,MATCH(Tabela24[[#This Row],[faixa (m)]],'HCM2000'!$K$68:$K$83),MATCH(Tabela24[[#This Row],[acost (m)]],'HCM2000'!$L$67:$AF$67))</calculatedColumnFormula>
    </tableColumn>
    <tableColumn id="40" name="fA" dataDxfId="183">
      <calculatedColumnFormula>MIN(16,(2/3)*Tabela24[[#This Row],[acessos/km]])</calculatedColumnFormula>
    </tableColumn>
    <tableColumn id="39" name="FFS" dataDxfId="182">
      <calculatedColumnFormula>Tabela24[BFFS]-Tabela24[fLS]-Tabela24[fA]</calculatedColumnFormula>
    </tableColumn>
    <tableColumn id="32" name="fnp" dataDxfId="181"/>
    <tableColumn id="56" name="X" dataDxfId="180" dataCellStyle="Vírgula">
      <calculatedColumnFormula>IFERROR(Tabela24[[#This Row],[vp1]],0)</calculatedColumnFormula>
    </tableColumn>
    <tableColumn id="55" name="Y" dataDxfId="179" dataCellStyle="Vírgula">
      <calculatedColumnFormula>IFERROR(Tabela24[[#This Row],[% zonas s/ultra]],0)</calculatedColumnFormula>
    </tableColumn>
    <tableColumn id="57" name="Table" dataDxfId="178">
      <calculatedColumnFormula>"FNP"</calculatedColumnFormula>
    </tableColumn>
    <tableColumn id="54" name="fnp'" dataDxfId="177"/>
    <tableColumn id="41" name="ATS" dataDxfId="176">
      <calculatedColumnFormula>Tabela24[FFS]-0.0125*MAX(Tabela24[[#This Row],[vp1]],Tabela24[[#This Row],[vp1'']])-Tabela24[fnp'']</calculatedColumnFormula>
    </tableColumn>
    <tableColumn id="27" name="fg time" dataDxfId="175">
      <calculatedColumnFormula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calculatedColumnFormula>
    </tableColumn>
    <tableColumn id="25" name="Et time" dataDxfId="174">
      <calculatedColumnFormula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calculatedColumnFormula>
    </tableColumn>
    <tableColumn id="50" name="Er time" dataDxfId="173"/>
    <tableColumn id="42" name="fhv follow" dataDxfId="172">
      <calculatedColumnFormula>1/(1+Tabela24[[#This Row],[Pt]]*(Tabela24[[#This Row],[Et time]]-1)+Tabela24[[#This Row],[PRv]]*(Tabela24[[#This Row],[Er time]]-1))</calculatedColumnFormula>
    </tableColumn>
    <tableColumn id="115" name="vp2_init" dataDxfId="171">
      <calculatedColumnFormula>Tabela24[veic/h]/Tabela24[PHF]</calculatedColumnFormula>
    </tableColumn>
    <tableColumn id="114" name="vp2'" dataDxfId="170"/>
    <tableColumn id="43" name="vp2" dataDxfId="169">
      <calculatedColumnFormula>Tabela24[veic/h]/(Tabela24[PHF]*Tabela24[fg time]*Tabela24[fhv follow])</calculatedColumnFormula>
    </tableColumn>
    <tableColumn id="44" name="teste2" dataDxfId="168">
      <calculatedColumnFormula>IF(AND(Tabela24[[#This Row],[vp2]]*Tabela24[[#This Row],[distrib. direc.]]&lt;1700,Tabela24[[#This Row],[vp2]]&lt;3200),"OK!","FAIL")</calculatedColumnFormula>
    </tableColumn>
    <tableColumn id="45" name="BPTSF" dataDxfId="167">
      <calculatedColumnFormula>100*(1-EXP(-0.000879*MAX(Tabela24[[#This Row],[vp2]],Tabela24[[#This Row],[vp2'']])))</calculatedColumnFormula>
    </tableColumn>
    <tableColumn id="48" name="fd/np" dataDxfId="166"/>
    <tableColumn id="62" name="X'" dataDxfId="165">
      <calculatedColumnFormula>IF(TYPE(Tabela24[distrib. direc.])&lt;&gt;1,0,Tabela24[distrib. direc.])</calculatedColumnFormula>
    </tableColumn>
    <tableColumn id="61" name="Y'" dataDxfId="164">
      <calculatedColumnFormula>IF(TYPE(Tabela24[vp2])&lt;&gt;1,0,Tabela24[vp2])</calculatedColumnFormula>
    </tableColumn>
    <tableColumn id="60" name="Z'" dataDxfId="163">
      <calculatedColumnFormula>IF(TYPE(Tabela24[% zonas s/ultra])&lt;&gt;1,0,Tabela24[% zonas s/ultra])</calculatedColumnFormula>
    </tableColumn>
    <tableColumn id="59" name="Table'" dataDxfId="162">
      <calculatedColumnFormula>"FDNP"</calculatedColumnFormula>
    </tableColumn>
    <tableColumn id="58" name="fd/np'" dataDxfId="161"/>
    <tableColumn id="46" name="PTSF" dataDxfId="160">
      <calculatedColumnFormula>Tabela24[BPTSF]+Tabela24[fd/np'']</calculatedColumnFormula>
    </tableColumn>
    <tableColumn id="52" name="v_c" dataDxfId="159">
      <calculatedColumnFormula>Tabela24[vp1]/3200</calculatedColumnFormula>
    </tableColumn>
    <tableColumn id="47" name="tw LOS" dataDxfId="158">
      <calculatedColumnFormula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calculatedColumnFormula>
    </tableColumn>
    <tableColumn id="83" name="fLW" dataDxfId="157">
      <calculatedColumnFormula>VLOOKUP(Tabela24[faixa (m)],'HCM2000'!$B$541:$C$547,2,TRUE)</calculatedColumnFormula>
    </tableColumn>
    <tableColumn id="84" name="Lcr" dataDxfId="156">
      <calculatedColumnFormula>IF(Tabela24[acost (m)]&gt;0,1.8,1.2)</calculatedColumnFormula>
    </tableColumn>
    <tableColumn id="85" name="Lcl" dataDxfId="155">
      <calculatedColumnFormula>IF(Tabela24[Separador]=$CB$6,$CD$6,IF(Tabela24[Separador]=$CB$7,$CD$7,$CD$8))</calculatedColumnFormula>
    </tableColumn>
    <tableColumn id="86" name="fLC" dataDxfId="154">
      <calculatedColumnFormula>IF(Tabela24[Número de Faixas]=2,VLOOKUP(Tabela24[Lcr]+Tabela24[Lcl],'HCM2000'!$B$551:$D$587,2,FALSE),IF(Tabela24[Número de Faixas]&gt;=3,VLOOKUP(Tabela24[Lcr]+Tabela24[Lcl],'HCM2000'!$B$551:$D$587,3,FALSE),"Pista simples"))</calculatedColumnFormula>
    </tableColumn>
    <tableColumn id="79" name="fM" dataDxfId="153">
      <calculatedColumnFormula>IF(Tabela24[Separador]="Sinalização horizontal",'HCM2000'!$C$590,'HCM2000'!$C$591)</calculatedColumnFormula>
    </tableColumn>
    <tableColumn id="80" name="fA2" dataDxfId="152">
      <calculatedColumnFormula>MIN((2/3)*Tabela24[[#This Row],[acessos/km]],16)</calculatedColumnFormula>
    </tableColumn>
    <tableColumn id="81" name="FFS2" dataDxfId="151">
      <calculatedColumnFormula>IF(Tabela24[fLC]="Pista simples","-",Tabela24[BFFS]-Tabela24[fLW]-Tabela24[fLC]-Tabela24[fM]-Tabela24[fA2])</calculatedColumnFormula>
    </tableColumn>
    <tableColumn id="82" name="Et2" dataDxfId="150">
      <calculatedColumnFormula>IF(Tabela24[plano/ondulado]="Montanhoso",Tabela24[Para PT&lt;],VLOOKUP(Tabela24[plano/ondulado],'HCM2000'!$B$606:$C$608,2,FALSE))</calculatedColumnFormula>
    </tableColumn>
    <tableColumn id="51" name="Er2" dataDxfId="149">
      <calculatedColumnFormula>IF(Tabela24[[#This Row],[plano/ondulado]]="Montanhoso",Tabela24[[#This Row],[Para PT&lt;]],VLOOKUP(Tabela24[[#This Row],[plano/ondulado]],'HCM2000'!$E$606:$F$608,2,FALSE))</calculatedColumnFormula>
    </tableColumn>
    <tableColumn id="5" name="fHV" dataDxfId="148">
      <calculatedColumnFormula>1/(1+(Tabela24[Pt]*(Tabela24[Et2]-1))+(Tabela24[PRv]*(Tabela24[Er2]-1)))</calculatedColumnFormula>
    </tableColumn>
    <tableColumn id="76" name="N" dataDxfId="147">
      <calculatedColumnFormula>K14+IF(Tabela24[[#This Row],[Num. Faixas Marg.]]="-",0,Tabela24[[#This Row],[Num. Faixas Marg.]])</calculatedColumnFormula>
    </tableColumn>
    <tableColumn id="77" name="vp3" dataDxfId="146">
      <calculatedColumnFormula>Tabela24[[#This Row],[Vzão]]/(Tabela24[[#This Row],[PHF]]*Tabela24[[#This Row],[N]]*Tabela24[[#This Row],[fHV]])</calculatedColumnFormula>
    </tableColumn>
    <tableColumn id="78" name="D" dataDxfId="145">
      <calculatedColumnFormula>IF(Tabela24[fLC]="Pista simples","-",Tabela24[vp3]/Tabela24[S])</calculatedColumnFormula>
    </tableColumn>
    <tableColumn id="3" name="S" dataDxfId="144">
      <calculatedColumnFormula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calculatedColumnFormula>
    </tableColumn>
    <tableColumn id="4" name="LOS_vp" dataDxfId="143">
      <calculatedColumnFormula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calculatedColumnFormula>
    </tableColumn>
    <tableColumn id="1" name="LOS_vp2" dataDxfId="142">
      <calculatedColumnFormula>IF(Tabela24[LOS_vp3]="F","F",VLOOKUP(Tabela24[LOS_vp3],'HCM2000'!$R$655:$S$659,2))</calculatedColumnFormula>
    </tableColumn>
    <tableColumn id="88" name="LOS_D" dataDxfId="141">
      <calculatedColumnFormula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calculatedColumnFormula>
    </tableColumn>
    <tableColumn id="87" name="LOS_D2" dataDxfId="140">
      <calculatedColumnFormula>IF(Tabela24[[#This Row],[LOS_vp3]]="F","F",IF(Tabela24[[#This Row],[fLC]]="Pista simples","-",VLOOKUP(Tabela24[[#This Row],[LOS_D3]],'HCM2000'!$R$655:$S$659,2)))</calculatedColumnFormula>
    </tableColumn>
    <tableColumn id="2" name="ml LOS" dataDxfId="139">
      <calculatedColumnFormula>IF(OR(Tabela24[[#This Row],[LOS_vp3]]="F",Tabela24[[#This Row],[LOS_D3]]="F"),"F",IF(Tabela24[[#This Row],[Pista]]="Pista Simples","-",VLOOKUP(MINA(Tabela24[LOS_vp],Tabela24[LOS_D]),'HCM2000'!$R$655:$S$659,2)))</calculatedColumnFormula>
    </tableColumn>
    <tableColumn id="15" name="%" dataDxfId="138"/>
    <tableColumn id="31" name="ext" dataDxfId="137"/>
    <tableColumn id="11" name="Ex 21-9 Pt &lt;" dataDxfId="136">
      <calculatedColumnFormula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calculatedColumnFormula>
    </tableColumn>
    <tableColumn id="12" name="Ex 21-9 Pt &gt;" dataDxfId="135">
      <calculatedColumnFormula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calculatedColumnFormula>
    </tableColumn>
    <tableColumn id="13" name="Para PT&lt;" dataDxfId="134">
      <calculatedColumnFormula>ABS(INDEX('HCM2000'!$E$611:$M$611,1,MATCH(Tabela24[Pt]*100,'HCM2000'!$E$611:$M$611,1))-Tabela24[Pt]*100)</calculatedColumnFormula>
    </tableColumn>
    <tableColumn id="64" name="Para PT&gt;" dataDxfId="133">
      <calculatedColumnFormula>INDEX('HCM2000'!$E$611:$M$611,1,MATCH(Tabela24[[#This Row],[Pt]]*100,'HCM2000'!$E$611:$M$611,1)+1)-Tabela24[[#This Row],[Pt]]*100</calculatedColumnFormula>
    </tableColumn>
    <tableColumn id="65" name="ETsu" dataDxfId="132">
      <calculatedColumnFormula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calculatedColumnFormula>
    </tableColumn>
    <tableColumn id="66" name="ERsu" dataDxfId="131"/>
    <tableColumn id="67" name="fHVsu" dataDxfId="130">
      <calculatedColumnFormula>1/(1+(Tabela24[Pt]*(Tabela24[ETsu]-1))+(Tabela24[PRv]*(Tabela24[ERsu]-1)))</calculatedColumnFormula>
    </tableColumn>
    <tableColumn id="68" name="vpsu" dataDxfId="129">
      <calculatedColumnFormula>Tabela24[Vzão]/(Tabela24[PHF]*Tabela24[N]*Tabela24[fHVsu])</calculatedColumnFormula>
    </tableColumn>
    <tableColumn id="69" name="Dsu" dataDxfId="128">
      <calculatedColumnFormula>IF(Tabela24[fLC]="Pista simples","-",Tabela24[vpsu]/Tabela24[S])</calculatedColumnFormula>
    </tableColumn>
    <tableColumn id="70" name="Ssu" dataDxfId="127">
      <calculatedColumnFormula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calculatedColumnFormula>
    </tableColumn>
    <tableColumn id="71" name="LOS_vp3" dataDxfId="126">
      <calculatedColumnFormula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calculatedColumnFormula>
    </tableColumn>
    <tableColumn id="72" name="LOS_vp4" dataDxfId="125">
      <calculatedColumnFormula>IF(Tabela24[[#This Row],[LOS_vp3]]="F","F",VLOOKUP(Tabela24[[#This Row],[LOS_vp3]],'HCM2000'!$R$655:$S$659,2))</calculatedColumnFormula>
    </tableColumn>
    <tableColumn id="73" name="LOS_D3" dataDxfId="124">
      <calculatedColumnFormula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calculatedColumnFormula>
    </tableColumn>
    <tableColumn id="74" name="LOS_D4" dataDxfId="123">
      <calculatedColumnFormula>IF(Tabela24[[#This Row],[LOS_vp3]]="F","F",IF(Tabela24[[#This Row],[fLC]]="Pista simples","-",VLOOKUP(Tabela24[[#This Row],[LOS_D3]],'HCM2000'!$R$655:$S$659,2)))</calculatedColumnFormula>
    </tableColumn>
    <tableColumn id="110" name="mlsu LOS" dataDxfId="122">
      <calculatedColumnFormula>IF(OR(Tabela24[[#This Row],[LOS_vp3]]="F",Tabela24[[#This Row],[LOS_D3]]="F"),"F",IF(Tabela24[[#This Row],[Pista]]="Pista Simples","-",VLOOKUP(MINA(Tabela24[LOS_vp3],Tabela24[LOS_D3]),'HCM2000'!$R$655:$S$659,2)))</calculatedColumnFormula>
    </tableColumn>
  </tableColumns>
  <tableStyleInfo name="Estilo de Tabela 1" showFirstColumn="0" showLastColumn="0" showRowStripes="1" showColumnStripes="0"/>
</table>
</file>

<file path=xl/tables/table11.xml><?xml version="1.0" encoding="utf-8"?>
<table xmlns="http://schemas.openxmlformats.org/spreadsheetml/2006/main" id="1" name="TWO_LANE_HIGHWAY" displayName="TWO_LANE_HIGHWAY" ref="FD13:HQ21" headerRowDxfId="121" dataDxfId="120">
  <autoFilter ref="FD13:HQ21"/>
  <tableColumns count="66">
    <tableColumn id="5" name="Type Terrain" dataDxfId="119">
      <calculatedColumnFormula>IF(INPUTS[Type of terrain]="level",0,1)</calculatedColumnFormula>
    </tableColumn>
    <tableColumn id="51" name="fG_ATS_O_UP [20-13]" dataDxfId="118"/>
    <tableColumn id="13" name="fG_ATS_O_DOWN [20-7]" dataDxfId="117"/>
    <tableColumn id="52" name="ETC_ATS_O [20-18]" dataDxfId="116"/>
    <tableColumn id="7" name="ET_ATS_O_DOWN [20-9]" dataDxfId="115"/>
    <tableColumn id="8" name="ER_ATS_O_DOWN [20-9]" dataDxfId="114"/>
    <tableColumn id="53" name="ET_ATS_O_UP [20-15]" dataDxfId="113"/>
    <tableColumn id="54" name="ER_ATS_O_UP [20-17]" dataDxfId="112"/>
    <tableColumn id="14" name="fG_ATS_O" dataDxfId="111">
      <calculatedColumnFormula>IF(INPUTS[Direction analysed ?]="up",TWO_LANE_HIGHWAY[fG_ATS_O_DOWN '[20-7']],TWO_LANE_HIGHWAY[fG_ATS_O_UP '[20-13']])</calculatedColumnFormula>
    </tableColumn>
    <tableColumn id="10" name="ET_ATS_O" dataDxfId="110">
      <calculatedColumnFormula>IF(INPUTS[Direction analysed ?]="up",TWO_LANE_HIGHWAY[ET_ATS_O_DOWN '[20-9']],TWO_LANE_HIGHWAY[ET_ATS_O_UP '[20-15']])</calculatedColumnFormula>
    </tableColumn>
    <tableColumn id="9" name="ER_ATS_O" dataDxfId="109">
      <calculatedColumnFormula>IF(INPUTS[Direction analysed ?]="up",TWO_LANE_HIGHWAY[ER_ATS_O_DOWN '[20-9']],TWO_LANE_HIGHWAY[ER_ATS_O_UP '[20-17']])</calculatedColumnFormula>
    </tableColumn>
    <tableColumn id="1" name="PTC_O' [%]" dataDxfId="108">
      <calculatedColumnFormula>IF(INPUTS[Direction analysed ?]="up",1,0)*INPUTS[PTC '[%']]</calculatedColumnFormula>
    </tableColumn>
    <tableColumn id="55" name="fHV_ATS_O [(20-14)]" dataDxfId="107">
      <calculatedColumnFormula>1/(1+TWO_LANE_HIGHWAY[PTC_O'' '[%']]*INPUTS[PT '[%']]*(TWO_LANE_HIGHWAY[ETC_ATS_O '[20-18']]-1)+(1-TWO_LANE_HIGHWAY[PTC_O'' '[%']])*INPUTS[PT '[%']]*(TWO_LANE_HIGHWAY[ET_ATS_O]-1)+INPUTS[PR '[%']]*(TWO_LANE_HIGHWAY[ER_ATS_O]-1))</calculatedColumnFormula>
    </tableColumn>
    <tableColumn id="2" name="Vo_ATS_init [pc/h]" dataDxfId="106">
      <calculatedColumnFormula>GENERAL[VO '[veh/h']]/GENERAL[PHF]</calculatedColumnFormula>
    </tableColumn>
    <tableColumn id="64" name="Vo_ATS_' [pc/h]" dataDxfId="105"/>
    <tableColumn id="56" name="Vo_ATS [pc/h]" dataDxfId="104">
      <calculatedColumnFormula>IFERROR(GENERAL[VO '[veh/h']]/(GENERAL[PHF]*TWO_LANE_HIGHWAY[fG_ATS_O]*TWO_LANE_HIGHWAY[fHV_ATS_O '[(20-14)']]),0)</calculatedColumnFormula>
    </tableColumn>
    <tableColumn id="16" name="fG_ATS_D_UP [20-13]" dataDxfId="103"/>
    <tableColumn id="12" name="fG_ATS_D_DOWN [20-7]" dataDxfId="102"/>
    <tableColumn id="24" name="ETC_ATS_D [20-18]" dataDxfId="101"/>
    <tableColumn id="20" name="ET_ATS_D_DOWN [20-9]" dataDxfId="100"/>
    <tableColumn id="23" name="ER_ATS_D_DOWN [20-9]" dataDxfId="99"/>
    <tableColumn id="21" name="ET_ATS_D_UP [20-15]" dataDxfId="98"/>
    <tableColumn id="22" name="ER_ATS_D_UP [20-17]" dataDxfId="97"/>
    <tableColumn id="11" name="fG_ATS_D" dataDxfId="96">
      <calculatedColumnFormula>IF(INPUTS[Direction analysed ?]="up",TWO_LANE_HIGHWAY[fG_ATS_D_UP '[20-13']],TWO_LANE_HIGHWAY[fG_ATS_D_DOWN '[20-7']])</calculatedColumnFormula>
    </tableColumn>
    <tableColumn id="15" name="ET_ATS_D" dataDxfId="95">
      <calculatedColumnFormula>IF(INPUTS[Direction analysed ?]="up",TWO_LANE_HIGHWAY[ET_ATS_D_UP '[20-15']],TWO_LANE_HIGHWAY[ET_ATS_D_DOWN '[20-9']])</calculatedColumnFormula>
    </tableColumn>
    <tableColumn id="19" name="ER_ATS_D" dataDxfId="94">
      <calculatedColumnFormula>IF(INPUTS[Direction analysed ?]="up",TWO_LANE_HIGHWAY[ER_ATS_D_UP '[20-17']],TWO_LANE_HIGHWAY[ER_ATS_D_DOWN '[20-9']])</calculatedColumnFormula>
    </tableColumn>
    <tableColumn id="6" name="PTC_D' [%]" dataDxfId="93">
      <calculatedColumnFormula>IF(INPUTS[Direction analysed ?]="up",0,1)*INPUTS[PTC '[%']]</calculatedColumnFormula>
    </tableColumn>
    <tableColumn id="17" name="fHV_ATS_D [(20-14)]" dataDxfId="92">
      <calculatedColumnFormula>1/(1+TWO_LANE_HIGHWAY[PTC_D'' '[%']]*INPUTS[PT '[%']]*(TWO_LANE_HIGHWAY[ETC_ATS_D '[20-18']]-1)+(1-TWO_LANE_HIGHWAY[PTC_D'' '[%']])*INPUTS[PT '[%']]*(TWO_LANE_HIGHWAY[ET_ATS_D]-1)+INPUTS[PR '[%']]*(TWO_LANE_HIGHWAY[ER_ATS_D]-1))</calculatedColumnFormula>
    </tableColumn>
    <tableColumn id="4" name="Vd_ATS_init [pc/h]" dataDxfId="91">
      <calculatedColumnFormula>GENERAL[VD '[veh/h']]/GENERAL[PHF]</calculatedColumnFormula>
    </tableColumn>
    <tableColumn id="3" name="Vd_ATS_' [pc/h]" dataDxfId="90"/>
    <tableColumn id="18" name="Vd_ATS [pc/h]" dataDxfId="89">
      <calculatedColumnFormula>IFERROR(GENERAL[VD '[veh/h']]/(GENERAL[PHF]*TWO_LANE_HIGHWAY[fG_ATS_D]*TWO_LANE_HIGHWAY[fHV_ATS_D '[(20-14)']]),0)</calculatedColumnFormula>
    </tableColumn>
    <tableColumn id="34" name="fnp_ATS [20-19]" dataDxfId="88"/>
    <tableColumn id="35" name="FFSd [km/h]" dataDxfId="87">
      <calculatedColumnFormula>GENERAL[[#This Row],[FFS  '[km/h']]]</calculatedColumnFormula>
    </tableColumn>
    <tableColumn id="36" name="ATSd  [km/h]" dataDxfId="86">
      <calculatedColumnFormula>TWO_LANE_HIGHWAY[FFSd '[km/h']]-0.0125*(GENERAL[VD '[veh/h']]+GENERAL[VO '[veh/h']])-TWO_LANE_HIGHWAY[fnp_ATS '[20-19']]</calculatedColumnFormula>
    </tableColumn>
    <tableColumn id="57" name="fG_PTSF_O_UP [20-14]" dataDxfId="85"/>
    <tableColumn id="69" name="fG_PTSF_O_DOWN [20-8]" dataDxfId="84"/>
    <tableColumn id="32" name="ET_PTSF_O_DOWN [20-10]" dataDxfId="83"/>
    <tableColumn id="33" name="ER_PTSF_O_DOWN [20-10]" dataDxfId="82">
      <calculatedColumnFormula>1</calculatedColumnFormula>
    </tableColumn>
    <tableColumn id="59" name="ET_PTSF_O_UP [20-16]" dataDxfId="81"/>
    <tableColumn id="60" name="ER_PTSF_O_UP [20-16]" dataDxfId="80">
      <calculatedColumnFormula>1</calculatedColumnFormula>
    </tableColumn>
    <tableColumn id="68" name="FG_PTSF_O" dataDxfId="79">
      <calculatedColumnFormula>IF(INPUTS[Direction analysed ?]="up",TWO_LANE_HIGHWAY[fG_PTSF_O_DOWN '[20-8']],TWO_LANE_HIGHWAY[fG_PTSF_O_UP '[20-14']])</calculatedColumnFormula>
    </tableColumn>
    <tableColumn id="29" name="ET_PTSF_O" dataDxfId="78">
      <calculatedColumnFormula>IF(INPUTS[Direction analysed ?]="up",TWO_LANE_HIGHWAY[ET_PTSF_O_DOWN '[20-10']],TWO_LANE_HIGHWAY[ET_PTSF_O_UP '[20-16']])</calculatedColumnFormula>
    </tableColumn>
    <tableColumn id="30" name="ER_PTSF_O" dataDxfId="77">
      <calculatedColumnFormula>IF(INPUTS[Direction analysed ?]="up",TWO_LANE_HIGHWAY[ER_PTSF_O_DOWN '[20-10']],TWO_LANE_HIGHWAY[ER_PTSF_O_UP '[20-16']])</calculatedColumnFormula>
    </tableColumn>
    <tableColumn id="61" name="fHV_PTSF_O" dataDxfId="76">
      <calculatedColumnFormula>1/(1+INPUTS[PT '[%']]*(TWO_LANE_HIGHWAY[ET_PTSF_O]-1)+INPUTS[PR '[%']]*(TWO_LANE_HIGHWAY[ER_PTSF_O]-1))</calculatedColumnFormula>
    </tableColumn>
    <tableColumn id="28" name="Vo_PTSF_init [pc/h]" dataDxfId="75">
      <calculatedColumnFormula>TWO_LANE_HIGHWAY[Vo_ATS_init '[pc/h']]</calculatedColumnFormula>
    </tableColumn>
    <tableColumn id="27" name="Vo_PTSF_' [pc/h]" dataDxfId="74"/>
    <tableColumn id="63" name="Vo_PTSF [pc/h]" dataDxfId="73">
      <calculatedColumnFormula>IFERROR(GENERAL[VO '[veh/h']]/(GENERAL[PHF]*TWO_LANE_HIGHWAY[FG_PTSF_O]*TWO_LANE_HIGHWAY[fHV_PTSF_O]),0)</calculatedColumnFormula>
    </tableColumn>
    <tableColumn id="38" name="fG_PTSF_D_UP [20-14]" dataDxfId="72"/>
    <tableColumn id="70" name="fG_PTSF_D_DOWN [20-8]" dataDxfId="71"/>
    <tableColumn id="67" name="ET_PTSF_D_DOWN [20-10]" dataDxfId="70"/>
    <tableColumn id="66" name="ER_PTSF_D_DOWN  [20-10]" dataDxfId="69">
      <calculatedColumnFormula>1</calculatedColumnFormula>
    </tableColumn>
    <tableColumn id="40" name="ET_PTSF_D_UP [20-16]" dataDxfId="68"/>
    <tableColumn id="41" name="ER_PTSF_D_UP [20-16]" dataDxfId="67">
      <calculatedColumnFormula>1</calculatedColumnFormula>
    </tableColumn>
    <tableColumn id="71" name="FG_PTSF_D" dataDxfId="66">
      <calculatedColumnFormula>IF(INPUTS[Direction analysed ?]="up",TWO_LANE_HIGHWAY[fG_PTSF_D_UP '[20-14']],TWO_LANE_HIGHWAY[fG_PTSF_D_DOWN '[20-8']])</calculatedColumnFormula>
    </tableColumn>
    <tableColumn id="44" name="ET_PTSF_D" dataDxfId="65">
      <calculatedColumnFormula>IF(INPUTS[Direction analysed ?]="up",TWO_LANE_HIGHWAY[ET_PTSF_D_UP '[20-16']],TWO_LANE_HIGHWAY[ET_PTSF_D_DOWN '[20-10']])</calculatedColumnFormula>
    </tableColumn>
    <tableColumn id="62" name="ER_PTSF_D" dataDxfId="64">
      <calculatedColumnFormula>IF(INPUTS[Direction analysed ?]="up",TWO_LANE_HIGHWAY[ER_PTSF_D_UP '[20-16']],TWO_LANE_HIGHWAY[ER_PTSF_D_DOWN  '[20-10']])</calculatedColumnFormula>
    </tableColumn>
    <tableColumn id="42" name="fHV_PTSF_D" dataDxfId="63">
      <calculatedColumnFormula>1/(1+INPUTS[PT '[%']]*(TWO_LANE_HIGHWAY[ET_PTSF_D]-1)+INPUTS[PR '[%']]*(TWO_LANE_HIGHWAY[ER_PTSF_D]-1))</calculatedColumnFormula>
    </tableColumn>
    <tableColumn id="65" name="Vd_PTSF_init [pc/h]" dataDxfId="62">
      <calculatedColumnFormula>TWO_LANE_HIGHWAY[Vd_ATS_init '[pc/h']]</calculatedColumnFormula>
    </tableColumn>
    <tableColumn id="37" name="Vd_PTSF_' [pc/h]" dataDxfId="61"/>
    <tableColumn id="43" name="Vd_PTSF [pc/h]" dataDxfId="60" totalsRowDxfId="59">
      <calculatedColumnFormula>IFERROR(GENERAL[VD '[veh/h']]/(GENERAL[PHF]*TWO_LANE_HIGHWAY[FG_PTSF_D]*TWO_LANE_HIGHWAY[fHV_PTSF_D]),0)</calculatedColumnFormula>
    </tableColumn>
    <tableColumn id="45" name="fnp_PTSF [20-20]" dataDxfId="58" totalsRowDxfId="57"/>
    <tableColumn id="46" name="a [20-21]" dataDxfId="56" totalsRowDxfId="55"/>
    <tableColumn id="49" name="b [20-21]" dataDxfId="54" totalsRowDxfId="53"/>
    <tableColumn id="48" name="BPTSFd [%]" dataDxfId="52" totalsRowDxfId="51">
      <calculatedColumnFormula>100*EXP(TWO_LANE_HIGHWAY[a '[20-21']]*TWO_LANE_HIGHWAY[Vd_PTSF '[pc/h']]^TWO_LANE_HIGHWAY[b '[20-21']])</calculatedColumnFormula>
    </tableColumn>
    <tableColumn id="47" name="PTSFd [%]" dataDxfId="50" totalsRowDxfId="49">
      <calculatedColumnFormula>TWO_LANE_HIGHWAY[BPTSFd '[%']]+TWO_LANE_HIGHWAY[fnp_PTSF '[20-20']]</calculatedColumnFormula>
    </tableColumn>
    <tableColumn id="50" name="LOS [20-2]" dataDxfId="48" totalsRowDxfId="47"/>
  </tableColumns>
  <tableStyleInfo name="TableStyleMedium18" showFirstColumn="0" showLastColumn="0" showRowStripes="1" showColumnStripes="0"/>
</table>
</file>

<file path=xl/tables/table12.xml><?xml version="1.0" encoding="utf-8"?>
<table xmlns="http://schemas.openxmlformats.org/spreadsheetml/2006/main" id="2" name="INPUTS" displayName="INPUTS" ref="EC13:ER21" totalsRowShown="0" headerRowDxfId="46" dataDxfId="45">
  <autoFilter ref="EC13:ER21"/>
  <tableColumns count="16">
    <tableColumn id="1" name="Grade [%]" dataDxfId="44"/>
    <tableColumn id="2" name="Length [km]" dataDxfId="43"/>
    <tableColumn id="19" name="Direction analysed ?" dataDxfId="42"/>
    <tableColumn id="6" name="Type of terrain" dataDxfId="41">
      <calculatedColumnFormula>"level"</calculatedColumnFormula>
    </tableColumn>
    <tableColumn id="13" name="Lane width [m]" dataDxfId="40"/>
    <tableColumn id="15" name="Shoulder width [m]" dataDxfId="39"/>
    <tableColumn id="14" name="Terrain type " dataDxfId="38"/>
    <tableColumn id="3" name="Access points /km [1]" dataDxfId="37"/>
    <tableColumn id="4" name="No passing zone [%]" dataDxfId="36"/>
    <tableColumn id="5" name="Cars [VDMA]" dataDxfId="35"/>
    <tableColumn id="7" name="Trucks [VDMA]" dataDxfId="34"/>
    <tableColumn id="8" name="Direction Split [%]" dataDxfId="33">
      <calculatedColumnFormula>292/(292+239)</calculatedColumnFormula>
    </tableColumn>
    <tableColumn id="17" name="Truck crawl speed [km/h]" dataDxfId="32">
      <calculatedColumnFormula>70</calculatedColumnFormula>
    </tableColumn>
    <tableColumn id="9" name="PTC [%]" dataDxfId="31"/>
    <tableColumn id="10" name="PT [%]" dataDxfId="30"/>
    <tableColumn id="11" name="PR [%]" dataDxfId="29"/>
  </tableColumns>
  <tableStyleInfo name="TableStyleMedium18" showFirstColumn="0" showLastColumn="0" showRowStripes="1" showColumnStripes="0"/>
</table>
</file>

<file path=xl/tables/table13.xml><?xml version="1.0" encoding="utf-8"?>
<table xmlns="http://schemas.openxmlformats.org/spreadsheetml/2006/main" id="4" name="GENERAL" displayName="GENERAL" ref="ET13:FB21" totalsRowShown="0" headerRowDxfId="28" dataDxfId="27">
  <autoFilter ref="ET13:FB21"/>
  <tableColumns count="9">
    <tableColumn id="1" name="PHF" dataDxfId="26">
      <calculatedColumnFormula>0.88</calculatedColumnFormula>
    </tableColumn>
    <tableColumn id="4" name="VD [veh/h]" dataDxfId="25">
      <calculatedColumnFormula>(INPUTS[Cars '[VDMA']]+INPUTS[Trucks '[VDMA']])*GENERAL[VDMA to veh/h ]*INPUTS[Direction Split '[%']]</calculatedColumnFormula>
    </tableColumn>
    <tableColumn id="5" name="VO [veh/h]" dataDxfId="24">
      <calculatedColumnFormula>(INPUTS[Cars '[VDMA']]+INPUTS[Trucks '[VDMA']])*GENERAL[VDMA to veh/h ]*(1-INPUTS[Direction Split '[%']])</calculatedColumnFormula>
    </tableColumn>
    <tableColumn id="8" name="BFFS  [km/h]" dataDxfId="23">
      <calculatedColumnFormula>88</calculatedColumnFormula>
    </tableColumn>
    <tableColumn id="7" name="fLS [20-5]" dataDxfId="22">
      <calculatedColumnFormula>INDEX('HCM2000'!$L$68:$AF$83,MATCH(INPUTS[Lane width '[m']],'HCM2000'!$K$68:$K$83),MATCH(INPUTS[Shoulder width '[m']],'HCM2000'!$L$67:$AF$67)+1)</calculatedColumnFormula>
    </tableColumn>
    <tableColumn id="6" name="fA [20-6]" dataDxfId="21">
      <calculatedColumnFormula>MIN(16,2/3*INPUTS[Access points /km '[1']])</calculatedColumnFormula>
    </tableColumn>
    <tableColumn id="2" name="FFS  [km/h]" dataDxfId="20">
      <calculatedColumnFormula>GENERAL[BFFS  '[km/h']]-GENERAL[fLS '[20-5']]-GENERAL[fA '[20-6']]</calculatedColumnFormula>
    </tableColumn>
    <tableColumn id="3" name="VDMA to veh/h " dataDxfId="19">
      <calculatedColumnFormula>0.12</calculatedColumnFormula>
    </tableColumn>
    <tableColumn id="10" name="FFS - Truck scrawl speed" dataDxfId="18">
      <calculatedColumnFormula>GENERAL[FFS  '[km/h']] - INPUTS[Truck crawl speed '[km/h']]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SDG Bas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SDG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custClrLst>
    <a:custClr name="SDG Red">
      <a:srgbClr val="AE1031"/>
    </a:custClr>
    <a:custClr name="SDG Grey">
      <a:srgbClr val="57626E"/>
    </a:custClr>
    <a:custClr name="SDG Light Blue">
      <a:srgbClr val="86B3CB"/>
    </a:custClr>
    <a:custClr name="SDG Purple">
      <a:srgbClr val="926899"/>
    </a:custClr>
    <a:custClr name="SDG Green">
      <a:srgbClr val="7DC574"/>
    </a:custClr>
    <a:custClr name="SDG Orange">
      <a:srgbClr val="F8982D"/>
    </a:custClr>
    <a:custClr name="SDG Teal">
      <a:srgbClr val="369A98"/>
    </a:custClr>
    <a:custClr name="SDG Light Blue 20%">
      <a:srgbClr val="EFF6FA"/>
    </a:custClr>
    <a:custClr name="SGD Light Blue 50%">
      <a:srgbClr val="D6E7F2"/>
    </a:custClr>
    <a:custClr name="SDG Grey 50%">
      <a:srgbClr val="98A5AD"/>
    </a:custClr>
    <a:custClr name="SDG Red">
      <a:srgbClr val="AE1031"/>
    </a:custClr>
  </a:custClr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FFFF00"/>
  </sheetPr>
  <dimension ref="A1:AV37"/>
  <sheetViews>
    <sheetView tabSelected="1" zoomScale="70" zoomScaleNormal="70" workbookViewId="0">
      <selection activeCell="H37" sqref="H37"/>
    </sheetView>
  </sheetViews>
  <sheetFormatPr defaultRowHeight="12.75"/>
  <cols>
    <col min="1" max="1" width="5.7109375" customWidth="1"/>
    <col min="2" max="2" width="31.7109375" customWidth="1"/>
    <col min="3" max="6" width="9.140625" customWidth="1"/>
    <col min="8" max="8" width="9.5703125" customWidth="1"/>
    <col min="9" max="9" width="11.140625" customWidth="1"/>
    <col min="10" max="12" width="10.140625" customWidth="1"/>
    <col min="13" max="13" width="11.42578125" customWidth="1"/>
    <col min="14" max="18" width="9.140625" customWidth="1"/>
    <col min="23" max="23" width="9.140625" customWidth="1"/>
    <col min="24" max="24" width="31.85546875" customWidth="1"/>
  </cols>
  <sheetData>
    <row r="1" spans="1:48" s="570" customFormat="1" ht="32.25">
      <c r="B1" s="570" t="s">
        <v>261</v>
      </c>
      <c r="E1" s="571" t="s">
        <v>116</v>
      </c>
      <c r="F1" s="607">
        <v>2016</v>
      </c>
      <c r="G1" s="607"/>
      <c r="J1" s="570" t="s">
        <v>655</v>
      </c>
    </row>
    <row r="3" spans="1:48" s="58" customFormat="1">
      <c r="T3" s="576" t="s">
        <v>666</v>
      </c>
      <c r="U3" s="576" t="s">
        <v>667</v>
      </c>
      <c r="V3" s="576" t="s">
        <v>668</v>
      </c>
      <c r="W3" s="576" t="s">
        <v>658</v>
      </c>
      <c r="X3" s="576" t="s">
        <v>138</v>
      </c>
    </row>
    <row r="4" spans="1:48" s="58" customFormat="1">
      <c r="T4" s="575" t="s">
        <v>664</v>
      </c>
      <c r="U4" s="575" t="s">
        <v>579</v>
      </c>
      <c r="V4" s="575" t="s">
        <v>7</v>
      </c>
      <c r="W4" s="575" t="s">
        <v>661</v>
      </c>
      <c r="X4" s="575" t="s">
        <v>366</v>
      </c>
    </row>
    <row r="5" spans="1:48" s="58" customFormat="1">
      <c r="T5" s="575" t="s">
        <v>665</v>
      </c>
      <c r="U5" s="575" t="s">
        <v>580</v>
      </c>
      <c r="V5" s="575" t="s">
        <v>8</v>
      </c>
      <c r="W5" s="575" t="s">
        <v>659</v>
      </c>
      <c r="X5" s="575"/>
    </row>
    <row r="6" spans="1:48" s="58" customFormat="1">
      <c r="T6" s="575"/>
      <c r="U6" s="575"/>
      <c r="V6" s="575"/>
      <c r="W6" s="575" t="s">
        <v>662</v>
      </c>
      <c r="X6" s="575"/>
    </row>
    <row r="7" spans="1:48" s="58" customFormat="1">
      <c r="T7" s="575"/>
      <c r="U7" s="575"/>
      <c r="V7" s="575"/>
      <c r="W7" s="575" t="s">
        <v>660</v>
      </c>
      <c r="X7" s="575"/>
    </row>
    <row r="8" spans="1:48">
      <c r="M8" s="440" t="s">
        <v>404</v>
      </c>
      <c r="N8" s="440"/>
      <c r="O8" s="440"/>
      <c r="P8" s="440" t="s">
        <v>403</v>
      </c>
      <c r="Q8" s="440"/>
      <c r="R8" s="440" t="s">
        <v>691</v>
      </c>
      <c r="S8" s="440"/>
      <c r="T8" s="440" t="s">
        <v>691</v>
      </c>
    </row>
    <row r="9" spans="1:48" s="437" customFormat="1" ht="57.75" customHeight="1">
      <c r="A9" s="437" t="s">
        <v>656</v>
      </c>
      <c r="B9" s="437" t="s">
        <v>658</v>
      </c>
      <c r="C9" s="588" t="s">
        <v>677</v>
      </c>
      <c r="D9" s="588" t="s">
        <v>696</v>
      </c>
      <c r="E9" s="588" t="s">
        <v>697</v>
      </c>
      <c r="F9" s="588" t="s">
        <v>698</v>
      </c>
      <c r="G9" s="588" t="s">
        <v>699</v>
      </c>
      <c r="H9" s="588" t="s">
        <v>700</v>
      </c>
      <c r="I9" s="437" t="s">
        <v>129</v>
      </c>
      <c r="J9" s="437" t="s">
        <v>130</v>
      </c>
      <c r="K9" s="437" t="s">
        <v>140</v>
      </c>
      <c r="L9" s="437" t="s">
        <v>141</v>
      </c>
      <c r="M9" s="437" t="s">
        <v>678</v>
      </c>
      <c r="N9" s="437" t="s">
        <v>131</v>
      </c>
      <c r="O9" s="437" t="s">
        <v>378</v>
      </c>
      <c r="P9" s="437" t="s">
        <v>657</v>
      </c>
      <c r="Q9" s="437" t="s">
        <v>132</v>
      </c>
      <c r="R9" s="437" t="s">
        <v>133</v>
      </c>
      <c r="S9" s="437" t="s">
        <v>134</v>
      </c>
      <c r="T9" s="437" t="s">
        <v>135</v>
      </c>
      <c r="U9" s="437" t="s">
        <v>136</v>
      </c>
      <c r="V9" s="437" t="s">
        <v>137</v>
      </c>
      <c r="W9" s="437" t="s">
        <v>138</v>
      </c>
      <c r="X9" s="437" t="s">
        <v>139</v>
      </c>
      <c r="Y9" s="437" t="s">
        <v>392</v>
      </c>
      <c r="Z9" s="437" t="s">
        <v>393</v>
      </c>
      <c r="AA9" s="437" t="s">
        <v>663</v>
      </c>
      <c r="AB9" s="437" t="s">
        <v>578</v>
      </c>
      <c r="AC9" s="437" t="s">
        <v>594</v>
      </c>
      <c r="AD9" s="437" t="s">
        <v>537</v>
      </c>
      <c r="AE9" s="437" t="s">
        <v>538</v>
      </c>
      <c r="AF9" s="437" t="s">
        <v>701</v>
      </c>
      <c r="AG9" s="437" t="s">
        <v>539</v>
      </c>
      <c r="AH9" s="437" t="s">
        <v>540</v>
      </c>
      <c r="AI9" s="437" t="s">
        <v>541</v>
      </c>
      <c r="AJ9" s="437" t="s">
        <v>575</v>
      </c>
      <c r="AK9" s="437" t="s">
        <v>563</v>
      </c>
      <c r="AL9" s="437" t="s">
        <v>564</v>
      </c>
      <c r="AM9" s="437" t="s">
        <v>565</v>
      </c>
      <c r="AN9" s="437" t="s">
        <v>31</v>
      </c>
      <c r="AO9" s="437" t="s">
        <v>557</v>
      </c>
      <c r="AR9" s="437" t="s">
        <v>373</v>
      </c>
      <c r="AU9" s="437" t="s">
        <v>106</v>
      </c>
    </row>
    <row r="10" spans="1:48" s="281" customFormat="1">
      <c r="A10" s="606">
        <v>2</v>
      </c>
      <c r="B10" s="598" t="s">
        <v>660</v>
      </c>
      <c r="C10" s="598" t="s">
        <v>106</v>
      </c>
      <c r="D10" s="463"/>
      <c r="E10" s="463"/>
      <c r="F10" s="463">
        <v>1194.3088480093145</v>
      </c>
      <c r="G10" s="463">
        <v>12.104481567661971</v>
      </c>
      <c r="H10" s="463">
        <v>98.666666666666671</v>
      </c>
      <c r="I10" s="598"/>
      <c r="J10" s="61"/>
      <c r="K10" s="598"/>
      <c r="L10" s="598"/>
      <c r="M10" s="606">
        <v>300</v>
      </c>
      <c r="N10" s="598" t="s">
        <v>391</v>
      </c>
      <c r="O10" s="598"/>
      <c r="P10" s="606">
        <f>4</f>
        <v>4</v>
      </c>
      <c r="Q10" s="606">
        <v>2</v>
      </c>
      <c r="R10" s="606">
        <v>3.6</v>
      </c>
      <c r="S10" s="606" t="s">
        <v>143</v>
      </c>
      <c r="T10" s="598">
        <v>3.6</v>
      </c>
      <c r="U10" s="598">
        <v>1</v>
      </c>
      <c r="V10" s="598" t="s">
        <v>73</v>
      </c>
      <c r="W10" s="598" t="s">
        <v>145</v>
      </c>
      <c r="X10" s="598"/>
      <c r="Y10" s="606"/>
      <c r="Z10" s="598"/>
      <c r="AA10" s="606" t="s">
        <v>644</v>
      </c>
      <c r="AB10" s="606" t="str">
        <f t="shared" ref="AB10:AB37" si="0">"up"</f>
        <v>up</v>
      </c>
      <c r="AC10" s="606" t="s">
        <v>654</v>
      </c>
      <c r="AD10" s="606">
        <v>2</v>
      </c>
      <c r="AE10" s="606"/>
      <c r="AF10" s="606">
        <f>INPUT[Cars '[VDMA']]+INPUT[Trucks '[VDMA']]</f>
        <v>10170.454545454546</v>
      </c>
      <c r="AG10" s="680">
        <v>4072.6955736086575</v>
      </c>
      <c r="AH10" s="606">
        <v>6097.7589718458885</v>
      </c>
      <c r="AI10" s="606">
        <v>0.55000000000000004</v>
      </c>
      <c r="AJ10" s="606"/>
      <c r="AK10" s="606">
        <f>0</f>
        <v>0</v>
      </c>
      <c r="AL10" s="463">
        <v>0.59955618941054545</v>
      </c>
      <c r="AM10" s="606">
        <v>0.03</v>
      </c>
      <c r="AN10" s="606">
        <v>0.88</v>
      </c>
      <c r="AO10" s="606">
        <f>100</f>
        <v>100</v>
      </c>
      <c r="AR10" s="281">
        <v>365</v>
      </c>
      <c r="AS10" s="281">
        <f>AR10-INPUT[[#This Row],[VP_]]</f>
        <v>-829.30884800931449</v>
      </c>
      <c r="AU10" s="281">
        <v>3.7</v>
      </c>
      <c r="AV10" s="281">
        <f>AU10-INPUT[[#This Row],[D_]]</f>
        <v>-8.4044815676619713</v>
      </c>
    </row>
    <row r="11" spans="1:48" s="281" customFormat="1">
      <c r="A11" s="606">
        <v>3</v>
      </c>
      <c r="B11" s="598" t="s">
        <v>660</v>
      </c>
      <c r="C11" s="598" t="s">
        <v>106</v>
      </c>
      <c r="D11" s="463"/>
      <c r="E11" s="463"/>
      <c r="F11" s="463">
        <v>1092.5233808201231</v>
      </c>
      <c r="G11" s="463">
        <v>11.072872102906652</v>
      </c>
      <c r="H11" s="463">
        <v>98.666666666666671</v>
      </c>
      <c r="I11" s="598"/>
      <c r="J11" s="61"/>
      <c r="K11" s="598"/>
      <c r="L11" s="598"/>
      <c r="M11" s="606">
        <v>300</v>
      </c>
      <c r="N11" s="598" t="s">
        <v>391</v>
      </c>
      <c r="O11" s="598"/>
      <c r="P11" s="606">
        <f>4</f>
        <v>4</v>
      </c>
      <c r="Q11" s="606">
        <v>2</v>
      </c>
      <c r="R11" s="606">
        <v>3.6</v>
      </c>
      <c r="S11" s="606" t="s">
        <v>143</v>
      </c>
      <c r="T11" s="598">
        <v>3.6</v>
      </c>
      <c r="U11" s="598">
        <v>1</v>
      </c>
      <c r="V11" s="598" t="s">
        <v>73</v>
      </c>
      <c r="W11" s="598" t="s">
        <v>145</v>
      </c>
      <c r="X11" s="598"/>
      <c r="Y11" s="606"/>
      <c r="Z11" s="598"/>
      <c r="AA11" s="606" t="s">
        <v>644</v>
      </c>
      <c r="AB11" s="606" t="str">
        <f t="shared" si="0"/>
        <v>up</v>
      </c>
      <c r="AC11" s="606" t="s">
        <v>654</v>
      </c>
      <c r="AD11" s="606">
        <v>2</v>
      </c>
      <c r="AE11" s="606"/>
      <c r="AF11" s="606">
        <f>INPUT[Cars '[VDMA']]+INPUT[Trucks '[VDMA']]</f>
        <v>9931.818181818182</v>
      </c>
      <c r="AG11" s="683">
        <v>4539.1357132319354</v>
      </c>
      <c r="AH11" s="606">
        <v>5392.6824685862466</v>
      </c>
      <c r="AI11" s="606">
        <v>0.55000000000000004</v>
      </c>
      <c r="AJ11" s="606"/>
      <c r="AK11" s="606">
        <f>0</f>
        <v>0</v>
      </c>
      <c r="AL11" s="463">
        <v>0.54297031720319189</v>
      </c>
      <c r="AM11" s="606">
        <v>0.03</v>
      </c>
      <c r="AN11" s="606">
        <v>0.88</v>
      </c>
      <c r="AO11" s="606">
        <f>100</f>
        <v>100</v>
      </c>
      <c r="AR11" s="281">
        <v>350</v>
      </c>
      <c r="AS11" s="281">
        <f>AR11-INPUT[[#This Row],[VP_]]</f>
        <v>-742.52338082012307</v>
      </c>
      <c r="AU11" s="281">
        <v>3.5</v>
      </c>
      <c r="AV11" s="281">
        <f>AU11-INPUT[[#This Row],[D_]]</f>
        <v>-7.5728721029066524</v>
      </c>
    </row>
    <row r="12" spans="1:48" s="281" customFormat="1">
      <c r="A12" s="606">
        <v>4</v>
      </c>
      <c r="B12" s="598" t="s">
        <v>660</v>
      </c>
      <c r="C12" s="598" t="s">
        <v>106</v>
      </c>
      <c r="D12" s="682"/>
      <c r="E12" s="682"/>
      <c r="F12" s="682">
        <v>1114.8700080674</v>
      </c>
      <c r="G12" s="682">
        <v>11.299358189872297</v>
      </c>
      <c r="H12" s="682">
        <v>98.666666666666671</v>
      </c>
      <c r="I12" s="598"/>
      <c r="J12" s="598"/>
      <c r="K12" s="598"/>
      <c r="L12" s="598"/>
      <c r="M12" s="606">
        <v>300</v>
      </c>
      <c r="N12" s="598" t="s">
        <v>391</v>
      </c>
      <c r="O12" s="598"/>
      <c r="P12" s="606">
        <f>4</f>
        <v>4</v>
      </c>
      <c r="Q12" s="606">
        <v>2</v>
      </c>
      <c r="R12" s="606">
        <v>3.6</v>
      </c>
      <c r="S12" s="606"/>
      <c r="T12" s="598">
        <v>3.6</v>
      </c>
      <c r="U12" s="598">
        <v>1</v>
      </c>
      <c r="V12" s="598"/>
      <c r="W12" s="598" t="s">
        <v>145</v>
      </c>
      <c r="X12" s="598"/>
      <c r="Y12" s="606"/>
      <c r="Z12" s="598"/>
      <c r="AA12" s="606" t="s">
        <v>644</v>
      </c>
      <c r="AB12" s="606" t="str">
        <f t="shared" si="0"/>
        <v>up</v>
      </c>
      <c r="AC12" s="606" t="s">
        <v>654</v>
      </c>
      <c r="AD12" s="606">
        <v>2</v>
      </c>
      <c r="AE12" s="606"/>
      <c r="AF12" s="606">
        <f>INPUT[Cars '[VDMA']]+INPUT[Trucks '[VDMA']]</f>
        <v>8704.5454545454559</v>
      </c>
      <c r="AG12" s="680">
        <v>2779.3821896163226</v>
      </c>
      <c r="AH12" s="606">
        <v>5925.1632649291332</v>
      </c>
      <c r="AI12" s="606">
        <v>0.55000000000000004</v>
      </c>
      <c r="AJ12" s="606"/>
      <c r="AK12" s="606">
        <f>0</f>
        <v>0</v>
      </c>
      <c r="AL12" s="682">
        <v>0.68069760745922148</v>
      </c>
      <c r="AM12" s="606">
        <v>0.03</v>
      </c>
      <c r="AN12" s="606">
        <f t="shared" ref="AN12:AN37" si="1">0.88</f>
        <v>0.88</v>
      </c>
      <c r="AO12" s="606">
        <f>100</f>
        <v>100</v>
      </c>
      <c r="AR12" s="281">
        <v>322</v>
      </c>
      <c r="AS12" s="281">
        <f>AR12-INPUT[[#This Row],[VP_]]</f>
        <v>-792.87000806740002</v>
      </c>
      <c r="AU12" s="281">
        <v>3.3</v>
      </c>
      <c r="AV12" s="281">
        <f>AU12-INPUT[[#This Row],[D_]]</f>
        <v>-7.9993581898722974</v>
      </c>
    </row>
    <row r="13" spans="1:48" s="281" customFormat="1">
      <c r="A13" s="606">
        <v>5</v>
      </c>
      <c r="B13" s="598" t="s">
        <v>660</v>
      </c>
      <c r="C13" s="598" t="s">
        <v>106</v>
      </c>
      <c r="D13" s="682"/>
      <c r="E13" s="682"/>
      <c r="F13" s="682">
        <v>1096.021025226019</v>
      </c>
      <c r="G13" s="682">
        <v>11.108321201615057</v>
      </c>
      <c r="H13" s="682">
        <v>98.666666666666671</v>
      </c>
      <c r="I13" s="598"/>
      <c r="J13" s="598"/>
      <c r="K13" s="598"/>
      <c r="L13" s="598"/>
      <c r="M13" s="606">
        <v>300</v>
      </c>
      <c r="N13" s="598" t="s">
        <v>391</v>
      </c>
      <c r="O13" s="598"/>
      <c r="P13" s="606">
        <f>4</f>
        <v>4</v>
      </c>
      <c r="Q13" s="606">
        <v>2</v>
      </c>
      <c r="R13" s="606">
        <v>3.6</v>
      </c>
      <c r="S13" s="606"/>
      <c r="T13" s="598">
        <v>3.6</v>
      </c>
      <c r="U13" s="598">
        <v>1</v>
      </c>
      <c r="V13" s="598"/>
      <c r="W13" s="598" t="s">
        <v>145</v>
      </c>
      <c r="X13" s="598"/>
      <c r="Y13" s="606"/>
      <c r="Z13" s="598"/>
      <c r="AA13" s="606" t="s">
        <v>644</v>
      </c>
      <c r="AB13" s="606" t="str">
        <f t="shared" si="0"/>
        <v>up</v>
      </c>
      <c r="AC13" s="606" t="s">
        <v>654</v>
      </c>
      <c r="AD13" s="606">
        <v>2</v>
      </c>
      <c r="AE13" s="606"/>
      <c r="AF13" s="606">
        <f>INPUT[Cars '[VDMA']]+INPUT[Trucks '[VDMA']]</f>
        <v>9875</v>
      </c>
      <c r="AG13" s="683">
        <v>4438.8993316112565</v>
      </c>
      <c r="AH13" s="606">
        <v>5436.1006683887435</v>
      </c>
      <c r="AI13" s="606">
        <v>0.55000000000000004</v>
      </c>
      <c r="AJ13" s="606"/>
      <c r="AK13" s="606">
        <f>0</f>
        <v>0</v>
      </c>
      <c r="AL13" s="682">
        <v>0.5504912069254424</v>
      </c>
      <c r="AM13" s="606">
        <v>0.03</v>
      </c>
      <c r="AN13" s="606">
        <f t="shared" si="1"/>
        <v>0.88</v>
      </c>
      <c r="AO13" s="606">
        <f>100</f>
        <v>100</v>
      </c>
      <c r="AR13" s="281">
        <v>348</v>
      </c>
      <c r="AS13" s="281">
        <f>AR13-INPUT[[#This Row],[VP_]]</f>
        <v>-748.02102522601899</v>
      </c>
      <c r="AU13" s="281">
        <v>3.5</v>
      </c>
      <c r="AV13" s="281">
        <f>AU13-INPUT[[#This Row],[D_]]</f>
        <v>-7.6083212016150572</v>
      </c>
    </row>
    <row r="14" spans="1:48" s="281" customFormat="1">
      <c r="A14" s="606">
        <v>6</v>
      </c>
      <c r="B14" s="598" t="s">
        <v>660</v>
      </c>
      <c r="C14" s="598" t="s">
        <v>106</v>
      </c>
      <c r="D14" s="682"/>
      <c r="E14" s="682"/>
      <c r="F14" s="682">
        <v>1109.150135232017</v>
      </c>
      <c r="G14" s="682">
        <v>11.241386505729901</v>
      </c>
      <c r="H14" s="682">
        <v>98.666666666666671</v>
      </c>
      <c r="I14" s="598"/>
      <c r="J14" s="598"/>
      <c r="K14" s="598"/>
      <c r="L14" s="598"/>
      <c r="M14" s="606">
        <v>300</v>
      </c>
      <c r="N14" s="598" t="s">
        <v>391</v>
      </c>
      <c r="O14" s="598"/>
      <c r="P14" s="606">
        <f>4</f>
        <v>4</v>
      </c>
      <c r="Q14" s="606">
        <v>2</v>
      </c>
      <c r="R14" s="606">
        <v>3.6</v>
      </c>
      <c r="S14" s="606"/>
      <c r="T14" s="598">
        <v>3.6</v>
      </c>
      <c r="U14" s="598">
        <v>1</v>
      </c>
      <c r="V14" s="598"/>
      <c r="W14" s="598" t="s">
        <v>145</v>
      </c>
      <c r="X14" s="598"/>
      <c r="Y14" s="606"/>
      <c r="Z14" s="598"/>
      <c r="AA14" s="606" t="s">
        <v>644</v>
      </c>
      <c r="AB14" s="606" t="str">
        <f t="shared" si="0"/>
        <v>up</v>
      </c>
      <c r="AC14" s="606" t="s">
        <v>654</v>
      </c>
      <c r="AD14" s="606">
        <v>2</v>
      </c>
      <c r="AE14" s="606"/>
      <c r="AF14" s="606">
        <f>INPUT[Cars '[VDMA']]+INPUT[Trucks '[VDMA']]</f>
        <v>10170.454545454546</v>
      </c>
      <c r="AG14" s="680">
        <v>4721.5238614356895</v>
      </c>
      <c r="AH14" s="606">
        <v>5448.9306840188565</v>
      </c>
      <c r="AI14" s="606">
        <v>0.55000000000000004</v>
      </c>
      <c r="AJ14" s="606"/>
      <c r="AK14" s="606">
        <f>0</f>
        <v>0</v>
      </c>
      <c r="AL14" s="682">
        <v>0.53576078233928415</v>
      </c>
      <c r="AM14" s="606">
        <v>0.03</v>
      </c>
      <c r="AN14" s="606">
        <f t="shared" si="1"/>
        <v>0.88</v>
      </c>
      <c r="AO14" s="606">
        <f>100</f>
        <v>100</v>
      </c>
      <c r="AR14" s="281">
        <v>356</v>
      </c>
      <c r="AS14" s="281">
        <f>AR14-INPUT[[#This Row],[VP_]]</f>
        <v>-753.15013523201696</v>
      </c>
      <c r="AU14" s="281">
        <v>3.6</v>
      </c>
      <c r="AV14" s="281">
        <f>AU14-INPUT[[#This Row],[D_]]</f>
        <v>-7.6413865057299013</v>
      </c>
    </row>
    <row r="15" spans="1:48" s="281" customFormat="1">
      <c r="A15" s="606">
        <v>7</v>
      </c>
      <c r="B15" s="598" t="s">
        <v>660</v>
      </c>
      <c r="C15" s="598" t="s">
        <v>106</v>
      </c>
      <c r="D15" s="682"/>
      <c r="E15" s="682"/>
      <c r="F15" s="682">
        <v>1109.150135232017</v>
      </c>
      <c r="G15" s="682">
        <v>11.16594095871158</v>
      </c>
      <c r="H15" s="682">
        <v>99.333333333333329</v>
      </c>
      <c r="I15" s="598"/>
      <c r="J15" s="598"/>
      <c r="K15" s="598"/>
      <c r="L15" s="598"/>
      <c r="M15" s="606">
        <v>300</v>
      </c>
      <c r="N15" s="598" t="s">
        <v>391</v>
      </c>
      <c r="O15" s="598"/>
      <c r="P15" s="606">
        <f>4</f>
        <v>4</v>
      </c>
      <c r="Q15" s="606">
        <v>2</v>
      </c>
      <c r="R15" s="606">
        <v>3.6</v>
      </c>
      <c r="S15" s="606"/>
      <c r="T15" s="598">
        <v>3.6</v>
      </c>
      <c r="U15" s="598">
        <v>1</v>
      </c>
      <c r="V15" s="598"/>
      <c r="W15" s="598" t="s">
        <v>145</v>
      </c>
      <c r="X15" s="598"/>
      <c r="Y15" s="606"/>
      <c r="Z15" s="598"/>
      <c r="AA15" s="606" t="s">
        <v>644</v>
      </c>
      <c r="AB15" s="606" t="str">
        <f t="shared" si="0"/>
        <v>up</v>
      </c>
      <c r="AC15" s="606" t="s">
        <v>654</v>
      </c>
      <c r="AD15" s="606">
        <v>1</v>
      </c>
      <c r="AE15" s="606"/>
      <c r="AF15" s="606">
        <f>INPUT[Cars '[VDMA']]+INPUT[Trucks '[VDMA']]</f>
        <v>10170.454545454546</v>
      </c>
      <c r="AG15" s="683">
        <v>4721.5238614356895</v>
      </c>
      <c r="AH15" s="606">
        <v>5448.9306840188565</v>
      </c>
      <c r="AI15" s="606">
        <v>0.55000000000000004</v>
      </c>
      <c r="AJ15" s="606"/>
      <c r="AK15" s="606">
        <f>0</f>
        <v>0</v>
      </c>
      <c r="AL15" s="682">
        <v>0.53576078233928415</v>
      </c>
      <c r="AM15" s="606">
        <v>0.03</v>
      </c>
      <c r="AN15" s="606">
        <f t="shared" si="1"/>
        <v>0.88</v>
      </c>
      <c r="AO15" s="606">
        <f>100</f>
        <v>100</v>
      </c>
      <c r="AR15" s="281">
        <v>356</v>
      </c>
      <c r="AS15" s="281">
        <f>AR15-INPUT[[#This Row],[VP_]]</f>
        <v>-753.15013523201696</v>
      </c>
      <c r="AU15" s="281">
        <v>3.6</v>
      </c>
      <c r="AV15" s="281">
        <f>AU15-INPUT[[#This Row],[D_]]</f>
        <v>-7.5659409587115807</v>
      </c>
    </row>
    <row r="16" spans="1:48" s="281" customFormat="1">
      <c r="A16" s="606">
        <v>8</v>
      </c>
      <c r="B16" s="598" t="s">
        <v>660</v>
      </c>
      <c r="C16" s="598" t="s">
        <v>106</v>
      </c>
      <c r="D16" s="682"/>
      <c r="E16" s="682"/>
      <c r="F16" s="682">
        <v>1092.3085196868724</v>
      </c>
      <c r="G16" s="682">
        <v>11.070694456285869</v>
      </c>
      <c r="H16" s="682">
        <v>98.666666666666671</v>
      </c>
      <c r="I16" s="598"/>
      <c r="J16" s="598"/>
      <c r="K16" s="598"/>
      <c r="L16" s="598"/>
      <c r="M16" s="606">
        <v>300</v>
      </c>
      <c r="N16" s="598" t="s">
        <v>391</v>
      </c>
      <c r="O16" s="598"/>
      <c r="P16" s="606">
        <f>4</f>
        <v>4</v>
      </c>
      <c r="Q16" s="606">
        <v>2</v>
      </c>
      <c r="R16" s="606">
        <v>3.6</v>
      </c>
      <c r="S16" s="606"/>
      <c r="T16" s="598">
        <v>3.6</v>
      </c>
      <c r="U16" s="598">
        <v>1</v>
      </c>
      <c r="V16" s="598"/>
      <c r="W16" s="598" t="s">
        <v>145</v>
      </c>
      <c r="X16" s="598"/>
      <c r="Y16" s="606"/>
      <c r="Z16" s="598"/>
      <c r="AA16" s="606" t="s">
        <v>644</v>
      </c>
      <c r="AB16" s="606" t="str">
        <f t="shared" si="0"/>
        <v>up</v>
      </c>
      <c r="AC16" s="606" t="s">
        <v>654</v>
      </c>
      <c r="AD16" s="606">
        <v>2</v>
      </c>
      <c r="AE16" s="606"/>
      <c r="AF16" s="606">
        <f>INPUT[Cars '[VDMA']]+INPUT[Trucks '[VDMA']]</f>
        <v>8613.636363636364</v>
      </c>
      <c r="AG16" s="680">
        <v>2833.5389842038903</v>
      </c>
      <c r="AH16" s="606">
        <v>5780.0973794324736</v>
      </c>
      <c r="AI16" s="606">
        <v>0.55000000000000004</v>
      </c>
      <c r="AJ16" s="606"/>
      <c r="AK16" s="606">
        <f>0</f>
        <v>0</v>
      </c>
      <c r="AL16" s="682">
        <v>0.67104032901063015</v>
      </c>
      <c r="AM16" s="606">
        <v>0.03</v>
      </c>
      <c r="AN16" s="606">
        <f t="shared" si="1"/>
        <v>0.88</v>
      </c>
      <c r="AO16" s="606">
        <f>100</f>
        <v>100</v>
      </c>
      <c r="AR16" s="281">
        <v>318</v>
      </c>
      <c r="AS16" s="281">
        <f>AR16-INPUT[[#This Row],[VP_]]</f>
        <v>-774.30851968687239</v>
      </c>
      <c r="AU16" s="281">
        <v>3.2</v>
      </c>
      <c r="AV16" s="281">
        <f>AU16-INPUT[[#This Row],[D_]]</f>
        <v>-7.8706944562858689</v>
      </c>
    </row>
    <row r="17" spans="1:48" s="281" customFormat="1">
      <c r="A17" s="606">
        <v>9</v>
      </c>
      <c r="B17" s="598" t="s">
        <v>660</v>
      </c>
      <c r="C17" s="598" t="s">
        <v>106</v>
      </c>
      <c r="D17" s="682"/>
      <c r="E17" s="682"/>
      <c r="F17" s="682">
        <v>1112.0744367071391</v>
      </c>
      <c r="G17" s="682">
        <v>11.271024696356138</v>
      </c>
      <c r="H17" s="682">
        <v>98.666666666666671</v>
      </c>
      <c r="I17" s="598"/>
      <c r="J17" s="598"/>
      <c r="K17" s="598"/>
      <c r="L17" s="598"/>
      <c r="M17" s="606">
        <v>300</v>
      </c>
      <c r="N17" s="598" t="s">
        <v>391</v>
      </c>
      <c r="O17" s="598"/>
      <c r="P17" s="606">
        <f>4</f>
        <v>4</v>
      </c>
      <c r="Q17" s="606">
        <v>2</v>
      </c>
      <c r="R17" s="606">
        <v>3.6</v>
      </c>
      <c r="S17" s="606"/>
      <c r="T17" s="598">
        <v>3.6</v>
      </c>
      <c r="U17" s="598">
        <v>1</v>
      </c>
      <c r="V17" s="598"/>
      <c r="W17" s="598" t="s">
        <v>145</v>
      </c>
      <c r="X17" s="598"/>
      <c r="Y17" s="606"/>
      <c r="Z17" s="598"/>
      <c r="AA17" s="606" t="s">
        <v>644</v>
      </c>
      <c r="AB17" s="606" t="str">
        <f t="shared" si="0"/>
        <v>up</v>
      </c>
      <c r="AC17" s="606" t="s">
        <v>654</v>
      </c>
      <c r="AD17" s="606">
        <v>2</v>
      </c>
      <c r="AE17" s="606"/>
      <c r="AF17" s="606">
        <f>INPUT[Cars '[VDMA']]+INPUT[Trucks '[VDMA']]</f>
        <v>9693.181818181818</v>
      </c>
      <c r="AG17" s="683">
        <v>4081.1071056079159</v>
      </c>
      <c r="AH17" s="606">
        <v>5612.0747125739017</v>
      </c>
      <c r="AI17" s="606">
        <v>0.55000000000000004</v>
      </c>
      <c r="AJ17" s="606"/>
      <c r="AK17" s="606">
        <f>0</f>
        <v>0</v>
      </c>
      <c r="AL17" s="682">
        <v>0.57897136542380234</v>
      </c>
      <c r="AM17" s="606">
        <v>0.03</v>
      </c>
      <c r="AN17" s="606">
        <f t="shared" si="1"/>
        <v>0.88</v>
      </c>
      <c r="AO17" s="606">
        <f>100</f>
        <v>100</v>
      </c>
      <c r="AR17" s="281">
        <v>351</v>
      </c>
      <c r="AS17" s="281">
        <f>AR17-INPUT[[#This Row],[VP_]]</f>
        <v>-761.07443670713906</v>
      </c>
      <c r="AU17" s="281">
        <v>3.6</v>
      </c>
      <c r="AV17" s="281">
        <f>AU17-INPUT[[#This Row],[D_]]</f>
        <v>-7.6710246963561382</v>
      </c>
    </row>
    <row r="18" spans="1:48" s="281" customFormat="1">
      <c r="A18" s="606">
        <v>10</v>
      </c>
      <c r="B18" s="598" t="s">
        <v>660</v>
      </c>
      <c r="C18" s="598" t="s">
        <v>106</v>
      </c>
      <c r="D18" s="682"/>
      <c r="E18" s="682"/>
      <c r="F18" s="682">
        <v>1183.2427327019786</v>
      </c>
      <c r="G18" s="682">
        <v>12.073905435734476</v>
      </c>
      <c r="H18" s="682">
        <v>98</v>
      </c>
      <c r="I18" s="598"/>
      <c r="J18" s="598"/>
      <c r="K18" s="598"/>
      <c r="L18" s="598"/>
      <c r="M18" s="606">
        <v>300</v>
      </c>
      <c r="N18" s="598" t="s">
        <v>391</v>
      </c>
      <c r="O18" s="598"/>
      <c r="P18" s="606">
        <f>4</f>
        <v>4</v>
      </c>
      <c r="Q18" s="606">
        <v>2</v>
      </c>
      <c r="R18" s="606">
        <v>3.6</v>
      </c>
      <c r="S18" s="606"/>
      <c r="T18" s="598">
        <v>3.6</v>
      </c>
      <c r="U18" s="598">
        <v>1</v>
      </c>
      <c r="V18" s="598"/>
      <c r="W18" s="598" t="s">
        <v>145</v>
      </c>
      <c r="X18" s="598"/>
      <c r="Y18" s="606"/>
      <c r="Z18" s="598"/>
      <c r="AA18" s="606" t="s">
        <v>644</v>
      </c>
      <c r="AB18" s="606" t="str">
        <f t="shared" si="0"/>
        <v>up</v>
      </c>
      <c r="AC18" s="606" t="s">
        <v>654</v>
      </c>
      <c r="AD18" s="606">
        <v>3</v>
      </c>
      <c r="AE18" s="606"/>
      <c r="AF18" s="606">
        <f>INPUT[Cars '[VDMA']]+INPUT[Trucks '[VDMA']]</f>
        <v>10579.545454545456</v>
      </c>
      <c r="AG18" s="680">
        <v>4686.8400019242918</v>
      </c>
      <c r="AH18" s="606">
        <v>5892.7054526211641</v>
      </c>
      <c r="AI18" s="606">
        <v>0.55000000000000004</v>
      </c>
      <c r="AJ18" s="606"/>
      <c r="AK18" s="606">
        <f>0</f>
        <v>0</v>
      </c>
      <c r="AL18" s="682">
        <v>0.55699041872251598</v>
      </c>
      <c r="AM18" s="606">
        <v>0.03</v>
      </c>
      <c r="AN18" s="606">
        <f t="shared" si="1"/>
        <v>0.88</v>
      </c>
      <c r="AO18" s="606">
        <f>100</f>
        <v>100</v>
      </c>
      <c r="AR18" s="281">
        <v>373</v>
      </c>
      <c r="AS18" s="281">
        <f>AR18-INPUT[[#This Row],[VP_]]</f>
        <v>-810.24273270197864</v>
      </c>
      <c r="AU18" s="281">
        <v>3.8</v>
      </c>
      <c r="AV18" s="281">
        <f>AU18-INPUT[[#This Row],[D_]]</f>
        <v>-8.273905435734477</v>
      </c>
    </row>
    <row r="19" spans="1:48" s="281" customFormat="1">
      <c r="A19" s="606">
        <v>11</v>
      </c>
      <c r="B19" s="598" t="s">
        <v>660</v>
      </c>
      <c r="C19" s="598" t="s">
        <v>106</v>
      </c>
      <c r="D19" s="682"/>
      <c r="E19" s="682"/>
      <c r="F19" s="682">
        <v>1241.7245879576976</v>
      </c>
      <c r="G19" s="682">
        <v>12.585046499571259</v>
      </c>
      <c r="H19" s="682">
        <v>98.666666666666671</v>
      </c>
      <c r="I19" s="598"/>
      <c r="J19" s="598"/>
      <c r="K19" s="598"/>
      <c r="L19" s="598"/>
      <c r="M19" s="606">
        <v>300</v>
      </c>
      <c r="N19" s="598" t="s">
        <v>391</v>
      </c>
      <c r="O19" s="598"/>
      <c r="P19" s="606">
        <f>4</f>
        <v>4</v>
      </c>
      <c r="Q19" s="606">
        <v>2</v>
      </c>
      <c r="R19" s="606">
        <v>3.6</v>
      </c>
      <c r="S19" s="606"/>
      <c r="T19" s="598">
        <v>3.6</v>
      </c>
      <c r="U19" s="598">
        <v>1</v>
      </c>
      <c r="V19" s="598"/>
      <c r="W19" s="598" t="s">
        <v>145</v>
      </c>
      <c r="X19" s="598"/>
      <c r="Y19" s="606"/>
      <c r="Z19" s="598"/>
      <c r="AA19" s="606" t="s">
        <v>644</v>
      </c>
      <c r="AB19" s="606" t="str">
        <f t="shared" si="0"/>
        <v>up</v>
      </c>
      <c r="AC19" s="606" t="s">
        <v>654</v>
      </c>
      <c r="AD19" s="606">
        <v>2</v>
      </c>
      <c r="AE19" s="606"/>
      <c r="AF19" s="606">
        <f>INPUT[Cars '[VDMA']]+INPUT[Trucks '[VDMA']]</f>
        <v>12102.272727272728</v>
      </c>
      <c r="AG19" s="683">
        <v>6213.4133125300668</v>
      </c>
      <c r="AH19" s="606">
        <v>5888.859414742662</v>
      </c>
      <c r="AI19" s="606">
        <v>0.55000000000000004</v>
      </c>
      <c r="AJ19" s="606"/>
      <c r="AK19" s="606">
        <f>0</f>
        <v>0</v>
      </c>
      <c r="AL19" s="682">
        <v>0.48659120046699927</v>
      </c>
      <c r="AM19" s="606">
        <v>0.03</v>
      </c>
      <c r="AN19" s="606">
        <f t="shared" si="1"/>
        <v>0.88</v>
      </c>
      <c r="AO19" s="606">
        <f>100</f>
        <v>100</v>
      </c>
      <c r="AR19" s="281">
        <v>416</v>
      </c>
      <c r="AS19" s="281">
        <f>AR19-INPUT[[#This Row],[VP_]]</f>
        <v>-825.72458795769762</v>
      </c>
      <c r="AU19" s="281">
        <v>4.2</v>
      </c>
      <c r="AV19" s="281">
        <f>AU19-INPUT[[#This Row],[D_]]</f>
        <v>-8.3850464995712599</v>
      </c>
    </row>
    <row r="20" spans="1:48">
      <c r="A20" s="606">
        <v>12</v>
      </c>
      <c r="B20" s="598" t="s">
        <v>660</v>
      </c>
      <c r="C20" s="598" t="s">
        <v>106</v>
      </c>
      <c r="D20" s="682"/>
      <c r="E20" s="682"/>
      <c r="F20" s="682">
        <v>1255.654185395927</v>
      </c>
      <c r="G20" s="682">
        <v>12.640813946938863</v>
      </c>
      <c r="H20" s="682">
        <v>99.333333333333329</v>
      </c>
      <c r="I20" s="598"/>
      <c r="J20" s="598"/>
      <c r="K20" s="598"/>
      <c r="L20" s="598"/>
      <c r="M20" s="606">
        <v>300</v>
      </c>
      <c r="N20" s="598" t="s">
        <v>391</v>
      </c>
      <c r="O20" s="598"/>
      <c r="P20" s="606">
        <f>4</f>
        <v>4</v>
      </c>
      <c r="Q20" s="606">
        <v>2</v>
      </c>
      <c r="R20" s="606">
        <v>3.6</v>
      </c>
      <c r="S20" s="606"/>
      <c r="T20" s="598">
        <v>3.6</v>
      </c>
      <c r="U20" s="598">
        <v>1</v>
      </c>
      <c r="V20" s="598"/>
      <c r="W20" s="598" t="s">
        <v>145</v>
      </c>
      <c r="X20" s="598"/>
      <c r="Y20" s="606"/>
      <c r="Z20" s="598"/>
      <c r="AA20" s="606" t="s">
        <v>644</v>
      </c>
      <c r="AB20" s="606" t="str">
        <f t="shared" si="0"/>
        <v>up</v>
      </c>
      <c r="AC20" s="606" t="s">
        <v>654</v>
      </c>
      <c r="AD20" s="606">
        <v>1</v>
      </c>
      <c r="AE20" s="606"/>
      <c r="AF20" s="606">
        <f>INPUT[Cars '[VDMA']]+INPUT[Trucks '[VDMA']]</f>
        <v>12375</v>
      </c>
      <c r="AG20" s="680">
        <v>6460.5038255548125</v>
      </c>
      <c r="AH20" s="606">
        <v>5914.4961744451875</v>
      </c>
      <c r="AI20" s="606">
        <v>0.55000000000000004</v>
      </c>
      <c r="AJ20" s="606"/>
      <c r="AK20" s="606">
        <f>0</f>
        <v>0</v>
      </c>
      <c r="AL20" s="682">
        <v>0.47793908480365155</v>
      </c>
      <c r="AM20" s="606">
        <v>0.03</v>
      </c>
      <c r="AN20" s="606">
        <f t="shared" si="1"/>
        <v>0.88</v>
      </c>
      <c r="AO20" s="606">
        <f>100</f>
        <v>100</v>
      </c>
      <c r="AR20">
        <v>424</v>
      </c>
      <c r="AS20" s="281">
        <f>AR20-INPUT[[#This Row],[VP_]]</f>
        <v>-831.65418539592702</v>
      </c>
      <c r="AT20" s="281"/>
      <c r="AU20">
        <v>4.3</v>
      </c>
      <c r="AV20" s="281">
        <f>AU20-INPUT[[#This Row],[D_]]</f>
        <v>-8.3408139469388622</v>
      </c>
    </row>
    <row r="21" spans="1:48">
      <c r="A21" s="606">
        <v>13</v>
      </c>
      <c r="B21" s="598" t="s">
        <v>660</v>
      </c>
      <c r="C21" s="598" t="s">
        <v>106</v>
      </c>
      <c r="D21" s="682"/>
      <c r="E21" s="682"/>
      <c r="F21" s="682">
        <v>1171.7968365252461</v>
      </c>
      <c r="G21" s="682">
        <v>11.876319289107224</v>
      </c>
      <c r="H21" s="682">
        <v>98.666666666666671</v>
      </c>
      <c r="I21" s="598"/>
      <c r="J21" s="598"/>
      <c r="K21" s="598"/>
      <c r="L21" s="598"/>
      <c r="M21" s="606">
        <v>300</v>
      </c>
      <c r="N21" s="598" t="s">
        <v>391</v>
      </c>
      <c r="O21" s="598"/>
      <c r="P21" s="606">
        <f>4</f>
        <v>4</v>
      </c>
      <c r="Q21" s="606">
        <v>2</v>
      </c>
      <c r="R21" s="606">
        <v>3.6</v>
      </c>
      <c r="S21" s="606"/>
      <c r="T21" s="598">
        <v>3.6</v>
      </c>
      <c r="U21" s="598">
        <v>1</v>
      </c>
      <c r="V21" s="598"/>
      <c r="W21" s="598" t="s">
        <v>145</v>
      </c>
      <c r="X21" s="598"/>
      <c r="Y21" s="606"/>
      <c r="Z21" s="598"/>
      <c r="AA21" s="606" t="s">
        <v>644</v>
      </c>
      <c r="AB21" s="606" t="str">
        <f t="shared" si="0"/>
        <v>up</v>
      </c>
      <c r="AC21" s="606" t="s">
        <v>654</v>
      </c>
      <c r="AD21" s="606">
        <v>2</v>
      </c>
      <c r="AE21" s="606"/>
      <c r="AF21" s="606">
        <f>INPUT[Cars '[VDMA']]+INPUT[Trucks '[VDMA']]</f>
        <v>10534.09090909091</v>
      </c>
      <c r="AG21" s="683">
        <v>4715.1767000673599</v>
      </c>
      <c r="AH21" s="606">
        <v>5818.91420902355</v>
      </c>
      <c r="AI21" s="606">
        <v>0.55000000000000004</v>
      </c>
      <c r="AJ21" s="606"/>
      <c r="AK21" s="606">
        <f>0</f>
        <v>0</v>
      </c>
      <c r="AL21" s="682">
        <v>0.55238883537656136</v>
      </c>
      <c r="AM21" s="606">
        <v>0.03</v>
      </c>
      <c r="AN21" s="606">
        <f t="shared" si="1"/>
        <v>0.88</v>
      </c>
      <c r="AO21" s="606">
        <f>100</f>
        <v>100</v>
      </c>
      <c r="AR21">
        <v>360</v>
      </c>
      <c r="AS21" s="281">
        <f>AR21-INPUT[[#This Row],[VP_]]</f>
        <v>-811.79683652524614</v>
      </c>
      <c r="AT21" s="281"/>
      <c r="AU21">
        <v>3.6</v>
      </c>
      <c r="AV21" s="281">
        <f>AU21-INPUT[[#This Row],[D_]]</f>
        <v>-8.2763192891072244</v>
      </c>
    </row>
    <row r="22" spans="1:48">
      <c r="A22" s="606">
        <v>14</v>
      </c>
      <c r="B22" s="598" t="s">
        <v>660</v>
      </c>
      <c r="C22" s="598" t="s">
        <v>106</v>
      </c>
      <c r="D22" s="682"/>
      <c r="E22" s="682"/>
      <c r="F22" s="682">
        <v>1483.9376895699434</v>
      </c>
      <c r="G22" s="682">
        <v>15.039909015911588</v>
      </c>
      <c r="H22" s="682">
        <v>98.045411803743832</v>
      </c>
      <c r="I22" s="598"/>
      <c r="J22" s="598"/>
      <c r="K22" s="598"/>
      <c r="L22" s="598"/>
      <c r="M22" s="606">
        <v>300</v>
      </c>
      <c r="N22" s="598" t="s">
        <v>391</v>
      </c>
      <c r="O22" s="598"/>
      <c r="P22" s="606">
        <f>4</f>
        <v>4</v>
      </c>
      <c r="Q22" s="606">
        <v>2</v>
      </c>
      <c r="R22" s="606">
        <v>3.6</v>
      </c>
      <c r="S22" s="606"/>
      <c r="T22" s="598">
        <v>3.6</v>
      </c>
      <c r="U22" s="598">
        <v>1</v>
      </c>
      <c r="V22" s="598"/>
      <c r="W22" s="598" t="s">
        <v>145</v>
      </c>
      <c r="X22" s="598"/>
      <c r="Y22" s="606"/>
      <c r="Z22" s="598"/>
      <c r="AA22" s="606" t="s">
        <v>644</v>
      </c>
      <c r="AB22" s="606" t="str">
        <f t="shared" si="0"/>
        <v>up</v>
      </c>
      <c r="AC22" s="606" t="s">
        <v>381</v>
      </c>
      <c r="AD22" s="606">
        <v>2</v>
      </c>
      <c r="AE22" s="606"/>
      <c r="AF22" s="606">
        <f>INPUT[Cars '[VDMA']]+INPUT[Trucks '[VDMA']]</f>
        <v>15397.727272727276</v>
      </c>
      <c r="AG22" s="680">
        <v>8636.0645729735552</v>
      </c>
      <c r="AH22" s="606">
        <v>6761.6626997537196</v>
      </c>
      <c r="AI22" s="606">
        <v>0.55000000000000004</v>
      </c>
      <c r="AJ22" s="606"/>
      <c r="AK22" s="606">
        <f>0</f>
        <v>0</v>
      </c>
      <c r="AL22" s="682">
        <v>0.43913381371094262</v>
      </c>
      <c r="AM22" s="606">
        <v>0.03</v>
      </c>
      <c r="AN22" s="606">
        <f t="shared" si="1"/>
        <v>0.88</v>
      </c>
      <c r="AO22" s="606">
        <f>100</f>
        <v>100</v>
      </c>
      <c r="AR22">
        <v>714</v>
      </c>
      <c r="AS22" s="281">
        <f>AR22-INPUT[[#This Row],[VP_]]</f>
        <v>-769.93768956994336</v>
      </c>
      <c r="AT22" s="281"/>
      <c r="AU22">
        <v>7.2</v>
      </c>
      <c r="AV22" s="281">
        <f>AU22-INPUT[[#This Row],[D_]]</f>
        <v>-7.8399090159115881</v>
      </c>
    </row>
    <row r="23" spans="1:48">
      <c r="A23" s="606">
        <v>15</v>
      </c>
      <c r="B23" s="598" t="s">
        <v>660</v>
      </c>
      <c r="C23" s="598" t="s">
        <v>106</v>
      </c>
      <c r="D23" s="682"/>
      <c r="E23" s="682"/>
      <c r="F23" s="682">
        <v>1469.3625329896715</v>
      </c>
      <c r="G23" s="682">
        <v>14.993495234588485</v>
      </c>
      <c r="H23" s="682">
        <v>97.518063006995021</v>
      </c>
      <c r="I23" s="598"/>
      <c r="J23" s="598"/>
      <c r="K23" s="598"/>
      <c r="L23" s="598"/>
      <c r="M23" s="606">
        <v>300</v>
      </c>
      <c r="N23" s="598" t="s">
        <v>391</v>
      </c>
      <c r="O23" s="598"/>
      <c r="P23" s="606">
        <f>4</f>
        <v>4</v>
      </c>
      <c r="Q23" s="606">
        <v>2</v>
      </c>
      <c r="R23" s="606">
        <v>3.6</v>
      </c>
      <c r="S23" s="606"/>
      <c r="T23" s="598">
        <v>3.6</v>
      </c>
      <c r="U23" s="598">
        <v>1</v>
      </c>
      <c r="V23" s="598"/>
      <c r="W23" s="598" t="s">
        <v>145</v>
      </c>
      <c r="X23" s="598"/>
      <c r="Y23" s="606"/>
      <c r="Z23" s="598"/>
      <c r="AA23" s="606" t="s">
        <v>644</v>
      </c>
      <c r="AB23" s="606" t="str">
        <f t="shared" si="0"/>
        <v>up</v>
      </c>
      <c r="AC23" s="606" t="s">
        <v>381</v>
      </c>
      <c r="AD23" s="606">
        <v>3</v>
      </c>
      <c r="AE23" s="606"/>
      <c r="AF23" s="606">
        <f>INPUT[Cars '[VDMA']]+INPUT[Trucks '[VDMA']]</f>
        <v>15375</v>
      </c>
      <c r="AG23" s="683">
        <v>8717.6783200786558</v>
      </c>
      <c r="AH23" s="606">
        <v>6657.3216799213433</v>
      </c>
      <c r="AI23" s="606">
        <v>0.55000000000000004</v>
      </c>
      <c r="AJ23" s="606"/>
      <c r="AK23" s="606">
        <f>0</f>
        <v>0</v>
      </c>
      <c r="AL23" s="682">
        <v>0.43299653202740446</v>
      </c>
      <c r="AM23" s="606">
        <v>0.03</v>
      </c>
      <c r="AN23" s="606">
        <f t="shared" si="1"/>
        <v>0.88</v>
      </c>
      <c r="AO23" s="606">
        <f>100</f>
        <v>100</v>
      </c>
      <c r="AR23">
        <v>712</v>
      </c>
      <c r="AS23" s="281">
        <f>AR23-INPUT[[#This Row],[VP_]]</f>
        <v>-757.36253298967154</v>
      </c>
      <c r="AT23" s="281"/>
      <c r="AU23">
        <v>7.3</v>
      </c>
      <c r="AV23" s="281">
        <f>AU23-INPUT[[#This Row],[D_]]</f>
        <v>-7.6934952345884851</v>
      </c>
    </row>
    <row r="24" spans="1:48">
      <c r="A24" s="606">
        <v>16</v>
      </c>
      <c r="B24" s="598" t="s">
        <v>660</v>
      </c>
      <c r="C24" s="598" t="s">
        <v>106</v>
      </c>
      <c r="D24" s="682"/>
      <c r="E24" s="682"/>
      <c r="F24" s="682">
        <v>1046.5744725928334</v>
      </c>
      <c r="G24" s="682">
        <v>10.60717370871115</v>
      </c>
      <c r="H24" s="682">
        <v>98.666666666666671</v>
      </c>
      <c r="I24" s="598"/>
      <c r="J24" s="598"/>
      <c r="K24" s="598"/>
      <c r="L24" s="598"/>
      <c r="M24" s="606">
        <v>300</v>
      </c>
      <c r="N24" s="598" t="s">
        <v>391</v>
      </c>
      <c r="O24" s="598"/>
      <c r="P24" s="606">
        <f>4</f>
        <v>4</v>
      </c>
      <c r="Q24" s="606">
        <v>2</v>
      </c>
      <c r="R24" s="606">
        <v>3.6</v>
      </c>
      <c r="S24" s="606"/>
      <c r="T24" s="598">
        <v>3.6</v>
      </c>
      <c r="U24" s="598">
        <v>1</v>
      </c>
      <c r="V24" s="598"/>
      <c r="W24" s="598" t="s">
        <v>145</v>
      </c>
      <c r="X24" s="598"/>
      <c r="Y24" s="606"/>
      <c r="Z24" s="598"/>
      <c r="AA24" s="606" t="s">
        <v>644</v>
      </c>
      <c r="AB24" s="606" t="str">
        <f t="shared" si="0"/>
        <v>up</v>
      </c>
      <c r="AC24" s="606" t="s">
        <v>381</v>
      </c>
      <c r="AD24" s="606">
        <v>2</v>
      </c>
      <c r="AE24" s="606"/>
      <c r="AF24" s="606">
        <f>INPUT[Cars '[VDMA']]+INPUT[Trucks '[VDMA']]</f>
        <v>9397.7272727272739</v>
      </c>
      <c r="AG24" s="680">
        <v>4197.498607084879</v>
      </c>
      <c r="AH24" s="606">
        <v>5200.2286656423948</v>
      </c>
      <c r="AI24" s="606">
        <v>0.55000000000000004</v>
      </c>
      <c r="AJ24" s="606"/>
      <c r="AK24" s="606">
        <f>0</f>
        <v>0</v>
      </c>
      <c r="AL24" s="682">
        <v>0.5533496040828666</v>
      </c>
      <c r="AM24" s="606">
        <v>0.03</v>
      </c>
      <c r="AN24" s="606">
        <f t="shared" si="1"/>
        <v>0.88</v>
      </c>
      <c r="AO24" s="606">
        <f>100</f>
        <v>100</v>
      </c>
      <c r="AR24">
        <v>480</v>
      </c>
      <c r="AS24" s="281">
        <f>AR24-INPUT[[#This Row],[VP_]]</f>
        <v>-566.57447259283344</v>
      </c>
      <c r="AT24" s="281"/>
      <c r="AU24">
        <v>4.9000000000000004</v>
      </c>
      <c r="AV24" s="281">
        <f>AU24-INPUT[[#This Row],[D_]]</f>
        <v>-5.7071737087111494</v>
      </c>
    </row>
    <row r="25" spans="1:48">
      <c r="A25" s="606">
        <v>17</v>
      </c>
      <c r="B25" s="598" t="s">
        <v>660</v>
      </c>
      <c r="C25" s="598" t="s">
        <v>106</v>
      </c>
      <c r="D25" s="682"/>
      <c r="E25" s="682"/>
      <c r="F25" s="682">
        <v>1047.7472828282275</v>
      </c>
      <c r="G25" s="682">
        <v>10.691298804369669</v>
      </c>
      <c r="H25" s="682">
        <v>98</v>
      </c>
      <c r="I25" s="598"/>
      <c r="J25" s="598"/>
      <c r="K25" s="598"/>
      <c r="L25" s="598"/>
      <c r="M25" s="606">
        <v>300</v>
      </c>
      <c r="N25" s="598" t="s">
        <v>391</v>
      </c>
      <c r="O25" s="598"/>
      <c r="P25" s="606">
        <f>4</f>
        <v>4</v>
      </c>
      <c r="Q25" s="606">
        <v>2</v>
      </c>
      <c r="R25" s="606">
        <v>3.6</v>
      </c>
      <c r="S25" s="606"/>
      <c r="T25" s="598">
        <v>3.6</v>
      </c>
      <c r="U25" s="598">
        <v>1</v>
      </c>
      <c r="V25" s="598"/>
      <c r="W25" s="598" t="s">
        <v>145</v>
      </c>
      <c r="X25" s="598"/>
      <c r="Y25" s="606"/>
      <c r="Z25" s="598"/>
      <c r="AA25" s="606" t="s">
        <v>644</v>
      </c>
      <c r="AB25" s="606" t="str">
        <f t="shared" si="0"/>
        <v>up</v>
      </c>
      <c r="AC25" s="606" t="s">
        <v>381</v>
      </c>
      <c r="AD25" s="606">
        <v>3</v>
      </c>
      <c r="AE25" s="606"/>
      <c r="AF25" s="606">
        <f>INPUT[Cars '[VDMA']]+INPUT[Trucks '[VDMA']]</f>
        <v>9852.2727272727279</v>
      </c>
      <c r="AG25" s="683">
        <v>4777.2642087546037</v>
      </c>
      <c r="AH25" s="606">
        <v>5075.0085185181242</v>
      </c>
      <c r="AI25" s="606">
        <v>0.55000000000000004</v>
      </c>
      <c r="AJ25" s="606"/>
      <c r="AK25" s="606">
        <f>0</f>
        <v>0</v>
      </c>
      <c r="AL25" s="682">
        <v>0.51511043786573807</v>
      </c>
      <c r="AM25" s="606">
        <v>0.03</v>
      </c>
      <c r="AN25" s="606">
        <f t="shared" si="1"/>
        <v>0.88</v>
      </c>
      <c r="AO25" s="606">
        <f>100</f>
        <v>100</v>
      </c>
      <c r="AR25">
        <v>491</v>
      </c>
      <c r="AS25" s="281">
        <f>AR25-INPUT[[#This Row],[VP_]]</f>
        <v>-556.74728282822753</v>
      </c>
      <c r="AT25" s="281"/>
      <c r="AU25">
        <v>5</v>
      </c>
      <c r="AV25" s="281">
        <f>AU25-INPUT[[#This Row],[D_]]</f>
        <v>-5.6912988043696693</v>
      </c>
    </row>
    <row r="26" spans="1:48">
      <c r="A26" s="606">
        <v>18</v>
      </c>
      <c r="B26" s="598" t="s">
        <v>660</v>
      </c>
      <c r="C26" s="598" t="s">
        <v>106</v>
      </c>
      <c r="D26" s="682"/>
      <c r="E26" s="682"/>
      <c r="F26" s="682">
        <v>1223.3948724036579</v>
      </c>
      <c r="G26" s="682">
        <v>12.483621146976102</v>
      </c>
      <c r="H26" s="682">
        <v>98</v>
      </c>
      <c r="I26" s="598"/>
      <c r="J26" s="598"/>
      <c r="K26" s="598"/>
      <c r="L26" s="598"/>
      <c r="M26" s="606">
        <v>300</v>
      </c>
      <c r="N26" s="598" t="s">
        <v>391</v>
      </c>
      <c r="O26" s="598"/>
      <c r="P26" s="606">
        <f>4</f>
        <v>4</v>
      </c>
      <c r="Q26" s="606">
        <v>2</v>
      </c>
      <c r="R26" s="606">
        <v>3.6</v>
      </c>
      <c r="S26" s="606"/>
      <c r="T26" s="598">
        <v>3.6</v>
      </c>
      <c r="U26" s="598">
        <v>1</v>
      </c>
      <c r="V26" s="598"/>
      <c r="W26" s="598" t="s">
        <v>145</v>
      </c>
      <c r="X26" s="598"/>
      <c r="Y26" s="606"/>
      <c r="Z26" s="598"/>
      <c r="AA26" s="606" t="s">
        <v>644</v>
      </c>
      <c r="AB26" s="606" t="str">
        <f t="shared" si="0"/>
        <v>up</v>
      </c>
      <c r="AC26" s="606" t="s">
        <v>381</v>
      </c>
      <c r="AD26" s="606">
        <v>3</v>
      </c>
      <c r="AE26" s="606"/>
      <c r="AF26" s="606">
        <f>INPUT[Cars '[VDMA']]+INPUT[Trucks '[VDMA']]</f>
        <v>12704.545454545456</v>
      </c>
      <c r="AG26" s="680">
        <v>7133.097508959112</v>
      </c>
      <c r="AH26" s="606">
        <v>5571.4479455863438</v>
      </c>
      <c r="AI26" s="606">
        <v>0.55000000000000004</v>
      </c>
      <c r="AJ26" s="606"/>
      <c r="AK26" s="606">
        <f>0</f>
        <v>0</v>
      </c>
      <c r="AL26" s="682">
        <v>0.43853973095849574</v>
      </c>
      <c r="AM26" s="606">
        <v>0.03</v>
      </c>
      <c r="AN26" s="606">
        <f t="shared" si="1"/>
        <v>0.88</v>
      </c>
      <c r="AO26" s="606">
        <f>100</f>
        <v>100</v>
      </c>
      <c r="AR26">
        <v>589</v>
      </c>
      <c r="AS26" s="281">
        <f>AR26-INPUT[[#This Row],[VP_]]</f>
        <v>-634.39487240365793</v>
      </c>
      <c r="AT26" s="281"/>
      <c r="AU26">
        <v>6</v>
      </c>
      <c r="AV26" s="281">
        <f>AU26-INPUT[[#This Row],[D_]]</f>
        <v>-6.4836211469761018</v>
      </c>
    </row>
    <row r="27" spans="1:48">
      <c r="A27" s="606">
        <v>19</v>
      </c>
      <c r="B27" s="598" t="s">
        <v>660</v>
      </c>
      <c r="C27" s="598" t="s">
        <v>106</v>
      </c>
      <c r="D27" s="682"/>
      <c r="E27" s="682"/>
      <c r="F27" s="682">
        <v>1303.7406382209215</v>
      </c>
      <c r="G27" s="682">
        <v>13.303475900213485</v>
      </c>
      <c r="H27" s="682">
        <v>98</v>
      </c>
      <c r="I27" s="598"/>
      <c r="J27" s="598"/>
      <c r="K27" s="598"/>
      <c r="L27" s="598"/>
      <c r="M27" s="606">
        <v>300</v>
      </c>
      <c r="N27" s="598" t="s">
        <v>391</v>
      </c>
      <c r="O27" s="598"/>
      <c r="P27" s="606">
        <f>4</f>
        <v>4</v>
      </c>
      <c r="Q27" s="606">
        <v>2</v>
      </c>
      <c r="R27" s="606">
        <v>3.6</v>
      </c>
      <c r="S27" s="606"/>
      <c r="T27" s="598">
        <v>3.6</v>
      </c>
      <c r="U27" s="598">
        <v>1</v>
      </c>
      <c r="V27" s="598"/>
      <c r="W27" s="598" t="s">
        <v>145</v>
      </c>
      <c r="X27" s="598"/>
      <c r="Y27" s="606"/>
      <c r="Z27" s="598"/>
      <c r="AA27" s="606" t="s">
        <v>644</v>
      </c>
      <c r="AB27" s="606" t="str">
        <f t="shared" si="0"/>
        <v>up</v>
      </c>
      <c r="AC27" s="606" t="s">
        <v>381</v>
      </c>
      <c r="AD27" s="606">
        <v>3</v>
      </c>
      <c r="AE27" s="606"/>
      <c r="AF27" s="606">
        <f>INPUT[Cars '[VDMA']]+INPUT[Trucks '[VDMA']]</f>
        <v>14238.636363636364</v>
      </c>
      <c r="AG27" s="683">
        <v>8507.8061763254118</v>
      </c>
      <c r="AH27" s="606">
        <v>5730.8301873109522</v>
      </c>
      <c r="AI27" s="606">
        <v>0.55000000000000004</v>
      </c>
      <c r="AJ27" s="606"/>
      <c r="AK27" s="606">
        <f>0</f>
        <v>0</v>
      </c>
      <c r="AL27" s="682">
        <v>0.40248448242886176</v>
      </c>
      <c r="AM27" s="606">
        <v>0.03</v>
      </c>
      <c r="AN27" s="606">
        <f t="shared" si="1"/>
        <v>0.88</v>
      </c>
      <c r="AO27" s="606">
        <f>100</f>
        <v>100</v>
      </c>
      <c r="AR27">
        <v>639</v>
      </c>
      <c r="AS27" s="281">
        <f>AR27-INPUT[[#This Row],[VP_]]</f>
        <v>-664.74063822092148</v>
      </c>
      <c r="AT27" s="281"/>
      <c r="AU27">
        <v>6.5</v>
      </c>
      <c r="AV27" s="281">
        <f>AU27-INPUT[[#This Row],[D_]]</f>
        <v>-6.8034759002134848</v>
      </c>
    </row>
    <row r="28" spans="1:48">
      <c r="A28" s="606">
        <v>20</v>
      </c>
      <c r="B28" s="598" t="s">
        <v>660</v>
      </c>
      <c r="C28" s="598" t="s">
        <v>106</v>
      </c>
      <c r="D28" s="682"/>
      <c r="E28" s="682"/>
      <c r="F28" s="682">
        <v>1104.3237156747111</v>
      </c>
      <c r="G28" s="682">
        <v>11.268609343619502</v>
      </c>
      <c r="H28" s="682">
        <v>98</v>
      </c>
      <c r="I28" s="598"/>
      <c r="J28" s="598"/>
      <c r="K28" s="598"/>
      <c r="L28" s="598"/>
      <c r="M28" s="606">
        <v>300</v>
      </c>
      <c r="N28" s="598" t="s">
        <v>391</v>
      </c>
      <c r="O28" s="598"/>
      <c r="P28" s="606">
        <f>4</f>
        <v>4</v>
      </c>
      <c r="Q28" s="606">
        <v>2</v>
      </c>
      <c r="R28" s="606">
        <v>3.6</v>
      </c>
      <c r="S28" s="606"/>
      <c r="T28" s="598">
        <v>3.6</v>
      </c>
      <c r="U28" s="598">
        <v>1</v>
      </c>
      <c r="V28" s="598"/>
      <c r="W28" s="598" t="s">
        <v>145</v>
      </c>
      <c r="X28" s="598"/>
      <c r="Y28" s="606"/>
      <c r="Z28" s="598"/>
      <c r="AA28" s="606" t="s">
        <v>644</v>
      </c>
      <c r="AB28" s="606" t="str">
        <f t="shared" si="0"/>
        <v>up</v>
      </c>
      <c r="AC28" s="606" t="s">
        <v>381</v>
      </c>
      <c r="AD28" s="606">
        <v>3</v>
      </c>
      <c r="AE28" s="606"/>
      <c r="AF28" s="606">
        <f>INPUT[Cars '[VDMA']]+INPUT[Trucks '[VDMA']]</f>
        <v>12215.909090909092</v>
      </c>
      <c r="AG28" s="680">
        <v>7407.4524260281478</v>
      </c>
      <c r="AH28" s="606">
        <v>4808.4566648809441</v>
      </c>
      <c r="AI28" s="606">
        <v>0.55000000000000004</v>
      </c>
      <c r="AJ28" s="606"/>
      <c r="AK28" s="606">
        <f>0</f>
        <v>0</v>
      </c>
      <c r="AL28" s="682">
        <v>0.39362249907862606</v>
      </c>
      <c r="AM28" s="606">
        <v>0.03</v>
      </c>
      <c r="AN28" s="606">
        <f t="shared" si="1"/>
        <v>0.88</v>
      </c>
      <c r="AO28" s="606">
        <f>100</f>
        <v>100</v>
      </c>
      <c r="AR28">
        <v>543</v>
      </c>
      <c r="AS28" s="281">
        <f>AR28-INPUT[[#This Row],[VP_]]</f>
        <v>-561.32371567471114</v>
      </c>
      <c r="AT28" s="281"/>
      <c r="AU28">
        <v>5.5</v>
      </c>
      <c r="AV28" s="281">
        <f>AU28-INPUT[[#This Row],[D_]]</f>
        <v>-5.7686093436195023</v>
      </c>
    </row>
    <row r="29" spans="1:48">
      <c r="A29" s="606">
        <v>21</v>
      </c>
      <c r="B29" s="598" t="s">
        <v>660</v>
      </c>
      <c r="C29" s="598" t="s">
        <v>106</v>
      </c>
      <c r="D29" s="682"/>
      <c r="E29" s="682"/>
      <c r="F29" s="682">
        <v>1299.4999575194877</v>
      </c>
      <c r="G29" s="682">
        <v>13.260203648158038</v>
      </c>
      <c r="H29" s="682">
        <v>98</v>
      </c>
      <c r="I29" s="598"/>
      <c r="J29" s="598"/>
      <c r="K29" s="598"/>
      <c r="L29" s="598"/>
      <c r="M29" s="606">
        <v>300</v>
      </c>
      <c r="N29" s="598" t="s">
        <v>391</v>
      </c>
      <c r="O29" s="598"/>
      <c r="P29" s="606">
        <f>4</f>
        <v>4</v>
      </c>
      <c r="Q29" s="606">
        <v>2</v>
      </c>
      <c r="R29" s="606">
        <v>3.6</v>
      </c>
      <c r="S29" s="606"/>
      <c r="T29" s="598">
        <v>3.6</v>
      </c>
      <c r="U29" s="598">
        <v>1</v>
      </c>
      <c r="V29" s="598"/>
      <c r="W29" s="598" t="s">
        <v>145</v>
      </c>
      <c r="X29" s="598"/>
      <c r="Y29" s="606"/>
      <c r="Z29" s="598"/>
      <c r="AA29" s="606" t="s">
        <v>644</v>
      </c>
      <c r="AB29" s="606" t="str">
        <f t="shared" si="0"/>
        <v>up</v>
      </c>
      <c r="AC29" s="606" t="s">
        <v>381</v>
      </c>
      <c r="AD29" s="606">
        <v>3</v>
      </c>
      <c r="AE29" s="606"/>
      <c r="AF29" s="606">
        <f>INPUT[Cars '[VDMA']]+INPUT[Trucks '[VDMA']]</f>
        <v>13397.727272727272</v>
      </c>
      <c r="AG29" s="683">
        <v>7451.0187219294103</v>
      </c>
      <c r="AH29" s="606">
        <v>5946.7085507978627</v>
      </c>
      <c r="AI29" s="606">
        <v>0.55000000000000004</v>
      </c>
      <c r="AJ29" s="606"/>
      <c r="AK29" s="606">
        <f>0</f>
        <v>0</v>
      </c>
      <c r="AL29" s="682">
        <v>0.44385950167108729</v>
      </c>
      <c r="AM29" s="606">
        <v>0.03</v>
      </c>
      <c r="AN29" s="606">
        <f t="shared" si="1"/>
        <v>0.88</v>
      </c>
      <c r="AO29" s="606">
        <f>100</f>
        <v>100</v>
      </c>
      <c r="AR29">
        <v>602</v>
      </c>
      <c r="AS29" s="281">
        <f>AR29-INPUT[[#This Row],[VP_]]</f>
        <v>-697.49995751948768</v>
      </c>
      <c r="AT29" s="281"/>
      <c r="AU29">
        <v>6.1</v>
      </c>
      <c r="AV29" s="281">
        <f>AU29-INPUT[[#This Row],[D_]]</f>
        <v>-7.1602036481580384</v>
      </c>
    </row>
    <row r="30" spans="1:48">
      <c r="A30" s="606">
        <v>22</v>
      </c>
      <c r="B30" s="598" t="s">
        <v>660</v>
      </c>
      <c r="C30" s="598" t="s">
        <v>106</v>
      </c>
      <c r="D30" s="682"/>
      <c r="E30" s="682"/>
      <c r="F30" s="682">
        <v>1279.2678840594126</v>
      </c>
      <c r="G30" s="682">
        <v>13.053753918973598</v>
      </c>
      <c r="H30" s="682">
        <v>98</v>
      </c>
      <c r="I30" s="598"/>
      <c r="J30" s="598"/>
      <c r="K30" s="598"/>
      <c r="L30" s="598"/>
      <c r="M30" s="606">
        <v>300</v>
      </c>
      <c r="N30" s="598" t="s">
        <v>391</v>
      </c>
      <c r="O30" s="598"/>
      <c r="P30" s="606">
        <f>4</f>
        <v>4</v>
      </c>
      <c r="Q30" s="606">
        <v>2</v>
      </c>
      <c r="R30" s="606">
        <v>3.6</v>
      </c>
      <c r="S30" s="606"/>
      <c r="T30" s="598">
        <v>3.6</v>
      </c>
      <c r="U30" s="598">
        <v>1</v>
      </c>
      <c r="V30" s="598"/>
      <c r="W30" s="598" t="s">
        <v>145</v>
      </c>
      <c r="X30" s="598"/>
      <c r="Y30" s="606"/>
      <c r="Z30" s="598"/>
      <c r="AA30" s="606" t="s">
        <v>644</v>
      </c>
      <c r="AB30" s="606" t="str">
        <f t="shared" si="0"/>
        <v>up</v>
      </c>
      <c r="AC30" s="606" t="s">
        <v>381</v>
      </c>
      <c r="AD30" s="606">
        <v>3</v>
      </c>
      <c r="AE30" s="606"/>
      <c r="AF30" s="606">
        <f>INPUT[Cars '[VDMA']]+INPUT[Trucks '[VDMA']]</f>
        <v>13965.909090909092</v>
      </c>
      <c r="AG30" s="680">
        <v>8341.0444764304157</v>
      </c>
      <c r="AH30" s="606">
        <v>5624.8646144786762</v>
      </c>
      <c r="AI30" s="606">
        <v>0.55000000000000004</v>
      </c>
      <c r="AJ30" s="606"/>
      <c r="AK30" s="606">
        <f>0</f>
        <v>0</v>
      </c>
      <c r="AL30" s="682">
        <v>0.40275678281051541</v>
      </c>
      <c r="AM30" s="606">
        <v>0.03</v>
      </c>
      <c r="AN30" s="606">
        <f t="shared" si="1"/>
        <v>0.88</v>
      </c>
      <c r="AO30" s="606">
        <f>100</f>
        <v>100</v>
      </c>
      <c r="AR30">
        <v>627</v>
      </c>
      <c r="AS30" s="281">
        <f>AR30-INPUT[[#This Row],[VP_]]</f>
        <v>-652.26788405941261</v>
      </c>
      <c r="AT30" s="281"/>
      <c r="AU30">
        <v>6.4</v>
      </c>
      <c r="AV30" s="281">
        <f>AU30-INPUT[[#This Row],[D_]]</f>
        <v>-6.6537539189735977</v>
      </c>
    </row>
    <row r="31" spans="1:48">
      <c r="A31" s="606">
        <v>23</v>
      </c>
      <c r="B31" s="598" t="s">
        <v>660</v>
      </c>
      <c r="C31" s="598" t="s">
        <v>106</v>
      </c>
      <c r="D31" s="682"/>
      <c r="E31" s="682"/>
      <c r="F31" s="682">
        <v>1157.847569284517</v>
      </c>
      <c r="G31" s="682">
        <v>11.814771115148133</v>
      </c>
      <c r="H31" s="682">
        <v>98</v>
      </c>
      <c r="I31" s="598"/>
      <c r="J31" s="598"/>
      <c r="K31" s="598"/>
      <c r="L31" s="598"/>
      <c r="M31" s="606">
        <v>300</v>
      </c>
      <c r="N31" s="598" t="s">
        <v>391</v>
      </c>
      <c r="O31" s="598"/>
      <c r="P31" s="606">
        <f>4</f>
        <v>4</v>
      </c>
      <c r="Q31" s="606">
        <v>2</v>
      </c>
      <c r="R31" s="606">
        <v>3.6</v>
      </c>
      <c r="S31" s="606"/>
      <c r="T31" s="598">
        <v>3.6</v>
      </c>
      <c r="U31" s="598">
        <v>1</v>
      </c>
      <c r="V31" s="598"/>
      <c r="W31" s="598" t="s">
        <v>145</v>
      </c>
      <c r="X31" s="598"/>
      <c r="Y31" s="606"/>
      <c r="Z31" s="598"/>
      <c r="AA31" s="606" t="s">
        <v>644</v>
      </c>
      <c r="AB31" s="606" t="str">
        <f t="shared" si="0"/>
        <v>up</v>
      </c>
      <c r="AC31" s="606" t="s">
        <v>381</v>
      </c>
      <c r="AD31" s="606">
        <v>3</v>
      </c>
      <c r="AE31" s="606"/>
      <c r="AF31" s="606">
        <f>INPUT[Cars '[VDMA']]+INPUT[Trucks '[VDMA']]</f>
        <v>11443.181818181816</v>
      </c>
      <c r="AG31" s="683">
        <v>5998.85942882789</v>
      </c>
      <c r="AH31" s="606">
        <v>5444.3223893539271</v>
      </c>
      <c r="AI31" s="606">
        <v>0.55000000000000004</v>
      </c>
      <c r="AJ31" s="606"/>
      <c r="AK31" s="606">
        <f>0</f>
        <v>0</v>
      </c>
      <c r="AL31" s="682">
        <v>0.47576998040034318</v>
      </c>
      <c r="AM31" s="606">
        <v>0.03</v>
      </c>
      <c r="AN31" s="606">
        <f t="shared" si="1"/>
        <v>0.88</v>
      </c>
      <c r="AO31" s="606">
        <f>100</f>
        <v>100</v>
      </c>
      <c r="AR31">
        <v>548</v>
      </c>
      <c r="AS31" s="281">
        <f>AR31-INPUT[[#This Row],[VP_]]</f>
        <v>-609.84756928451702</v>
      </c>
      <c r="AT31" s="281"/>
      <c r="AU31">
        <v>5.6</v>
      </c>
      <c r="AV31" s="281">
        <f>AU31-INPUT[[#This Row],[D_]]</f>
        <v>-6.2147711151481335</v>
      </c>
    </row>
    <row r="32" spans="1:48">
      <c r="A32" s="606">
        <v>24</v>
      </c>
      <c r="B32" s="598" t="s">
        <v>660</v>
      </c>
      <c r="C32" s="598" t="s">
        <v>106</v>
      </c>
      <c r="D32" s="682"/>
      <c r="E32" s="682"/>
      <c r="F32" s="682">
        <v>1322.4116642290205</v>
      </c>
      <c r="G32" s="682">
        <v>13.493996573765516</v>
      </c>
      <c r="H32" s="682">
        <v>98</v>
      </c>
      <c r="I32" s="598"/>
      <c r="J32" s="598"/>
      <c r="K32" s="598"/>
      <c r="L32" s="598"/>
      <c r="M32" s="606">
        <v>300</v>
      </c>
      <c r="N32" s="598" t="s">
        <v>391</v>
      </c>
      <c r="O32" s="598"/>
      <c r="P32" s="606">
        <f>4</f>
        <v>4</v>
      </c>
      <c r="Q32" s="606">
        <v>2</v>
      </c>
      <c r="R32" s="606">
        <v>3.6</v>
      </c>
      <c r="S32" s="606"/>
      <c r="T32" s="598">
        <v>3.6</v>
      </c>
      <c r="U32" s="598">
        <v>1</v>
      </c>
      <c r="V32" s="598"/>
      <c r="W32" s="598" t="s">
        <v>145</v>
      </c>
      <c r="X32" s="598"/>
      <c r="Y32" s="606"/>
      <c r="Z32" s="598"/>
      <c r="AA32" s="606" t="s">
        <v>644</v>
      </c>
      <c r="AB32" s="606" t="str">
        <f t="shared" si="0"/>
        <v>up</v>
      </c>
      <c r="AC32" s="606" t="s">
        <v>654</v>
      </c>
      <c r="AD32" s="606">
        <v>3</v>
      </c>
      <c r="AE32" s="606"/>
      <c r="AF32" s="606">
        <f>INPUT[Cars '[VDMA']]+INPUT[Trucks '[VDMA']]</f>
        <v>15022.727272727272</v>
      </c>
      <c r="AG32" s="680">
        <v>9381.0604803329697</v>
      </c>
      <c r="AH32" s="606">
        <v>5641.6667923943032</v>
      </c>
      <c r="AI32" s="606">
        <v>0.55000000000000004</v>
      </c>
      <c r="AJ32" s="606"/>
      <c r="AK32" s="606">
        <f>0</f>
        <v>0</v>
      </c>
      <c r="AL32" s="682">
        <v>0.37554211628645889</v>
      </c>
      <c r="AM32" s="606">
        <v>0.03</v>
      </c>
      <c r="AN32" s="606">
        <f t="shared" si="1"/>
        <v>0.88</v>
      </c>
      <c r="AO32" s="606">
        <f>100</f>
        <v>100</v>
      </c>
      <c r="AR32">
        <v>492</v>
      </c>
      <c r="AS32" s="281">
        <f>AR32-INPUT[[#This Row],[VP_]]</f>
        <v>-830.41166422902052</v>
      </c>
      <c r="AT32" s="281"/>
      <c r="AU32">
        <v>5</v>
      </c>
      <c r="AV32" s="281">
        <f>AU32-INPUT[[#This Row],[D_]]</f>
        <v>-8.4939965737655161</v>
      </c>
    </row>
    <row r="33" spans="1:48">
      <c r="A33" s="606">
        <v>25</v>
      </c>
      <c r="B33" s="598" t="s">
        <v>660</v>
      </c>
      <c r="C33" s="598" t="s">
        <v>106</v>
      </c>
      <c r="D33" s="682"/>
      <c r="E33" s="682"/>
      <c r="F33" s="682">
        <v>1656.9474449045476</v>
      </c>
      <c r="G33" s="682">
        <v>16.793386265924468</v>
      </c>
      <c r="H33" s="682">
        <v>95.976481619219498</v>
      </c>
      <c r="I33" s="598"/>
      <c r="J33" s="598"/>
      <c r="K33" s="598"/>
      <c r="L33" s="598"/>
      <c r="M33" s="606">
        <v>300</v>
      </c>
      <c r="N33" s="598" t="s">
        <v>391</v>
      </c>
      <c r="O33" s="598"/>
      <c r="P33" s="606">
        <f>4</f>
        <v>4</v>
      </c>
      <c r="Q33" s="606">
        <v>2</v>
      </c>
      <c r="R33" s="606">
        <v>3.6</v>
      </c>
      <c r="S33" s="606"/>
      <c r="T33" s="598">
        <v>3.6</v>
      </c>
      <c r="U33" s="598">
        <v>1</v>
      </c>
      <c r="V33" s="598"/>
      <c r="W33" s="598" t="s">
        <v>145</v>
      </c>
      <c r="X33" s="598"/>
      <c r="Y33" s="606"/>
      <c r="Z33" s="598"/>
      <c r="AA33" s="606" t="s">
        <v>644</v>
      </c>
      <c r="AB33" s="606" t="str">
        <f t="shared" si="0"/>
        <v>up</v>
      </c>
      <c r="AC33" s="606" t="s">
        <v>654</v>
      </c>
      <c r="AD33" s="606">
        <v>2</v>
      </c>
      <c r="AE33" s="606"/>
      <c r="AF33" s="606">
        <f>INPUT[Cars '[VDMA']]+INPUT[Trucks '[VDMA']]</f>
        <v>18761.363636363636</v>
      </c>
      <c r="AG33" s="683">
        <v>11674.284618909027</v>
      </c>
      <c r="AH33" s="606">
        <v>7087.0790174546082</v>
      </c>
      <c r="AI33" s="606">
        <v>0.55000000000000004</v>
      </c>
      <c r="AJ33" s="606"/>
      <c r="AK33" s="606">
        <f>0</f>
        <v>0</v>
      </c>
      <c r="AL33" s="682">
        <v>0.37774860904664176</v>
      </c>
      <c r="AM33" s="606">
        <v>0.03</v>
      </c>
      <c r="AN33" s="606">
        <f t="shared" si="1"/>
        <v>0.88</v>
      </c>
      <c r="AO33" s="606">
        <f>100</f>
        <v>100</v>
      </c>
      <c r="AR33">
        <v>617</v>
      </c>
      <c r="AS33" s="281">
        <f>AR33-INPUT[[#This Row],[VP_]]</f>
        <v>-1039.9474449045476</v>
      </c>
      <c r="AT33" s="281"/>
      <c r="AU33">
        <v>6.3</v>
      </c>
      <c r="AV33" s="281">
        <f>AU33-INPUT[[#This Row],[D_]]</f>
        <v>-10.493386265924467</v>
      </c>
    </row>
    <row r="34" spans="1:48">
      <c r="A34" s="606">
        <v>26</v>
      </c>
      <c r="B34" s="598" t="s">
        <v>660</v>
      </c>
      <c r="C34" s="598" t="s">
        <v>106</v>
      </c>
      <c r="D34" s="682"/>
      <c r="E34" s="682"/>
      <c r="F34" s="682">
        <v>1353.2361205663808</v>
      </c>
      <c r="G34" s="682">
        <v>13.715230951686291</v>
      </c>
      <c r="H34" s="682">
        <v>98.666666666666671</v>
      </c>
      <c r="I34" s="598"/>
      <c r="J34" s="598"/>
      <c r="K34" s="598"/>
      <c r="L34" s="598"/>
      <c r="M34" s="606">
        <v>300</v>
      </c>
      <c r="N34" s="598" t="s">
        <v>391</v>
      </c>
      <c r="O34" s="598"/>
      <c r="P34" s="606">
        <f>4</f>
        <v>4</v>
      </c>
      <c r="Q34" s="606">
        <v>2</v>
      </c>
      <c r="R34" s="606">
        <v>3.6</v>
      </c>
      <c r="S34" s="606"/>
      <c r="T34" s="598">
        <v>3.6</v>
      </c>
      <c r="U34" s="598">
        <v>1</v>
      </c>
      <c r="V34" s="598"/>
      <c r="W34" s="598" t="s">
        <v>145</v>
      </c>
      <c r="X34" s="598"/>
      <c r="Y34" s="606"/>
      <c r="Z34" s="598"/>
      <c r="AA34" s="606" t="s">
        <v>644</v>
      </c>
      <c r="AB34" s="606" t="str">
        <f t="shared" si="0"/>
        <v>up</v>
      </c>
      <c r="AC34" s="606" t="s">
        <v>654</v>
      </c>
      <c r="AD34" s="606">
        <v>2</v>
      </c>
      <c r="AE34" s="606"/>
      <c r="AF34" s="606">
        <f>INPUT[Cars '[VDMA']]+INPUT[Trucks '[VDMA']]</f>
        <v>15488.636363636364</v>
      </c>
      <c r="AG34" s="680">
        <v>9749.6263108361982</v>
      </c>
      <c r="AH34" s="606">
        <v>5739.0100528001667</v>
      </c>
      <c r="AI34" s="606">
        <v>0.55000000000000004</v>
      </c>
      <c r="AJ34" s="606"/>
      <c r="AK34" s="606">
        <f>0</f>
        <v>0</v>
      </c>
      <c r="AL34" s="682">
        <v>0.37053036291006208</v>
      </c>
      <c r="AM34" s="606">
        <v>0.03</v>
      </c>
      <c r="AN34" s="606">
        <f t="shared" si="1"/>
        <v>0.88</v>
      </c>
      <c r="AO34" s="606">
        <f>100</f>
        <v>100</v>
      </c>
      <c r="AR34">
        <v>507</v>
      </c>
      <c r="AS34" s="281">
        <f>AR34-INPUT[[#This Row],[VP_]]</f>
        <v>-846.23612056638081</v>
      </c>
      <c r="AT34" s="281"/>
      <c r="AU34">
        <v>5.0999999999999996</v>
      </c>
      <c r="AV34" s="281">
        <f>AU34-INPUT[[#This Row],[D_]]</f>
        <v>-8.615230951686291</v>
      </c>
    </row>
    <row r="35" spans="1:48">
      <c r="A35" s="606">
        <v>27</v>
      </c>
      <c r="B35" s="598" t="s">
        <v>660</v>
      </c>
      <c r="C35" s="598" t="s">
        <v>106</v>
      </c>
      <c r="D35" s="682"/>
      <c r="E35" s="682"/>
      <c r="F35" s="682">
        <v>1191.8528057613928</v>
      </c>
      <c r="G35" s="682">
        <v>12.161763324095844</v>
      </c>
      <c r="H35" s="682">
        <v>98</v>
      </c>
      <c r="I35" s="598"/>
      <c r="J35" s="598"/>
      <c r="K35" s="598"/>
      <c r="L35" s="598"/>
      <c r="M35" s="606">
        <v>300</v>
      </c>
      <c r="N35" s="598" t="s">
        <v>391</v>
      </c>
      <c r="O35" s="598"/>
      <c r="P35" s="606">
        <f>4</f>
        <v>4</v>
      </c>
      <c r="Q35" s="606">
        <v>2</v>
      </c>
      <c r="R35" s="606">
        <v>3.6</v>
      </c>
      <c r="S35" s="606"/>
      <c r="T35" s="598">
        <v>3.6</v>
      </c>
      <c r="U35" s="598">
        <v>1</v>
      </c>
      <c r="V35" s="598"/>
      <c r="W35" s="598" t="s">
        <v>145</v>
      </c>
      <c r="X35" s="598"/>
      <c r="Y35" s="606"/>
      <c r="Z35" s="598"/>
      <c r="AA35" s="606" t="s">
        <v>644</v>
      </c>
      <c r="AB35" s="606" t="str">
        <f t="shared" si="0"/>
        <v>up</v>
      </c>
      <c r="AC35" s="606" t="s">
        <v>381</v>
      </c>
      <c r="AD35" s="606">
        <v>3</v>
      </c>
      <c r="AE35" s="606"/>
      <c r="AF35" s="606">
        <f>INPUT[Cars '[VDMA']]+INPUT[Trucks '[VDMA']]</f>
        <v>12102.272727272728</v>
      </c>
      <c r="AG35" s="683">
        <v>6593.388795930482</v>
      </c>
      <c r="AH35" s="606">
        <v>5508.883931342245</v>
      </c>
      <c r="AI35" s="606">
        <v>0.55000000000000004</v>
      </c>
      <c r="AJ35" s="606"/>
      <c r="AK35" s="606">
        <f>0</f>
        <v>0</v>
      </c>
      <c r="AL35" s="682">
        <v>0.45519416521888972</v>
      </c>
      <c r="AM35" s="606">
        <v>0.03</v>
      </c>
      <c r="AN35" s="606">
        <f t="shared" si="1"/>
        <v>0.88</v>
      </c>
      <c r="AO35" s="606">
        <f>100</f>
        <v>100</v>
      </c>
      <c r="AR35">
        <v>570</v>
      </c>
      <c r="AS35" s="281">
        <f>AR35-INPUT[[#This Row],[VP_]]</f>
        <v>-621.8528057613928</v>
      </c>
      <c r="AT35" s="281"/>
      <c r="AU35">
        <v>5.8</v>
      </c>
      <c r="AV35" s="281">
        <f>AU35-INPUT[[#This Row],[D_]]</f>
        <v>-6.3617633240958442</v>
      </c>
    </row>
    <row r="36" spans="1:48">
      <c r="A36" s="606">
        <v>28</v>
      </c>
      <c r="B36" s="598" t="s">
        <v>660</v>
      </c>
      <c r="C36" s="598" t="s">
        <v>106</v>
      </c>
      <c r="D36" s="682"/>
      <c r="E36" s="682"/>
      <c r="F36" s="682">
        <v>1571.8728899316459</v>
      </c>
      <c r="G36" s="682">
        <v>15.931144154712626</v>
      </c>
      <c r="H36" s="682">
        <v>97.078091445613367</v>
      </c>
      <c r="I36" s="598"/>
      <c r="J36" s="598"/>
      <c r="K36" s="598"/>
      <c r="L36" s="598"/>
      <c r="M36" s="606">
        <v>300</v>
      </c>
      <c r="N36" s="598" t="s">
        <v>391</v>
      </c>
      <c r="O36" s="598"/>
      <c r="P36" s="606">
        <f>4</f>
        <v>4</v>
      </c>
      <c r="Q36" s="606">
        <v>2</v>
      </c>
      <c r="R36" s="606">
        <v>3.6</v>
      </c>
      <c r="S36" s="606"/>
      <c r="T36" s="598">
        <v>3.6</v>
      </c>
      <c r="U36" s="598">
        <v>1</v>
      </c>
      <c r="V36" s="598"/>
      <c r="W36" s="598" t="s">
        <v>145</v>
      </c>
      <c r="X36" s="598"/>
      <c r="Y36" s="606"/>
      <c r="Z36" s="598"/>
      <c r="AA36" s="606" t="s">
        <v>644</v>
      </c>
      <c r="AB36" s="606" t="str">
        <f t="shared" si="0"/>
        <v>up</v>
      </c>
      <c r="AC36" s="606" t="s">
        <v>381</v>
      </c>
      <c r="AD36" s="606">
        <v>2</v>
      </c>
      <c r="AE36" s="606"/>
      <c r="AF36" s="606">
        <f>INPUT[Cars '[VDMA']]+INPUT[Trucks '[VDMA']]</f>
        <v>19363.636363636364</v>
      </c>
      <c r="AG36" s="680">
        <v>13102.500925196073</v>
      </c>
      <c r="AH36" s="606">
        <v>6261.1354384402903</v>
      </c>
      <c r="AI36" s="606">
        <v>0.55000000000000004</v>
      </c>
      <c r="AJ36" s="606"/>
      <c r="AK36" s="606">
        <f>0</f>
        <v>0</v>
      </c>
      <c r="AL36" s="682">
        <v>0.32334502264245629</v>
      </c>
      <c r="AM36" s="606">
        <v>0.03</v>
      </c>
      <c r="AN36" s="606">
        <f t="shared" si="1"/>
        <v>0.88</v>
      </c>
      <c r="AO36" s="606">
        <f>100</f>
        <v>100</v>
      </c>
      <c r="AR36">
        <v>806</v>
      </c>
      <c r="AS36" s="281">
        <f>AR36-INPUT[[#This Row],[VP_]]</f>
        <v>-765.87288993164589</v>
      </c>
      <c r="AT36" s="281"/>
      <c r="AU36">
        <v>8.1999999999999993</v>
      </c>
      <c r="AV36" s="281">
        <f>AU36-INPUT[[#This Row],[D_]]</f>
        <v>-7.7311441547126272</v>
      </c>
    </row>
    <row r="37" spans="1:48">
      <c r="A37" s="606">
        <v>29</v>
      </c>
      <c r="B37" s="598" t="s">
        <v>660</v>
      </c>
      <c r="C37" s="598" t="s">
        <v>106</v>
      </c>
      <c r="D37" s="682"/>
      <c r="E37" s="682"/>
      <c r="F37" s="682">
        <v>1160.645618001492</v>
      </c>
      <c r="G37" s="682">
        <v>11.763300182447553</v>
      </c>
      <c r="H37" s="682">
        <v>98.666666666666671</v>
      </c>
      <c r="I37" s="598"/>
      <c r="J37" s="598"/>
      <c r="K37" s="598"/>
      <c r="L37" s="598"/>
      <c r="M37" s="606">
        <v>300</v>
      </c>
      <c r="N37" s="598" t="s">
        <v>391</v>
      </c>
      <c r="O37" s="598"/>
      <c r="P37" s="606">
        <f>4</f>
        <v>4</v>
      </c>
      <c r="Q37" s="606">
        <v>3</v>
      </c>
      <c r="R37" s="606">
        <v>3.6</v>
      </c>
      <c r="S37" s="606"/>
      <c r="T37" s="598">
        <v>3.6</v>
      </c>
      <c r="U37" s="598">
        <v>1</v>
      </c>
      <c r="V37" s="598"/>
      <c r="W37" s="598" t="s">
        <v>145</v>
      </c>
      <c r="X37" s="598"/>
      <c r="Y37" s="606"/>
      <c r="Z37" s="598"/>
      <c r="AA37" s="606" t="s">
        <v>644</v>
      </c>
      <c r="AB37" s="606" t="str">
        <f t="shared" si="0"/>
        <v>up</v>
      </c>
      <c r="AC37" s="606" t="s">
        <v>381</v>
      </c>
      <c r="AD37" s="606">
        <v>2</v>
      </c>
      <c r="AE37" s="606"/>
      <c r="AF37" s="606">
        <f>INPUT[Cars '[VDMA']]+INPUT[Trucks '[VDMA']]</f>
        <v>28886.36363636364</v>
      </c>
      <c r="AG37" s="681">
        <v>24695.302987492425</v>
      </c>
      <c r="AH37" s="606">
        <v>4191.0606488712147</v>
      </c>
      <c r="AI37" s="606">
        <v>0.55000000000000004</v>
      </c>
      <c r="AJ37" s="606"/>
      <c r="AK37" s="606">
        <f>0</f>
        <v>0</v>
      </c>
      <c r="AL37" s="682">
        <v>0.14508785881222142</v>
      </c>
      <c r="AM37" s="606">
        <v>0.03</v>
      </c>
      <c r="AN37" s="606">
        <f t="shared" si="1"/>
        <v>0.88</v>
      </c>
      <c r="AO37" s="606">
        <f>100</f>
        <v>100</v>
      </c>
      <c r="AR37">
        <v>664</v>
      </c>
      <c r="AS37" s="281">
        <f>AR37-INPUT[[#This Row],[VP_]]</f>
        <v>-496.64561800149204</v>
      </c>
      <c r="AT37" s="281"/>
      <c r="AU37">
        <v>6.7</v>
      </c>
      <c r="AV37" s="281">
        <f>AU37-INPUT[[#This Row],[D_]]</f>
        <v>-5.063300182447553</v>
      </c>
    </row>
  </sheetData>
  <mergeCells count="1">
    <mergeCell ref="F1:G1"/>
  </mergeCells>
  <conditionalFormatting sqref="H1">
    <cfRule type="colorScale" priority="1">
      <colorScale>
        <cfvo type="min"/>
        <cfvo type="max"/>
        <color rgb="FFFCFCFF"/>
        <color rgb="FF63BE7B"/>
      </colorScale>
    </cfRule>
  </conditionalFormatting>
  <conditionalFormatting sqref="J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W10:W37">
      <formula1>$X$4:$X$7</formula1>
    </dataValidation>
    <dataValidation type="list" allowBlank="1" showInputMessage="1" showErrorMessage="1" sqref="AC10:AC37">
      <formula1>$V$4:$V$5</formula1>
    </dataValidation>
    <dataValidation type="list" allowBlank="1" showInputMessage="1" showErrorMessage="1" sqref="D10:E37 B10:B37">
      <formula1>$W$4:$W$7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rgb="FFF8F200"/>
  </sheetPr>
  <dimension ref="A1:AZ10"/>
  <sheetViews>
    <sheetView workbookViewId="0">
      <selection activeCell="H27" sqref="H27"/>
    </sheetView>
  </sheetViews>
  <sheetFormatPr defaultRowHeight="12.75"/>
  <cols>
    <col min="12" max="17" width="9.5703125" customWidth="1"/>
  </cols>
  <sheetData>
    <row r="1" spans="1:52" s="233" customFormat="1" ht="32.25">
      <c r="A1" s="603" t="s">
        <v>694</v>
      </c>
      <c r="B1" s="605"/>
      <c r="C1" s="602"/>
      <c r="D1" s="602"/>
      <c r="E1" s="601"/>
      <c r="F1" s="608"/>
      <c r="G1" s="608"/>
      <c r="H1" s="602"/>
      <c r="I1" s="602"/>
      <c r="J1" s="602" t="s">
        <v>655</v>
      </c>
      <c r="K1" s="602"/>
      <c r="L1" s="602"/>
      <c r="M1" s="602"/>
      <c r="N1" s="602"/>
      <c r="O1" s="602"/>
      <c r="P1" s="602"/>
      <c r="Q1" s="602"/>
      <c r="R1" s="602"/>
      <c r="S1" s="604"/>
      <c r="T1" s="604"/>
      <c r="U1" s="604"/>
      <c r="V1" s="604"/>
      <c r="W1" s="604"/>
      <c r="X1" s="604"/>
      <c r="Y1" s="604"/>
      <c r="Z1" s="604"/>
      <c r="AA1" s="604"/>
      <c r="AB1" s="604"/>
      <c r="AC1" s="604"/>
      <c r="AD1" s="604"/>
      <c r="AE1" s="604"/>
      <c r="AF1" s="604"/>
      <c r="AG1" s="604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  <c r="AS1" s="356"/>
      <c r="AT1" s="356"/>
      <c r="AU1" s="356"/>
      <c r="AV1" s="356"/>
      <c r="AW1" s="356"/>
      <c r="AX1" s="356"/>
      <c r="AY1" s="356"/>
      <c r="AZ1" s="356"/>
    </row>
    <row r="3" spans="1:52" s="58" customFormat="1"/>
    <row r="4" spans="1:52" s="58" customFormat="1"/>
    <row r="5" spans="1:52" s="58" customFormat="1"/>
    <row r="6" spans="1:52"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</row>
    <row r="7" spans="1:52">
      <c r="B7" s="53" t="s">
        <v>695</v>
      </c>
    </row>
    <row r="8" spans="1:52" ht="25.5" customHeight="1">
      <c r="B8" s="440" t="s">
        <v>673</v>
      </c>
      <c r="C8" s="440" t="s">
        <v>704</v>
      </c>
    </row>
    <row r="9" spans="1:52">
      <c r="B9" s="440" t="s">
        <v>702</v>
      </c>
      <c r="C9" s="440">
        <f>2000</f>
        <v>2000</v>
      </c>
    </row>
    <row r="10" spans="1:52">
      <c r="B10" s="440" t="s">
        <v>703</v>
      </c>
      <c r="C10" s="422">
        <f>2000</f>
        <v>2000</v>
      </c>
    </row>
  </sheetData>
  <mergeCells count="1">
    <mergeCell ref="F1:G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6"/>
  </sheetPr>
  <dimension ref="A1:CG121"/>
  <sheetViews>
    <sheetView showGridLines="0" zoomScaleNormal="100" workbookViewId="0">
      <pane xSplit="2" topLeftCell="AC1" activePane="topRight" state="frozen"/>
      <selection activeCell="A4" sqref="A4"/>
      <selection pane="topRight" activeCell="AJ14" sqref="AJ14"/>
    </sheetView>
  </sheetViews>
  <sheetFormatPr defaultRowHeight="12.75" outlineLevelCol="2"/>
  <cols>
    <col min="1" max="1" width="2.140625" style="58" customWidth="1"/>
    <col min="2" max="2" width="6.5703125" style="60" customWidth="1"/>
    <col min="3" max="3" width="23.5703125" style="60" customWidth="1"/>
    <col min="4" max="4" width="15.85546875" style="60" customWidth="1"/>
    <col min="5" max="7" width="10.42578125" style="60" customWidth="1"/>
    <col min="8" max="8" width="9.85546875" style="60" customWidth="1"/>
    <col min="9" max="9" width="11.7109375" style="60" bestFit="1" customWidth="1"/>
    <col min="10" max="10" width="8.7109375" style="60" customWidth="1" outlineLevel="1"/>
    <col min="11" max="11" width="8.7109375" style="61" customWidth="1" outlineLevel="1"/>
    <col min="12" max="16" width="8.7109375" style="60" customWidth="1" outlineLevel="1"/>
    <col min="17" max="19" width="10.140625" style="60" customWidth="1" outlineLevel="1"/>
    <col min="20" max="20" width="3.7109375" style="314" customWidth="1"/>
    <col min="21" max="23" width="9.140625" style="273" customWidth="1" outlineLevel="1"/>
    <col min="24" max="24" width="3.7109375" style="314" customWidth="1"/>
    <col min="25" max="26" width="9.140625" style="58" customWidth="1"/>
    <col min="27" max="42" width="9.140625" style="58" customWidth="1" outlineLevel="1"/>
    <col min="43" max="43" width="9.85546875" style="58" customWidth="1" outlineLevel="1"/>
    <col min="44" max="44" width="9.140625" style="58" customWidth="1" outlineLevel="1"/>
    <col min="45" max="45" width="3.7109375" style="314" customWidth="1"/>
    <col min="46" max="46" width="9.140625" style="58"/>
    <col min="47" max="56" width="9.140625" style="58" customWidth="1" outlineLevel="1"/>
    <col min="57" max="59" width="9.140625" style="58" customWidth="1" outlineLevel="2"/>
    <col min="60" max="63" width="9.140625" style="58" customWidth="1" outlineLevel="1"/>
    <col min="64" max="65" width="9.5703125" style="58" customWidth="1" outlineLevel="1"/>
    <col min="66" max="68" width="9.140625" style="58" customWidth="1" outlineLevel="1"/>
    <col min="69" max="69" width="9.7109375" style="58" customWidth="1" outlineLevel="1"/>
    <col min="70" max="73" width="9.7109375" style="58" customWidth="1" outlineLevel="2"/>
    <col min="74" max="74" width="9.7109375" style="58" customWidth="1" outlineLevel="1"/>
    <col min="75" max="76" width="9.140625" style="58" customWidth="1" outlineLevel="1"/>
    <col min="77" max="77" width="9.140625" style="58" customWidth="1"/>
    <col min="78" max="81" width="9.140625" style="58" customWidth="1" outlineLevel="1"/>
    <col min="82" max="83" width="9.140625" style="58" customWidth="1"/>
    <col min="84" max="16384" width="9.140625" style="58"/>
  </cols>
  <sheetData>
    <row r="1" spans="2:84" s="33" customFormat="1" ht="32.25">
      <c r="B1" s="33" t="s">
        <v>261</v>
      </c>
      <c r="E1" s="49" t="s">
        <v>116</v>
      </c>
      <c r="F1" s="609">
        <v>2019</v>
      </c>
      <c r="G1" s="609"/>
      <c r="N1" s="321"/>
      <c r="T1" s="311"/>
      <c r="U1" s="276"/>
      <c r="V1" s="276"/>
      <c r="W1" s="277"/>
      <c r="X1" s="311"/>
      <c r="AS1" s="311"/>
    </row>
    <row r="2" spans="2:84" ht="13.5" customHeight="1"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610" t="s">
        <v>272</v>
      </c>
      <c r="U2" s="306"/>
      <c r="V2" s="306"/>
      <c r="W2" s="306"/>
      <c r="X2" s="610" t="s">
        <v>273</v>
      </c>
      <c r="AS2" s="610" t="s">
        <v>385</v>
      </c>
    </row>
    <row r="3" spans="2:84" ht="13.5" customHeight="1">
      <c r="B3" s="260"/>
      <c r="C3" s="12" t="s">
        <v>258</v>
      </c>
      <c r="D3" s="19" t="s">
        <v>50</v>
      </c>
      <c r="E3" s="12"/>
      <c r="F3" s="12"/>
      <c r="G3" s="12"/>
      <c r="H3" s="12"/>
      <c r="I3" s="261"/>
      <c r="J3" s="12" t="s">
        <v>264</v>
      </c>
      <c r="K3" s="19" t="s">
        <v>388</v>
      </c>
      <c r="L3" s="19" t="s">
        <v>50</v>
      </c>
      <c r="M3" s="12"/>
      <c r="N3" s="12"/>
      <c r="O3" s="261"/>
      <c r="P3" s="261"/>
      <c r="Q3" s="261"/>
      <c r="R3" s="58"/>
      <c r="S3" s="58"/>
      <c r="T3" s="610"/>
      <c r="U3" s="306"/>
      <c r="V3" s="306"/>
      <c r="W3" s="306"/>
      <c r="X3" s="610"/>
      <c r="AB3" s="12" t="s">
        <v>66</v>
      </c>
      <c r="AC3" s="9" t="s">
        <v>67</v>
      </c>
      <c r="AD3" s="9"/>
      <c r="AE3" s="9"/>
      <c r="AF3" s="9"/>
      <c r="AG3" s="9"/>
      <c r="AH3" s="268" t="s">
        <v>270</v>
      </c>
      <c r="AS3" s="610"/>
    </row>
    <row r="4" spans="2:84" ht="13.5" customHeight="1">
      <c r="B4" s="260"/>
      <c r="C4" s="20">
        <v>8.7999999999999995E-2</v>
      </c>
      <c r="D4" s="10" t="s">
        <v>257</v>
      </c>
      <c r="E4" s="10"/>
      <c r="F4" s="10"/>
      <c r="G4" s="10"/>
      <c r="H4" s="10"/>
      <c r="I4" s="261"/>
      <c r="J4" s="10">
        <v>75</v>
      </c>
      <c r="K4" s="10" t="s">
        <v>389</v>
      </c>
      <c r="L4" s="10" t="s">
        <v>387</v>
      </c>
      <c r="M4" s="10"/>
      <c r="N4" s="10"/>
      <c r="O4" s="261"/>
      <c r="P4" s="261"/>
      <c r="Q4" s="261"/>
      <c r="R4" s="58"/>
      <c r="S4" s="58"/>
      <c r="T4" s="610"/>
      <c r="U4" s="306"/>
      <c r="V4" s="306"/>
      <c r="W4" s="306"/>
      <c r="X4" s="610"/>
      <c r="AB4" s="10">
        <v>1</v>
      </c>
      <c r="AC4" s="10" t="s">
        <v>69</v>
      </c>
      <c r="AD4" s="10"/>
      <c r="AE4" s="10"/>
      <c r="AF4" s="10"/>
      <c r="AG4" s="10"/>
      <c r="AH4" s="267" t="s">
        <v>494</v>
      </c>
      <c r="AS4" s="610"/>
    </row>
    <row r="5" spans="2:84" ht="13.5" customHeight="1" thickBot="1">
      <c r="B5" s="260"/>
      <c r="C5" s="319" t="s">
        <v>147</v>
      </c>
      <c r="D5" s="320" t="s">
        <v>256</v>
      </c>
      <c r="E5" s="320"/>
      <c r="F5" s="320"/>
      <c r="G5" s="320"/>
      <c r="H5" s="320"/>
      <c r="I5" s="261"/>
      <c r="J5" s="320">
        <v>100</v>
      </c>
      <c r="K5" s="320" t="s">
        <v>389</v>
      </c>
      <c r="L5" s="320" t="s">
        <v>410</v>
      </c>
      <c r="M5" s="320"/>
      <c r="N5" s="320"/>
      <c r="O5" s="261"/>
      <c r="P5" s="261"/>
      <c r="Q5" s="261"/>
      <c r="R5" s="58"/>
      <c r="S5" s="58"/>
      <c r="T5" s="610"/>
      <c r="U5" s="306"/>
      <c r="V5" s="306"/>
      <c r="W5" s="306"/>
      <c r="X5" s="610"/>
      <c r="AB5" s="11">
        <v>2</v>
      </c>
      <c r="AC5" s="11" t="s">
        <v>267</v>
      </c>
      <c r="AD5" s="11"/>
      <c r="AE5" s="11"/>
      <c r="AF5" s="11"/>
      <c r="AG5" s="11"/>
      <c r="AH5" s="317" t="s">
        <v>73</v>
      </c>
      <c r="AS5" s="610"/>
    </row>
    <row r="6" spans="2:84" ht="13.5" customHeight="1">
      <c r="B6" s="260"/>
      <c r="C6" s="58"/>
      <c r="D6" s="58"/>
      <c r="E6" s="58"/>
      <c r="F6" s="58"/>
      <c r="G6" s="58"/>
      <c r="H6" s="58"/>
      <c r="I6" s="261"/>
      <c r="O6" s="261"/>
      <c r="P6" s="261"/>
      <c r="Q6" s="261"/>
      <c r="R6" s="58"/>
      <c r="S6" s="58"/>
      <c r="T6" s="610"/>
      <c r="U6" s="306"/>
      <c r="V6" s="306"/>
      <c r="W6" s="306"/>
      <c r="X6" s="610"/>
      <c r="AB6" s="10">
        <v>3</v>
      </c>
      <c r="AC6" s="10" t="s">
        <v>266</v>
      </c>
      <c r="AD6" s="10"/>
      <c r="AE6" s="10"/>
      <c r="AF6" s="10"/>
      <c r="AG6" s="10"/>
      <c r="AH6" s="318" t="s">
        <v>73</v>
      </c>
      <c r="AS6" s="610"/>
      <c r="BG6" s="465" t="s">
        <v>451</v>
      </c>
      <c r="BH6" s="465"/>
      <c r="BI6" s="465"/>
      <c r="BV6" s="465" t="s">
        <v>484</v>
      </c>
      <c r="BW6" s="465"/>
      <c r="BX6" s="465"/>
    </row>
    <row r="7" spans="2:84" ht="13.5" customHeight="1" thickBot="1">
      <c r="B7" s="260"/>
      <c r="C7" s="54" t="s">
        <v>119</v>
      </c>
      <c r="D7" s="52"/>
      <c r="E7" s="52"/>
      <c r="F7" s="52"/>
      <c r="G7" s="52"/>
      <c r="H7" s="52"/>
      <c r="I7" s="261"/>
      <c r="O7" s="261"/>
      <c r="P7" s="261"/>
      <c r="Q7" s="261"/>
      <c r="R7" s="58"/>
      <c r="S7" s="58"/>
      <c r="T7" s="610"/>
      <c r="U7" s="306"/>
      <c r="V7" s="306"/>
      <c r="W7" s="306"/>
      <c r="X7" s="610"/>
      <c r="AB7" s="484">
        <v>4</v>
      </c>
      <c r="AC7" s="484" t="s">
        <v>255</v>
      </c>
      <c r="AD7" s="484"/>
      <c r="AE7" s="484"/>
      <c r="AF7" s="484"/>
      <c r="AG7" s="484"/>
      <c r="AH7" s="485" t="s">
        <v>495</v>
      </c>
      <c r="AS7" s="610"/>
      <c r="BG7" s="464" t="s">
        <v>452</v>
      </c>
      <c r="BH7" s="464" t="s">
        <v>669</v>
      </c>
      <c r="BI7" s="464"/>
      <c r="BV7" s="464" t="s">
        <v>452</v>
      </c>
      <c r="BW7" s="464" t="s">
        <v>671</v>
      </c>
      <c r="BX7" s="464"/>
    </row>
    <row r="8" spans="2:84" ht="13.5" customHeight="1">
      <c r="B8" s="260"/>
      <c r="C8" s="262" t="s">
        <v>80</v>
      </c>
      <c r="D8" s="53" t="s">
        <v>121</v>
      </c>
      <c r="E8" s="58"/>
      <c r="F8" s="51" t="s">
        <v>111</v>
      </c>
      <c r="G8" s="53" t="s">
        <v>118</v>
      </c>
      <c r="H8" s="58"/>
      <c r="I8" s="261"/>
      <c r="O8" s="261"/>
      <c r="P8" s="261"/>
      <c r="Q8" s="261"/>
      <c r="R8" s="58"/>
      <c r="S8" s="58"/>
      <c r="T8" s="610"/>
      <c r="U8" s="306"/>
      <c r="V8" s="306"/>
      <c r="W8" s="306"/>
      <c r="X8" s="610"/>
      <c r="AB8" s="10">
        <v>5</v>
      </c>
      <c r="AC8" s="10" t="s">
        <v>492</v>
      </c>
      <c r="AD8" s="10"/>
      <c r="AE8" s="10"/>
      <c r="AF8" s="10"/>
      <c r="AG8" s="10"/>
      <c r="AH8" s="318" t="s">
        <v>73</v>
      </c>
      <c r="AS8" s="610"/>
      <c r="BG8" s="464" t="s">
        <v>453</v>
      </c>
      <c r="BH8" s="464" t="s">
        <v>670</v>
      </c>
      <c r="BI8" s="464"/>
      <c r="BV8" s="464" t="s">
        <v>453</v>
      </c>
      <c r="BW8" s="464" t="s">
        <v>672</v>
      </c>
      <c r="BX8" s="464"/>
    </row>
    <row r="9" spans="2:84" s="261" customFormat="1" ht="13.5" customHeight="1">
      <c r="B9" s="260"/>
      <c r="C9" s="271" t="s">
        <v>80</v>
      </c>
      <c r="D9" s="53" t="s">
        <v>120</v>
      </c>
      <c r="E9" s="58"/>
      <c r="F9" s="42" t="s">
        <v>113</v>
      </c>
      <c r="G9" s="53" t="s">
        <v>112</v>
      </c>
      <c r="J9" s="349">
        <v>55</v>
      </c>
      <c r="K9" s="350" t="str">
        <f>CONCATENATE("/"&amp;100-J9)</f>
        <v>/45</v>
      </c>
      <c r="L9" s="347" t="s">
        <v>399</v>
      </c>
      <c r="M9" s="348"/>
      <c r="N9" s="348"/>
      <c r="R9" s="259"/>
      <c r="S9" s="259"/>
      <c r="T9" s="610"/>
      <c r="U9" s="306"/>
      <c r="V9" s="306"/>
      <c r="W9" s="306"/>
      <c r="X9" s="610"/>
      <c r="Y9" s="58"/>
      <c r="Z9" s="58"/>
      <c r="AA9" s="58"/>
      <c r="AB9" s="484">
        <v>6</v>
      </c>
      <c r="AC9" s="484" t="s">
        <v>493</v>
      </c>
      <c r="AD9" s="484"/>
      <c r="AE9" s="484"/>
      <c r="AF9" s="484"/>
      <c r="AG9" s="484"/>
      <c r="AH9" s="486" t="s">
        <v>73</v>
      </c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610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G9" s="58"/>
      <c r="BH9" s="58"/>
      <c r="BI9" s="58"/>
      <c r="BJ9" s="58"/>
      <c r="BK9" s="58"/>
      <c r="BL9" s="58"/>
      <c r="BM9" s="58"/>
      <c r="BN9" s="58"/>
      <c r="BO9" s="58"/>
      <c r="BU9" s="58"/>
      <c r="BV9" s="58"/>
      <c r="BW9" s="58"/>
      <c r="BX9" s="58"/>
      <c r="BY9" s="58"/>
      <c r="CD9" s="58"/>
    </row>
    <row r="10" spans="2:84">
      <c r="B10" s="59"/>
      <c r="C10" s="24" t="s">
        <v>111</v>
      </c>
      <c r="D10" s="53" t="s">
        <v>81</v>
      </c>
      <c r="E10" s="58"/>
      <c r="F10" s="272" t="s">
        <v>113</v>
      </c>
      <c r="G10" s="53" t="s">
        <v>271</v>
      </c>
      <c r="I10" s="261"/>
      <c r="J10" s="345">
        <v>2</v>
      </c>
      <c r="K10" s="351" t="s">
        <v>73</v>
      </c>
      <c r="L10" s="346" t="s">
        <v>86</v>
      </c>
      <c r="M10" s="346"/>
      <c r="N10" s="346"/>
      <c r="O10" s="261"/>
      <c r="P10" s="261"/>
      <c r="Q10" s="261"/>
      <c r="R10" s="261"/>
      <c r="S10" s="261"/>
      <c r="T10" s="610"/>
      <c r="U10" s="307"/>
      <c r="V10" s="307"/>
      <c r="W10" s="307"/>
      <c r="X10" s="610"/>
      <c r="Y10" s="261"/>
      <c r="Z10" s="436"/>
      <c r="AA10" s="261"/>
      <c r="AF10" s="261"/>
      <c r="AG10" s="261"/>
      <c r="AH10" s="261"/>
      <c r="AI10" s="261"/>
      <c r="AJ10" s="261"/>
      <c r="AK10" s="290"/>
      <c r="AL10" s="261"/>
      <c r="AM10" s="261"/>
      <c r="AN10" s="261"/>
      <c r="AO10" s="261"/>
      <c r="AP10" s="261"/>
      <c r="AQ10" s="261"/>
      <c r="AR10" s="261"/>
      <c r="AS10" s="610"/>
      <c r="AT10" s="261"/>
      <c r="AU10" s="261"/>
      <c r="AV10" s="261"/>
      <c r="AW10" s="261"/>
      <c r="AX10" s="261"/>
      <c r="AY10" s="261"/>
      <c r="AZ10" s="261"/>
      <c r="BA10" s="261"/>
      <c r="BB10" s="261"/>
      <c r="BC10" s="261"/>
      <c r="BD10" s="261"/>
      <c r="BE10" s="261"/>
      <c r="BF10" s="261"/>
      <c r="BJ10" s="261"/>
      <c r="BK10" s="261"/>
      <c r="BL10" s="261"/>
      <c r="BM10" s="261"/>
      <c r="BN10" s="261"/>
      <c r="BO10" s="261"/>
      <c r="BP10" s="261"/>
      <c r="BQ10" s="261"/>
      <c r="BR10" s="261"/>
      <c r="BS10" s="261"/>
      <c r="BT10" s="261"/>
      <c r="BU10" s="261"/>
      <c r="BY10" s="261"/>
    </row>
    <row r="11" spans="2:84" ht="13.5" thickBot="1">
      <c r="B11" s="59"/>
      <c r="C11" s="261"/>
      <c r="D11" s="261"/>
      <c r="E11" s="261"/>
      <c r="F11" s="261"/>
      <c r="G11" s="261"/>
      <c r="H11" s="261"/>
      <c r="I11" s="261"/>
      <c r="J11" s="352">
        <v>40</v>
      </c>
      <c r="K11" s="353" t="s">
        <v>400</v>
      </c>
      <c r="L11" s="354" t="s">
        <v>401</v>
      </c>
      <c r="M11" s="355"/>
      <c r="N11" s="355"/>
      <c r="O11" s="261"/>
      <c r="P11" s="261"/>
      <c r="Q11" s="261"/>
      <c r="R11" s="261"/>
      <c r="S11" s="261"/>
      <c r="T11" s="610"/>
      <c r="U11" s="307"/>
      <c r="V11" s="307"/>
      <c r="W11" s="307"/>
      <c r="X11" s="610"/>
      <c r="Y11" s="258"/>
      <c r="Z11" s="258"/>
      <c r="AA11" s="258"/>
      <c r="AQ11" s="275"/>
      <c r="AS11" s="610"/>
      <c r="AU11" s="265" t="s">
        <v>146</v>
      </c>
      <c r="AV11" s="265"/>
      <c r="AW11" s="266"/>
      <c r="AX11" s="266"/>
      <c r="AY11" s="478" t="s">
        <v>488</v>
      </c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6"/>
      <c r="BN11" s="266"/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E11" s="342"/>
    </row>
    <row r="12" spans="2:84">
      <c r="B12" s="59"/>
      <c r="C12" s="261"/>
      <c r="D12" s="261"/>
      <c r="E12" s="261"/>
      <c r="F12" s="261"/>
      <c r="G12" s="261"/>
      <c r="H12" s="261"/>
      <c r="I12" s="261"/>
      <c r="J12" s="261"/>
      <c r="K12" s="261"/>
      <c r="L12" s="261"/>
      <c r="M12" s="261"/>
      <c r="N12" s="261"/>
      <c r="O12" s="261"/>
      <c r="P12" s="261"/>
      <c r="Q12" s="261"/>
      <c r="R12" s="261"/>
      <c r="S12" s="261"/>
      <c r="T12" s="610"/>
      <c r="U12" s="307"/>
      <c r="V12" s="307"/>
      <c r="W12" s="307"/>
      <c r="X12" s="610"/>
      <c r="Y12" s="440"/>
      <c r="Z12" s="440"/>
      <c r="AA12" s="440"/>
      <c r="AG12" s="440"/>
      <c r="AH12" s="440"/>
      <c r="AI12" s="440"/>
      <c r="AJ12" s="440"/>
      <c r="AK12" s="440"/>
      <c r="AL12" s="440"/>
      <c r="AM12" s="440"/>
      <c r="AN12" s="440"/>
      <c r="AO12" s="440"/>
      <c r="AQ12" s="275"/>
      <c r="AR12" s="440"/>
      <c r="AS12" s="610"/>
      <c r="AT12" s="440"/>
      <c r="AU12" s="440">
        <v>1</v>
      </c>
      <c r="AV12" s="440"/>
      <c r="AW12" s="440">
        <v>2</v>
      </c>
      <c r="AX12" s="440">
        <v>2</v>
      </c>
      <c r="AY12" s="440"/>
      <c r="AZ12" s="440">
        <v>3</v>
      </c>
      <c r="BA12" s="440">
        <v>5</v>
      </c>
      <c r="BB12" s="440">
        <v>6</v>
      </c>
      <c r="BC12" s="440">
        <v>6</v>
      </c>
      <c r="BD12" s="440">
        <v>6</v>
      </c>
      <c r="BE12" s="440"/>
      <c r="BF12" s="440"/>
      <c r="BG12" s="440"/>
      <c r="BH12" s="440"/>
      <c r="BI12" s="440">
        <v>7</v>
      </c>
      <c r="BJ12" s="440">
        <v>7</v>
      </c>
      <c r="BK12" s="440">
        <v>8</v>
      </c>
      <c r="BL12" s="440"/>
      <c r="BM12" s="440">
        <v>9</v>
      </c>
      <c r="BN12" s="440">
        <v>9</v>
      </c>
      <c r="BO12" s="440">
        <v>10</v>
      </c>
      <c r="BP12" s="440">
        <v>12</v>
      </c>
      <c r="BQ12" s="440">
        <v>13</v>
      </c>
      <c r="BR12" s="440"/>
      <c r="BS12" s="440"/>
      <c r="BT12" s="440"/>
      <c r="BU12" s="440"/>
      <c r="BV12" s="440"/>
      <c r="BW12" s="440"/>
      <c r="BX12" s="440"/>
      <c r="BY12" s="440"/>
    </row>
    <row r="13" spans="2:84" s="274" customFormat="1" ht="47.25" customHeight="1">
      <c r="B13" s="303" t="s">
        <v>673</v>
      </c>
      <c r="C13" s="303" t="s">
        <v>129</v>
      </c>
      <c r="D13" s="309" t="s">
        <v>130</v>
      </c>
      <c r="E13" s="303" t="s">
        <v>140</v>
      </c>
      <c r="F13" s="303" t="s">
        <v>141</v>
      </c>
      <c r="G13" s="303" t="s">
        <v>142</v>
      </c>
      <c r="H13" s="303" t="s">
        <v>131</v>
      </c>
      <c r="I13" s="303" t="s">
        <v>378</v>
      </c>
      <c r="J13" s="303" t="s">
        <v>132</v>
      </c>
      <c r="K13" s="303" t="s">
        <v>133</v>
      </c>
      <c r="L13" s="303" t="s">
        <v>134</v>
      </c>
      <c r="M13" s="303" t="s">
        <v>135</v>
      </c>
      <c r="N13" s="303" t="s">
        <v>136</v>
      </c>
      <c r="O13" s="303" t="s">
        <v>137</v>
      </c>
      <c r="P13" s="303" t="s">
        <v>138</v>
      </c>
      <c r="Q13" s="303" t="s">
        <v>139</v>
      </c>
      <c r="R13" s="303" t="s">
        <v>392</v>
      </c>
      <c r="S13" s="303" t="s">
        <v>393</v>
      </c>
      <c r="T13" s="312" t="s">
        <v>382</v>
      </c>
      <c r="U13" s="278" t="s">
        <v>262</v>
      </c>
      <c r="V13" s="278" t="s">
        <v>70</v>
      </c>
      <c r="W13" s="278" t="s">
        <v>71</v>
      </c>
      <c r="X13" s="312" t="s">
        <v>259</v>
      </c>
      <c r="Y13" s="296" t="s">
        <v>66</v>
      </c>
      <c r="Z13" s="296" t="s">
        <v>102</v>
      </c>
      <c r="AA13" s="298" t="s">
        <v>68</v>
      </c>
      <c r="AB13" s="298" t="s">
        <v>77</v>
      </c>
      <c r="AC13" s="299" t="s">
        <v>84</v>
      </c>
      <c r="AD13" s="299" t="s">
        <v>85</v>
      </c>
      <c r="AE13" s="270" t="s">
        <v>383</v>
      </c>
      <c r="AF13" s="270" t="s">
        <v>384</v>
      </c>
      <c r="AG13" s="300" t="s">
        <v>75</v>
      </c>
      <c r="AH13" s="301" t="s">
        <v>230</v>
      </c>
      <c r="AI13" s="301" t="s">
        <v>413</v>
      </c>
      <c r="AJ13" s="301" t="s">
        <v>420</v>
      </c>
      <c r="AK13" s="300" t="s">
        <v>76</v>
      </c>
      <c r="AL13" s="298" t="s">
        <v>90</v>
      </c>
      <c r="AM13" s="296" t="s">
        <v>398</v>
      </c>
      <c r="AN13" s="298" t="s">
        <v>86</v>
      </c>
      <c r="AO13" s="299" t="s">
        <v>117</v>
      </c>
      <c r="AP13" s="298" t="s">
        <v>72</v>
      </c>
      <c r="AQ13" s="298" t="s">
        <v>78</v>
      </c>
      <c r="AR13" s="296" t="s">
        <v>31</v>
      </c>
      <c r="AS13" s="315" t="s">
        <v>260</v>
      </c>
      <c r="AT13" s="296" t="s">
        <v>107</v>
      </c>
      <c r="AU13" s="296" t="s">
        <v>74</v>
      </c>
      <c r="AV13" s="296" t="s">
        <v>412</v>
      </c>
      <c r="AW13" s="296" t="s">
        <v>108</v>
      </c>
      <c r="AX13" s="466" t="s">
        <v>643</v>
      </c>
      <c r="AY13" s="466" t="s">
        <v>641</v>
      </c>
      <c r="AZ13" s="296" t="s">
        <v>109</v>
      </c>
      <c r="BA13" s="296" t="s">
        <v>487</v>
      </c>
      <c r="BB13" s="297" t="s">
        <v>110</v>
      </c>
      <c r="BC13" s="296" t="s">
        <v>93</v>
      </c>
      <c r="BD13" s="296" t="s">
        <v>94</v>
      </c>
      <c r="BE13" s="296" t="s">
        <v>82</v>
      </c>
      <c r="BF13" s="466" t="s">
        <v>456</v>
      </c>
      <c r="BG13" s="466" t="s">
        <v>457</v>
      </c>
      <c r="BH13" s="466" t="s">
        <v>458</v>
      </c>
      <c r="BI13" s="466" t="s">
        <v>454</v>
      </c>
      <c r="BJ13" s="296" t="s">
        <v>83</v>
      </c>
      <c r="BK13" s="296" t="s">
        <v>98</v>
      </c>
      <c r="BL13" s="296" t="s">
        <v>96</v>
      </c>
      <c r="BM13" s="296" t="s">
        <v>414</v>
      </c>
      <c r="BN13" s="296" t="s">
        <v>99</v>
      </c>
      <c r="BO13" s="466" t="s">
        <v>646</v>
      </c>
      <c r="BP13" s="466" t="s">
        <v>647</v>
      </c>
      <c r="BQ13" s="296" t="s">
        <v>97</v>
      </c>
      <c r="BR13" s="297" t="s">
        <v>122</v>
      </c>
      <c r="BS13" s="297" t="s">
        <v>100</v>
      </c>
      <c r="BT13" s="466" t="s">
        <v>479</v>
      </c>
      <c r="BU13" s="466" t="s">
        <v>480</v>
      </c>
      <c r="BV13" s="466" t="s">
        <v>481</v>
      </c>
      <c r="BW13" s="466" t="s">
        <v>482</v>
      </c>
      <c r="BX13" s="466" t="s">
        <v>483</v>
      </c>
      <c r="BY13" s="302" t="s">
        <v>101</v>
      </c>
      <c r="BZ13" s="302" t="s">
        <v>415</v>
      </c>
      <c r="CA13" s="586" t="s">
        <v>677</v>
      </c>
      <c r="CB13" s="586" t="s">
        <v>696</v>
      </c>
      <c r="CC13" s="586" t="s">
        <v>697</v>
      </c>
      <c r="CD13" s="58"/>
    </row>
    <row r="14" spans="2:84">
      <c r="B14" s="577">
        <v>-1</v>
      </c>
      <c r="C14" s="383" t="str">
        <f t="shared" ref="C14" si="0">"-"</f>
        <v>-</v>
      </c>
      <c r="D14" s="383" t="str">
        <f t="shared" ref="D14:F14" si="1">"-"</f>
        <v>-</v>
      </c>
      <c r="E14" s="383" t="str">
        <f t="shared" si="1"/>
        <v>-</v>
      </c>
      <c r="F14" s="383" t="str">
        <f t="shared" si="1"/>
        <v>-</v>
      </c>
      <c r="G14" s="578">
        <v>2100</v>
      </c>
      <c r="H14" s="383" t="str">
        <f t="shared" ref="H14" si="2">"Pista Simples"</f>
        <v>Pista Simples</v>
      </c>
      <c r="I14" s="383" t="str">
        <f t="shared" ref="I14" si="3">"-"</f>
        <v>-</v>
      </c>
      <c r="J14" s="383">
        <v>1</v>
      </c>
      <c r="K14" s="386">
        <v>3.6</v>
      </c>
      <c r="L14" s="383" t="str">
        <f t="shared" ref="L14" si="4">"-"</f>
        <v>-</v>
      </c>
      <c r="M14" s="582">
        <v>2</v>
      </c>
      <c r="N14" s="383" t="str">
        <f t="shared" ref="N14:Q14" si="5">"-"</f>
        <v>-</v>
      </c>
      <c r="O14" s="383" t="str">
        <f t="shared" si="5"/>
        <v>-</v>
      </c>
      <c r="P14" s="383" t="str">
        <f t="shared" si="5"/>
        <v>-</v>
      </c>
      <c r="Q14" s="383" t="str">
        <f t="shared" si="5"/>
        <v>-</v>
      </c>
      <c r="R14" s="392" t="s">
        <v>73</v>
      </c>
      <c r="S14" s="383" t="str">
        <f t="shared" ref="S14" si="6">"-"</f>
        <v>-</v>
      </c>
      <c r="T14" s="313"/>
      <c r="U14" s="279">
        <v>22</v>
      </c>
      <c r="V14" s="323">
        <v>10013.241193618138</v>
      </c>
      <c r="W14" s="323">
        <v>3155.5016611464598</v>
      </c>
      <c r="X14" s="313"/>
      <c r="Y14" s="440">
        <f t="shared" ref="Y14" si="7">IF(OR(H14="Dupla",H14="Pista Dupla"),4,1)</f>
        <v>1</v>
      </c>
      <c r="Z14" s="292">
        <f ca="1">INDIRECT(CONCATENATE(IF(TWO_LANE_HIGHWAY_G[[#This Row],[tipo]]=1,$AH$4,IF(TWO_LANE_HIGHWAY_G[[#This Row],[tipo]]=2,$AH$5,IF(TWO_LANE_HIGHWAY_G[[#This Row],[tipo]]=3,$AH$6,IF(TWO_LANE_HIGHWAY_G[[#This Row],[tipo]]=4,$AH$7))))&amp;ROW()))</f>
        <v>74.638939303982255</v>
      </c>
      <c r="AA14" s="579" t="s">
        <v>411</v>
      </c>
      <c r="AB14" s="579" t="s">
        <v>381</v>
      </c>
      <c r="AC14" s="22">
        <f>TWO_LANE_HIGHWAY_G[Largura das Faixas]</f>
        <v>3.6</v>
      </c>
      <c r="AD14" s="22">
        <f>TWO_LANE_HIGHWAY_G[Largura Acost.]</f>
        <v>2</v>
      </c>
      <c r="AE14" s="323">
        <f>TWO_LANE_HIGHWAY_G[passeio]</f>
        <v>10013.241193618138</v>
      </c>
      <c r="AF14" s="323">
        <f>TWO_LANE_HIGHWAY_G[pesado]</f>
        <v>3155.5016611464598</v>
      </c>
      <c r="AG14" s="323">
        <f>TWO_LANE_HIGHWAY_G[passeio'']+TWO_LANE_HIGHWAY_G[pesado'']</f>
        <v>13168.742854764598</v>
      </c>
      <c r="AH14" s="435">
        <f>TWO_LANE_HIGHWAY_G[pesado'']/TWO_LANE_HIGHWAY_G[vdma]</f>
        <v>0.23962056940042414</v>
      </c>
      <c r="AI14" s="580">
        <f>3%</f>
        <v>0.03</v>
      </c>
      <c r="AJ14" s="435">
        <f>0.12</f>
        <v>0.12</v>
      </c>
      <c r="AK14" s="330">
        <f>IF(TWO_LANE_HIGHWAY_G[[#This Row],[Pista]]="Pista Simples",TWO_LANE_HIGHWAY_G[[#This Row],[vdma]]*TWO_LANE_HIGHWAY_G[[#This Row],[fatK]],TWO_LANE_HIGHWAY_G[[#This Row],[vdma]]*TWO_LANE_HIGHWAY_G[[#This Row],[fatK]])</f>
        <v>1580.2491425717517</v>
      </c>
      <c r="AL14" s="580">
        <f t="shared" ref="AL14" si="8">$J$9/100</f>
        <v>0.55000000000000004</v>
      </c>
      <c r="AM14" s="264">
        <f>TWO_LANE_HIGHWAY_G[veic/h]*TWO_LANE_HIGHWAY_G[distrib. direc.]</f>
        <v>869.13702841446354</v>
      </c>
      <c r="AN14" s="579">
        <v>2</v>
      </c>
      <c r="AO14" s="525">
        <f>0</f>
        <v>0</v>
      </c>
      <c r="AP14" s="579">
        <v>75</v>
      </c>
      <c r="AQ14" s="580">
        <v>0.4</v>
      </c>
      <c r="AR14" s="579">
        <v>0.88</v>
      </c>
      <c r="AS14" s="316"/>
      <c r="AT14" s="412">
        <f>IF(AND(TWO_LANE_HIGHWAY_G[vp1'']&lt;600,TWO_LANE_HIGHWAY_G[[#This Row],[plano/ondulado]]="Plano"),'HCM2000'!$F$34,IF(AND(TWO_LANE_HIGHWAY_G[vp1'']&lt;600,TWO_LANE_HIGHWAY_G[[#This Row],[plano/ondulado]]="Ondulado"),'HCM2000'!$G$34,
IF(AND(TWO_LANE_HIGHWAY_G[vp1'']&lt;1200,TWO_LANE_HIGHWAY_G[[#This Row],[plano/ondulado]]="Plano"),'HCM2000'!F$35,IF(AND(TWO_LANE_HIGHWAY_G[vp1'']&lt;1200,TWO_LANE_HIGHWAY_G[[#This Row],[plano/ondulado]]="Ondulado"),'HCM2000'!$G$35,
IF(AND(TWO_LANE_HIGHWAY_G[vp1'']&gt;1200,TWO_LANE_HIGHWAY_G[[#This Row],[plano/ondulado]]="Plano"),'HCM2000'!F$36,IF(AND(TWO_LANE_HIGHWAY_G[vp1'']&gt;1200,TWO_LANE_HIGHWAY_G[[#This Row],[plano/ondulado]]="Ondulado"),'HCM2000'!$G$36))))))</f>
        <v>0.99</v>
      </c>
      <c r="AU14" s="23">
        <f>IF(AND(TWO_LANE_HIGHWAY_G[vp1'']&lt;600,TWO_LANE_HIGHWAY_G[[#This Row],[plano/ondulado]]="Plano"),'HCM2000'!$F$15,IF(AND(TWO_LANE_HIGHWAY_G[vp1'']&lt;600,TWO_LANE_HIGHWAY_G[[#This Row],[plano/ondulado]]="Ondulado"),'HCM2000'!$G$15,
IF(AND(TWO_LANE_HIGHWAY_G[vp1'']&lt;1200,TWO_LANE_HIGHWAY_G[[#This Row],[plano/ondulado]]="Plano"),'HCM2000'!F$16,IF(AND(TWO_LANE_HIGHWAY_G[vp1'']&lt;1200,TWO_LANE_HIGHWAY_G[[#This Row],[plano/ondulado]]="Ondulado"),'HCM2000'!$G$16,
IF(AND(TWO_LANE_HIGHWAY_G[vp1'']&gt;1200,TWO_LANE_HIGHWAY_G[[#This Row],[plano/ondulado]]="Plano"),'HCM2000'!F$17,IF(AND(TWO_LANE_HIGHWAY_G[vp1'']&gt;1200,TWO_LANE_HIGHWAY_G[[#This Row],[plano/ondulado]]="Ondulado"),'HCM2000'!$G$17))))))</f>
        <v>1.5</v>
      </c>
      <c r="AV14" s="23">
        <f>IF(AND(TWO_LANE_HIGHWAY_G[vp1'']&lt;600,TWO_LANE_HIGHWAY_G[[#This Row],[plano/ondulado]]="Plano"),'HCM2000'!$F$18,IF(AND(TWO_LANE_HIGHWAY_G[vp1'']&lt;600,TWO_LANE_HIGHWAY_G[[#This Row],[plano/ondulado]]="Ondulado"),'HCM2000'!$G$18,
IF(AND(TWO_LANE_HIGHWAY_G[vp1'']&lt;1200,TWO_LANE_HIGHWAY_G[[#This Row],[plano/ondulado]]="Plano"),'HCM2000'!F$19,IF(AND(TWO_LANE_HIGHWAY_G[vp1'']&lt;1200,TWO_LANE_HIGHWAY_G[[#This Row],[plano/ondulado]]="Ondulado"),'HCM2000'!$G$19,
IF(AND(TWO_LANE_HIGHWAY_G[vp1'']&gt;1200,TWO_LANE_HIGHWAY_G[[#This Row],[plano/ondulado]]="Plano"),'HCM2000'!F$20,IF(AND(TWO_LANE_HIGHWAY_G[vp1'']&gt;1200,TWO_LANE_HIGHWAY_G[[#This Row],[plano/ondulado]]="Ondulado"),'HCM2000'!$G$20))))))</f>
        <v>1.1000000000000001</v>
      </c>
      <c r="AW14" s="23">
        <f>1/(1+(TWO_LANE_HIGHWAY_G[[#This Row],[Pt]])*(TWO_LANE_HIGHWAY_G[[#This Row],[Et]]-1)+(TWO_LANE_HIGHWAY_G[[#This Row],[PRv]])*(TWO_LANE_HIGHWAY_G[[#This Row],[Er]]-1))</f>
        <v>0.89062240845700635</v>
      </c>
      <c r="AX14" s="23">
        <f>TWO_LANE_HIGHWAY_G[veic/h]/TWO_LANE_HIGHWAY_G[PHF]</f>
        <v>1795.7376620133541</v>
      </c>
      <c r="AY14" s="23">
        <v>1493.5353448385981</v>
      </c>
      <c r="AZ14" s="438">
        <f>TWO_LANE_HIGHWAY_G[veic/h]/(TWO_LANE_HIGHWAY_G[PHF]*TWO_LANE_HIGHWAY_G[fg ats]*TWO_LANE_HIGHWAY_G[fhv ats])</f>
        <v>2036.6391065980886</v>
      </c>
      <c r="BA14" s="322">
        <f>IF(TWO_LANE_HIGHWAY_G[[#This Row],[fg ats]]=IF(AND(TWO_LANE_HIGHWAY_G[[#This Row],[vp1]]&lt;600,TWO_LANE_HIGHWAY_G[[#This Row],[plano/ondulado]]="Plano"),'HCM2000'!$F$34,IF(AND(TWO_LANE_HIGHWAY_G[[#This Row],[vp1]]&lt;600,TWO_LANE_HIGHWAY_G[[#This Row],[plano/ondulado]]="Ondulado"),'HCM2000'!$G$34,
IF(AND(TWO_LANE_HIGHWAY_G[[#This Row],[vp1]]&lt;1200,TWO_LANE_HIGHWAY_G[[#This Row],[plano/ondulado]]="Plano"),'HCM2000'!F$35,IF(AND(TWO_LANE_HIGHWAY_G[[#This Row],[vp1]]&lt;1200,TWO_LANE_HIGHWAY_G[[#This Row],[plano/ondulado]]="Ondulado"),'HCM2000'!$G$35,
IF(AND(TWO_LANE_HIGHWAY_G[[#This Row],[vp1]]&gt;1200,TWO_LANE_HIGHWAY_G[[#This Row],[plano/ondulado]]="Plano"),'HCM2000'!F$36,IF(AND(TWO_LANE_HIGHWAY_G[[#This Row],[vp1]]&gt;1200,TWO_LANE_HIGHWAY_G[[#This Row],[plano/ondulado]]="Ondulado"),'HCM2000'!$G$36)))))),1,"X")</f>
        <v>1</v>
      </c>
      <c r="BB14" s="322" t="str">
        <f>IF(AND(TWO_LANE_HIGHWAY_G[[#This Row],[vp1]]*TWO_LANE_HIGHWAY_G[[#This Row],[distrib. direc.]]&lt;1700,TWO_LANE_HIGHWAY_G[[#This Row],[vp1]]&lt;3200),"OK!","FAIL")</f>
        <v>OK!</v>
      </c>
      <c r="BC14" s="23">
        <f>INDEX('HCM2000'!$L$68:$AF$83,MATCH(TWO_LANE_HIGHWAY_G[[#This Row],[faixa (m)]],'HCM2000'!$K$68:$K$83),MATCH(TWO_LANE_HIGHWAY_G[[#This Row],[acost (m)]],'HCM2000'!$L$67:$AF$67))</f>
        <v>0</v>
      </c>
      <c r="BD14" s="23">
        <f>MIN(16,(2/3)*TWO_LANE_HIGHWAY_G[[#This Row],[acessos/km]])</f>
        <v>1.3333333333333333</v>
      </c>
      <c r="BE14" s="22">
        <f>TWO_LANE_HIGHWAY_G[BFFS]-TWO_LANE_HIGHWAY_G[fLS]-TWO_LANE_HIGHWAY_G[fA]</f>
        <v>73.666666666666671</v>
      </c>
      <c r="BF14" s="463">
        <f>IFERROR(TWO_LANE_HIGHWAY_G[[#This Row],[vp1]],0)</f>
        <v>2036.6391065980886</v>
      </c>
      <c r="BG14" s="463">
        <f>IFERROR(TWO_LANE_HIGHWAY_G[[#This Row],[% zonas s/ultra]],0)</f>
        <v>0.4</v>
      </c>
      <c r="BH14" s="23" t="str">
        <f t="shared" ref="BH14" si="9">"FNP"</f>
        <v>FNP</v>
      </c>
      <c r="BI14" s="23">
        <v>1.353232327580701</v>
      </c>
      <c r="BJ14" s="43">
        <f>TWO_LANE_HIGHWAY_G[FFS]-0.0125*MIN(TWO_LANE_HIGHWAY_G[[#This Row],[vp1]],TWO_LANE_HIGHWAY_G[[#This Row],[vp1'']])-TWO_LANE_HIGHWAY_G[fnp'']</f>
        <v>53.644242528603499</v>
      </c>
      <c r="BK14" s="412">
        <f>IF(AND(TWO_LANE_HIGHWAY_G[vp2'']/TWO_LANE_HIGHWAY_G[[#This Row],[PHF]]&lt;600,TWO_LANE_HIGHWAY_G[[#This Row],[plano/ondulado]]="Plano"),'HCM2000'!$F$40,IF(AND(TWO_LANE_HIGHWAY_G[vp2'']/TWO_LANE_HIGHWAY_G[[#This Row],[PHF]]&lt;600,TWO_LANE_HIGHWAY_G[[#This Row],[plano/ondulado]]="Ondulado"),'HCM2000'!$G$40,
IF(AND(TWO_LANE_HIGHWAY_G[vp2'']/TWO_LANE_HIGHWAY_G[[#This Row],[PHF]]&lt;1200,TWO_LANE_HIGHWAY_G[[#This Row],[plano/ondulado]]="Plano"),'HCM2000'!F$41,IF(AND(TWO_LANE_HIGHWAY_G[vp2'']/TWO_LANE_HIGHWAY_G[[#This Row],[PHF]]&lt;1200,TWO_LANE_HIGHWAY_G[[#This Row],[plano/ondulado]]="Ondulado"),'HCM2000'!$G$41,
IF(AND(TWO_LANE_HIGHWAY_G[vp2'']/TWO_LANE_HIGHWAY_G[[#This Row],[PHF]]&gt;1200,TWO_LANE_HIGHWAY_G[[#This Row],[plano/ondulado]]="Plano"),'HCM2000'!F$42,IF(AND(TWO_LANE_HIGHWAY_G[vp2'']/TWO_LANE_HIGHWAY_G[[#This Row],[PHF]]&gt;1200,TWO_LANE_HIGHWAY_G[[#This Row],[plano/ondulado]]="Ondulado"),'HCM2000'!$G$42))))))</f>
        <v>1</v>
      </c>
      <c r="BL14" s="23">
        <f>IF(AND(TWO_LANE_HIGHWAY_G[vp2'']&lt;600,TWO_LANE_HIGHWAY_G[[#This Row],[plano/ondulado]]="Plano"),'HCM2000'!$F$24,IF(AND(TWO_LANE_HIGHWAY_G[vp2'']&lt;600,TWO_LANE_HIGHWAY_G[[#This Row],[plano/ondulado]]="Ondulado"),'HCM2000'!$G$24,
IF(AND(TWO_LANE_HIGHWAY_G[vp2'']&lt;1200,TWO_LANE_HIGHWAY_G[[#This Row],[plano/ondulado]]="Plano"),'HCM2000'!F$25,IF(AND(TWO_LANE_HIGHWAY_G[vp2'']&lt;1200,TWO_LANE_HIGHWAY_G[[#This Row],[plano/ondulado]]="Ondulado"),'HCM2000'!$G$25,
IF(AND(TWO_LANE_HIGHWAY_G[vp2'']&gt;1200,TWO_LANE_HIGHWAY_G[[#This Row],[plano/ondulado]]="Plano"),'HCM2000'!F$26,IF(AND(TWO_LANE_HIGHWAY_G[vp2'']&gt;1200,TWO_LANE_HIGHWAY_G[[#This Row],[plano/ondulado]]="Ondulado"),'HCM2000'!$G$26))))))</f>
        <v>1</v>
      </c>
      <c r="BM14" s="23">
        <f>1</f>
        <v>1</v>
      </c>
      <c r="BN14" s="23">
        <f>1/(1+TWO_LANE_HIGHWAY_G[[#This Row],[Pt]]*(TWO_LANE_HIGHWAY_G[[#This Row],[Et time]]-1)+TWO_LANE_HIGHWAY_G[[#This Row],[PRv]]*(TWO_LANE_HIGHWAY_G[[#This Row],[Er time]]-1))</f>
        <v>1</v>
      </c>
      <c r="BO14" s="23">
        <f>TWO_LANE_HIGHWAY_G[veic/h]/TWO_LANE_HIGHWAY_G[PHF]</f>
        <v>1795.7376620133541</v>
      </c>
      <c r="BP14" s="23">
        <v>1316.8742854764596</v>
      </c>
      <c r="BQ14" s="438">
        <f>TWO_LANE_HIGHWAY_G[veic/h]/(TWO_LANE_HIGHWAY_G[PHF]*TWO_LANE_HIGHWAY_G[fg time]*TWO_LANE_HIGHWAY_G[fhv follow])</f>
        <v>1795.7376620133541</v>
      </c>
      <c r="BR14" s="438" t="str">
        <f>IF(AND(TWO_LANE_HIGHWAY_G[[#This Row],[vp2]]*TWO_LANE_HIGHWAY_G[[#This Row],[distrib. direc.]]&lt;1700,TWO_LANE_HIGHWAY_G[[#This Row],[vp2]]&lt;3200),"OK!","FAIL")</f>
        <v>OK!</v>
      </c>
      <c r="BS14" s="438">
        <f>100*(1-EXP(-0.000879*MIN(TWO_LANE_HIGHWAY_G[[#This Row],[vp2'']],TWO_LANE_HIGHWAY_G[[#This Row],[vp2]])))</f>
        <v>68.573933587793206</v>
      </c>
      <c r="BT14" s="304">
        <f>IF(TYPE(TWO_LANE_HIGHWAY_G[distrib. direc.])&lt;&gt;1,0,TWO_LANE_HIGHWAY_G[distrib. direc.])</f>
        <v>0.55000000000000004</v>
      </c>
      <c r="BU14" s="304">
        <f>IF(TYPE(TWO_LANE_HIGHWAY_G[vp2])&lt;&gt;1,0,TWO_LANE_HIGHWAY_G[vp2])</f>
        <v>1795.7376620133541</v>
      </c>
      <c r="BV14" s="304">
        <f>IF(TYPE(TWO_LANE_HIGHWAY_G[% zonas s/ultra])&lt;&gt;1,0,TWO_LANE_HIGHWAY_G[% zonas s/ultra])</f>
        <v>0.4</v>
      </c>
      <c r="BW14" s="304" t="str">
        <f t="shared" ref="BW14" si="10">"FDNP"</f>
        <v>FDNP</v>
      </c>
      <c r="BX14" s="304">
        <v>6.0650057161890478</v>
      </c>
      <c r="BY14" s="305">
        <f>TWO_LANE_HIGHWAY_G[BPTSF]+TWO_LANE_HIGHWAY_G[fd/np'']</f>
        <v>74.638939303982255</v>
      </c>
      <c r="BZ14" s="305">
        <f>TWO_LANE_HIGHWAY_G[vp1]/3200</f>
        <v>0.63644972081190265</v>
      </c>
      <c r="CA14" s="280" t="str">
        <f>IF(AND(TWO_LANE_HIGHWAY_G[[#This Row],[teste1]]="OK!",TWO_LANE_HIGHWAY_G[[#This Row],[teste2]]="OK!"),IF(TWO_LANE_HIGHWAY_G[[#This Row],[Pista]]="Pista Simples",INDEX('HCM2000'!$C$134:$N$154,MATCH(ROUNDUP(TWO_LANE_HIGHWAY_G[[#This Row],[PTSF]]/5,0)*5,'HCM2000'!$B$134:$B$154),MATCH(ROUNDUP(TWO_LANE_HIGHWAY_G[[#This Row],[ATS]]/10,0)*10,'HCM2000'!$C$133:$N$133)),"-"),"F")</f>
        <v>E</v>
      </c>
      <c r="CB14" s="280">
        <f>TWO_LANE_HIGHWAY_G[ATS]</f>
        <v>53.644242528603499</v>
      </c>
      <c r="CC14" s="280">
        <f>TWO_LANE_HIGHWAY_G[PTSF]</f>
        <v>74.638939303982255</v>
      </c>
    </row>
    <row r="15" spans="2:84" s="294" customFormat="1">
      <c r="B15" s="60"/>
      <c r="C15" s="60"/>
      <c r="D15" s="60"/>
      <c r="E15" s="60"/>
      <c r="F15" s="60"/>
      <c r="G15" s="60"/>
      <c r="H15" s="60"/>
      <c r="I15" s="60"/>
      <c r="J15" s="60"/>
      <c r="K15" s="61"/>
      <c r="L15" s="60"/>
      <c r="M15" s="60"/>
      <c r="N15" s="60"/>
      <c r="O15" s="60"/>
      <c r="P15" s="60"/>
      <c r="Q15" s="60"/>
      <c r="R15" s="60"/>
      <c r="S15" s="60"/>
      <c r="T15" s="314"/>
      <c r="U15" s="273"/>
      <c r="V15" s="273"/>
      <c r="W15" s="273"/>
      <c r="X15" s="314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314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416"/>
      <c r="CE15" s="416"/>
      <c r="CF15" s="58"/>
    </row>
    <row r="16" spans="2:84" s="294" customFormat="1">
      <c r="B16" s="60"/>
      <c r="C16" s="60"/>
      <c r="D16" s="60"/>
      <c r="E16" s="60"/>
      <c r="F16" s="60"/>
      <c r="G16" s="60"/>
      <c r="H16" s="60"/>
      <c r="I16" s="60"/>
      <c r="J16" s="60"/>
      <c r="K16" s="61"/>
      <c r="L16" s="60"/>
      <c r="M16" s="60"/>
      <c r="N16" s="60"/>
      <c r="O16" s="60"/>
      <c r="P16" s="60"/>
      <c r="Q16" s="60"/>
      <c r="R16" s="60"/>
      <c r="S16" s="60"/>
      <c r="T16" s="314"/>
      <c r="U16" s="273"/>
      <c r="V16" s="273"/>
      <c r="W16" s="273"/>
      <c r="X16" s="314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314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416"/>
      <c r="CE16" s="416"/>
      <c r="CF16" s="416"/>
    </row>
    <row r="17" spans="2:85" s="294" customFormat="1">
      <c r="B17" s="60"/>
      <c r="C17" s="60"/>
      <c r="D17" s="60"/>
      <c r="E17" s="60"/>
      <c r="F17" s="60"/>
      <c r="G17" s="60"/>
      <c r="H17" s="60"/>
      <c r="I17" s="60"/>
      <c r="J17" s="60"/>
      <c r="K17" s="61"/>
      <c r="L17" s="60"/>
      <c r="M17" s="60"/>
      <c r="N17" s="60"/>
      <c r="O17" s="60"/>
      <c r="P17" s="60"/>
      <c r="Q17" s="60"/>
      <c r="R17" s="60"/>
      <c r="S17" s="60"/>
      <c r="T17" s="314"/>
      <c r="U17" s="273"/>
      <c r="V17" s="273"/>
      <c r="W17" s="273"/>
      <c r="X17" s="314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314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416"/>
      <c r="CE17" s="416"/>
      <c r="CF17" s="416"/>
    </row>
    <row r="18" spans="2:85" s="294" customFormat="1">
      <c r="B18" s="60"/>
      <c r="C18" s="60"/>
      <c r="D18" s="60"/>
      <c r="E18" s="60"/>
      <c r="F18" s="60"/>
      <c r="G18" s="60"/>
      <c r="H18" s="60"/>
      <c r="I18" s="60"/>
      <c r="J18" s="60"/>
      <c r="K18" s="61"/>
      <c r="L18" s="60"/>
      <c r="M18" s="60"/>
      <c r="N18" s="60"/>
      <c r="O18" s="60"/>
      <c r="P18" s="60"/>
      <c r="Q18" s="60"/>
      <c r="R18" s="60"/>
      <c r="S18" s="60"/>
      <c r="T18" s="314"/>
      <c r="U18" s="273"/>
      <c r="V18" s="273"/>
      <c r="W18" s="273"/>
      <c r="X18" s="314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314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416"/>
      <c r="CE18" s="416"/>
      <c r="CF18" s="416"/>
    </row>
    <row r="19" spans="2:85" s="294" customFormat="1">
      <c r="B19" s="60"/>
      <c r="C19" s="60"/>
      <c r="D19" s="60"/>
      <c r="E19" s="60"/>
      <c r="F19" s="60"/>
      <c r="G19" s="60"/>
      <c r="H19" s="60"/>
      <c r="I19" s="60"/>
      <c r="J19" s="60"/>
      <c r="K19" s="61"/>
      <c r="L19" s="60"/>
      <c r="M19" s="60"/>
      <c r="N19" s="60"/>
      <c r="O19" s="60"/>
      <c r="P19" s="60"/>
      <c r="Q19" s="60"/>
      <c r="R19" s="60"/>
      <c r="S19" s="60"/>
      <c r="T19" s="314"/>
      <c r="U19" s="273"/>
      <c r="V19" s="273"/>
      <c r="W19" s="273"/>
      <c r="X19" s="314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314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416"/>
      <c r="CE19" s="416"/>
      <c r="CF19" s="416"/>
    </row>
    <row r="20" spans="2:85" s="294" customFormat="1">
      <c r="B20" s="60"/>
      <c r="C20" s="60"/>
      <c r="D20" s="60"/>
      <c r="E20" s="60"/>
      <c r="F20" s="60"/>
      <c r="G20" s="60"/>
      <c r="H20" s="60"/>
      <c r="I20" s="60"/>
      <c r="J20" s="60"/>
      <c r="K20" s="61"/>
      <c r="L20" s="60"/>
      <c r="M20" s="60"/>
      <c r="N20" s="60"/>
      <c r="O20" s="60"/>
      <c r="P20" s="60"/>
      <c r="Q20" s="60"/>
      <c r="R20" s="60"/>
      <c r="S20" s="60"/>
      <c r="T20" s="314"/>
      <c r="U20" s="273"/>
      <c r="V20" s="273"/>
      <c r="W20" s="273"/>
      <c r="X20" s="314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314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8"/>
      <c r="BL20" s="58"/>
      <c r="BM20" s="58"/>
      <c r="BN20" s="58"/>
      <c r="BO20" s="58"/>
      <c r="BP20" s="58"/>
      <c r="BQ20" s="58"/>
      <c r="BR20" s="58"/>
      <c r="BS20" s="58"/>
      <c r="BT20" s="58"/>
      <c r="BU20" s="58"/>
      <c r="BV20" s="58"/>
      <c r="BW20" s="58"/>
      <c r="BX20" s="58"/>
      <c r="BY20" s="58"/>
      <c r="BZ20" s="58"/>
      <c r="CA20" s="58"/>
      <c r="CB20" s="58"/>
      <c r="CC20" s="58"/>
      <c r="CD20" s="416"/>
      <c r="CE20" s="416"/>
      <c r="CF20" s="416"/>
    </row>
    <row r="21" spans="2:85">
      <c r="CD21" s="416"/>
      <c r="CE21" s="416"/>
      <c r="CF21" s="416"/>
    </row>
    <row r="22" spans="2:85">
      <c r="CD22" s="416"/>
      <c r="CE22" s="416"/>
      <c r="CF22" s="416"/>
      <c r="CG22" s="416"/>
    </row>
    <row r="23" spans="2:85">
      <c r="CD23" s="416"/>
      <c r="CE23" s="416"/>
      <c r="CF23" s="416"/>
      <c r="CG23" s="416"/>
    </row>
    <row r="24" spans="2:85">
      <c r="CD24" s="416"/>
      <c r="CE24" s="416"/>
      <c r="CF24" s="416"/>
      <c r="CG24" s="416"/>
    </row>
    <row r="25" spans="2:85">
      <c r="CD25" s="416"/>
      <c r="CE25" s="416"/>
      <c r="CF25" s="416"/>
      <c r="CG25" s="416"/>
    </row>
    <row r="26" spans="2:85">
      <c r="CD26" s="416"/>
      <c r="CE26" s="416"/>
      <c r="CF26" s="416"/>
      <c r="CG26" s="416"/>
    </row>
    <row r="27" spans="2:85">
      <c r="CD27" s="416"/>
      <c r="CE27" s="416"/>
      <c r="CF27" s="416"/>
      <c r="CG27" s="416"/>
    </row>
    <row r="28" spans="2:85">
      <c r="CD28" s="416"/>
      <c r="CE28" s="416"/>
      <c r="CF28" s="416"/>
      <c r="CG28" s="416"/>
    </row>
    <row r="29" spans="2:85">
      <c r="CD29" s="416"/>
      <c r="CE29" s="416"/>
      <c r="CF29" s="416"/>
      <c r="CG29" s="416"/>
    </row>
    <row r="30" spans="2:85">
      <c r="CD30" s="416"/>
      <c r="CE30" s="416"/>
      <c r="CF30" s="416"/>
      <c r="CG30" s="416"/>
    </row>
    <row r="31" spans="2:85">
      <c r="CD31" s="416"/>
      <c r="CE31" s="416"/>
      <c r="CF31" s="416"/>
      <c r="CG31" s="416"/>
    </row>
    <row r="32" spans="2:85">
      <c r="CD32" s="416"/>
      <c r="CE32" s="416"/>
      <c r="CF32" s="416"/>
      <c r="CG32" s="416"/>
    </row>
    <row r="33" spans="82:85">
      <c r="CD33" s="416"/>
      <c r="CE33" s="416"/>
      <c r="CF33" s="416"/>
      <c r="CG33" s="416"/>
    </row>
    <row r="34" spans="82:85">
      <c r="CD34" s="416"/>
      <c r="CE34" s="416"/>
      <c r="CF34" s="416"/>
      <c r="CG34" s="416"/>
    </row>
    <row r="35" spans="82:85">
      <c r="CD35" s="416"/>
      <c r="CE35" s="416"/>
      <c r="CF35" s="416"/>
      <c r="CG35" s="416"/>
    </row>
    <row r="36" spans="82:85">
      <c r="CD36" s="416"/>
      <c r="CE36" s="416"/>
      <c r="CF36" s="416"/>
      <c r="CG36" s="416"/>
    </row>
    <row r="37" spans="82:85">
      <c r="CD37" s="416"/>
      <c r="CE37" s="416"/>
      <c r="CF37" s="416"/>
      <c r="CG37" s="416"/>
    </row>
    <row r="38" spans="82:85">
      <c r="CD38" s="416"/>
      <c r="CE38" s="416"/>
      <c r="CF38" s="416"/>
      <c r="CG38" s="416"/>
    </row>
    <row r="39" spans="82:85">
      <c r="CD39" s="526"/>
      <c r="CE39" s="526"/>
      <c r="CF39" s="416"/>
      <c r="CG39" s="416"/>
    </row>
    <row r="40" spans="82:85">
      <c r="CD40" s="416"/>
      <c r="CE40" s="416"/>
      <c r="CF40" s="416"/>
      <c r="CG40" s="416"/>
    </row>
    <row r="41" spans="82:85">
      <c r="CD41" s="416"/>
      <c r="CE41" s="416"/>
      <c r="CF41" s="416"/>
      <c r="CG41" s="416"/>
    </row>
    <row r="42" spans="82:85">
      <c r="CD42" s="416"/>
      <c r="CE42" s="416"/>
      <c r="CF42" s="416"/>
      <c r="CG42" s="416"/>
    </row>
    <row r="43" spans="82:85">
      <c r="CD43" s="416"/>
      <c r="CE43" s="416"/>
      <c r="CF43" s="416"/>
      <c r="CG43" s="416"/>
    </row>
    <row r="44" spans="82:85">
      <c r="CD44" s="416"/>
      <c r="CE44" s="416"/>
      <c r="CF44" s="416"/>
      <c r="CG44" s="416"/>
    </row>
    <row r="45" spans="82:85">
      <c r="CD45" s="416"/>
      <c r="CE45" s="416"/>
      <c r="CF45" s="416"/>
      <c r="CG45" s="416"/>
    </row>
    <row r="46" spans="82:85">
      <c r="CD46" s="416"/>
      <c r="CE46" s="416"/>
      <c r="CF46" s="416"/>
      <c r="CG46" s="416"/>
    </row>
    <row r="47" spans="82:85">
      <c r="CD47" s="416"/>
      <c r="CE47" s="416"/>
      <c r="CF47" s="416"/>
      <c r="CG47" s="416"/>
    </row>
    <row r="48" spans="82:85">
      <c r="CD48" s="416"/>
      <c r="CE48" s="416"/>
      <c r="CF48" s="416"/>
      <c r="CG48" s="416"/>
    </row>
    <row r="49" spans="82:85">
      <c r="CD49" s="280"/>
      <c r="CE49" s="280"/>
      <c r="CF49" s="416"/>
      <c r="CG49" s="416"/>
    </row>
    <row r="50" spans="82:85">
      <c r="CF50" s="416"/>
      <c r="CG50" s="416"/>
    </row>
    <row r="51" spans="82:85">
      <c r="CF51" s="416"/>
      <c r="CG51" s="416"/>
    </row>
    <row r="52" spans="82:85">
      <c r="CF52" s="416"/>
      <c r="CG52" s="416"/>
    </row>
    <row r="53" spans="82:85">
      <c r="CF53" s="416"/>
      <c r="CG53" s="416"/>
    </row>
    <row r="54" spans="82:85">
      <c r="CF54" s="416"/>
      <c r="CG54" s="416"/>
    </row>
    <row r="55" spans="82:85">
      <c r="CF55" s="416"/>
      <c r="CG55" s="416"/>
    </row>
    <row r="56" spans="82:85">
      <c r="CF56" s="416"/>
      <c r="CG56" s="416"/>
    </row>
    <row r="81" spans="2:83" s="569" customFormat="1">
      <c r="B81" s="60"/>
      <c r="C81" s="60"/>
      <c r="D81" s="60"/>
      <c r="E81" s="60"/>
      <c r="F81" s="60"/>
      <c r="G81" s="60"/>
      <c r="H81" s="60"/>
      <c r="I81" s="60"/>
      <c r="J81" s="60"/>
      <c r="K81" s="61"/>
      <c r="L81" s="60"/>
      <c r="M81" s="60"/>
      <c r="N81" s="60"/>
      <c r="O81" s="60"/>
      <c r="P81" s="60"/>
      <c r="Q81" s="60"/>
      <c r="R81" s="60"/>
      <c r="S81" s="60"/>
      <c r="T81" s="314"/>
      <c r="U81" s="273"/>
      <c r="V81" s="273"/>
      <c r="W81" s="273"/>
      <c r="X81" s="314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314"/>
      <c r="AT81" s="58"/>
      <c r="AU81" s="58"/>
      <c r="AV81" s="58"/>
      <c r="AW81" s="58"/>
      <c r="AX81" s="58"/>
      <c r="AY81" s="58"/>
      <c r="AZ81" s="58"/>
      <c r="BA81" s="58"/>
      <c r="BB81" s="58"/>
      <c r="BC81" s="58"/>
      <c r="BD81" s="58"/>
      <c r="BE81" s="58"/>
      <c r="BF81" s="58"/>
      <c r="BG81" s="58"/>
      <c r="BH81" s="58"/>
      <c r="BI81" s="58"/>
      <c r="BJ81" s="58"/>
      <c r="BK81" s="58"/>
      <c r="BL81" s="58"/>
      <c r="BM81" s="58"/>
      <c r="BN81" s="58"/>
      <c r="BO81" s="58"/>
      <c r="BP81" s="58"/>
      <c r="BQ81" s="58"/>
      <c r="BR81" s="58"/>
      <c r="BS81" s="58"/>
      <c r="BT81" s="58"/>
      <c r="BU81" s="58"/>
      <c r="BV81" s="58"/>
      <c r="BW81" s="58"/>
      <c r="BX81" s="58"/>
      <c r="BY81" s="58"/>
      <c r="BZ81" s="58"/>
      <c r="CA81" s="58"/>
      <c r="CB81" s="58"/>
      <c r="CC81" s="58"/>
      <c r="CD81" s="58"/>
      <c r="CE81" s="58"/>
    </row>
    <row r="91" spans="2:83" s="432" customFormat="1">
      <c r="B91" s="60"/>
      <c r="C91" s="60"/>
      <c r="D91" s="60"/>
      <c r="E91" s="60"/>
      <c r="F91" s="60"/>
      <c r="G91" s="60"/>
      <c r="H91" s="60"/>
      <c r="I91" s="60"/>
      <c r="J91" s="60"/>
      <c r="K91" s="61"/>
      <c r="L91" s="60"/>
      <c r="M91" s="60"/>
      <c r="N91" s="60"/>
      <c r="O91" s="60"/>
      <c r="P91" s="60"/>
      <c r="Q91" s="60"/>
      <c r="R91" s="60"/>
      <c r="S91" s="60"/>
      <c r="T91" s="314"/>
      <c r="U91" s="273"/>
      <c r="V91" s="273"/>
      <c r="W91" s="273"/>
      <c r="X91" s="314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314"/>
      <c r="AT91" s="58"/>
      <c r="AU91" s="58"/>
      <c r="AV91" s="58"/>
      <c r="AW91" s="58"/>
      <c r="AX91" s="58"/>
      <c r="AY91" s="58"/>
      <c r="AZ91" s="58"/>
      <c r="BA91" s="58"/>
      <c r="BB91" s="58"/>
      <c r="BC91" s="58"/>
      <c r="BD91" s="58"/>
      <c r="BE91" s="58"/>
      <c r="BF91" s="58"/>
      <c r="BG91" s="58"/>
      <c r="BH91" s="58"/>
      <c r="BI91" s="58"/>
      <c r="BJ91" s="58"/>
      <c r="BK91" s="58"/>
      <c r="BL91" s="58"/>
      <c r="BM91" s="58"/>
      <c r="BN91" s="58"/>
      <c r="BO91" s="58"/>
      <c r="BP91" s="58"/>
      <c r="BQ91" s="58"/>
      <c r="BR91" s="58"/>
      <c r="BS91" s="58"/>
      <c r="BT91" s="58"/>
      <c r="BU91" s="58"/>
      <c r="BV91" s="58"/>
      <c r="BW91" s="58"/>
      <c r="BX91" s="58"/>
      <c r="BY91" s="58"/>
      <c r="BZ91" s="58"/>
      <c r="CA91" s="58"/>
      <c r="CB91" s="58"/>
      <c r="CC91" s="58"/>
      <c r="CD91" s="58"/>
      <c r="CE91" s="58"/>
    </row>
    <row r="121" spans="1:1">
      <c r="A121" s="434"/>
    </row>
  </sheetData>
  <mergeCells count="4">
    <mergeCell ref="F1:G1"/>
    <mergeCell ref="T2:T12"/>
    <mergeCell ref="X2:X12"/>
    <mergeCell ref="AS2:AS12"/>
  </mergeCells>
  <conditionalFormatting sqref="H1">
    <cfRule type="colorScale" priority="6">
      <colorScale>
        <cfvo type="min"/>
        <cfvo type="max"/>
        <color rgb="FFFCFCFF"/>
        <color rgb="FF63BE7B"/>
      </colorScale>
    </cfRule>
  </conditionalFormatting>
  <conditionalFormatting sqref="AT15:AT571">
    <cfRule type="expression" dxfId="7" priority="4">
      <formula>IF(AY15="X",1,0)</formula>
    </cfRule>
  </conditionalFormatting>
  <conditionalFormatting sqref="BK14">
    <cfRule type="expression" dxfId="6" priority="3">
      <formula>IF(BA14="X",1,0)</formula>
    </cfRule>
  </conditionalFormatting>
  <conditionalFormatting sqref="AT14">
    <cfRule type="expression" dxfId="5" priority="10">
      <formula>IF(BA14="X",1,0)</formula>
    </cfRule>
  </conditionalFormatting>
  <conditionalFormatting sqref="I15:I1048576 I10:I13 N1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4:CC14">
    <cfRule type="colorScale" priority="67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6"/>
  </sheetPr>
  <dimension ref="A1:HT119"/>
  <sheetViews>
    <sheetView showGridLines="0" topLeftCell="O1" zoomScaleNormal="100" workbookViewId="0">
      <selection activeCell="AF13" sqref="AF13"/>
    </sheetView>
  </sheetViews>
  <sheetFormatPr defaultRowHeight="12.75"/>
  <cols>
    <col min="1" max="1" width="9.140625" style="58" customWidth="1"/>
    <col min="2" max="2" width="11.42578125" style="58" customWidth="1"/>
    <col min="3" max="3" width="10.42578125" style="58" customWidth="1"/>
    <col min="4" max="4" width="9.85546875" style="58" customWidth="1"/>
    <col min="5" max="5" width="8.85546875" style="58" customWidth="1"/>
    <col min="6" max="8" width="11.42578125" style="58" customWidth="1"/>
    <col min="9" max="9" width="9.7109375" style="58" customWidth="1"/>
    <col min="10" max="10" width="8.85546875" style="58" customWidth="1"/>
    <col min="11" max="11" width="9.140625" style="58" customWidth="1"/>
    <col min="12" max="14" width="11.42578125" style="58" customWidth="1"/>
    <col min="15" max="15" width="10.42578125" style="58" bestFit="1" customWidth="1"/>
    <col min="16" max="16" width="9.140625" style="58" customWidth="1"/>
    <col min="17" max="17" width="11.42578125" style="58" customWidth="1"/>
    <col min="18" max="18" width="9.140625" style="58" bestFit="1" customWidth="1"/>
    <col min="19" max="22" width="9.140625" style="58" customWidth="1"/>
    <col min="23" max="23" width="11.42578125" style="58" customWidth="1"/>
    <col min="24" max="24" width="11.85546875" style="58" customWidth="1"/>
    <col min="25" max="25" width="1" style="58" hidden="1" customWidth="1"/>
    <col min="26" max="26" width="10" style="58" customWidth="1"/>
    <col min="27" max="27" width="11.42578125" style="58" customWidth="1"/>
    <col min="28" max="28" width="10.42578125" style="58" customWidth="1"/>
    <col min="29" max="29" width="11.5703125" style="58" customWidth="1"/>
    <col min="30" max="31" width="10.42578125" style="58" customWidth="1"/>
    <col min="32" max="32" width="9.42578125" style="58" customWidth="1"/>
    <col min="33" max="35" width="10.42578125" style="58" customWidth="1"/>
    <col min="36" max="36" width="11.42578125" style="58" customWidth="1"/>
    <col min="37" max="37" width="12.5703125" style="58" bestFit="1" customWidth="1"/>
    <col min="38" max="38" width="9.140625" style="58"/>
    <col min="39" max="39" width="10.140625" style="58" customWidth="1"/>
    <col min="40" max="40" width="10.85546875" style="58" customWidth="1"/>
    <col min="41" max="41" width="11.5703125" style="58" customWidth="1"/>
    <col min="42" max="42" width="12.5703125" style="58" customWidth="1"/>
    <col min="43" max="43" width="10.5703125" style="58" customWidth="1"/>
    <col min="44" max="44" width="9.5703125" style="58" customWidth="1"/>
    <col min="45" max="45" width="10.7109375" style="58" customWidth="1"/>
    <col min="46" max="46" width="10.85546875" style="58" customWidth="1"/>
    <col min="47" max="47" width="11.140625" style="58" customWidth="1"/>
    <col min="48" max="48" width="11" style="58" customWidth="1"/>
    <col min="49" max="50" width="11.85546875" style="58" customWidth="1"/>
    <col min="51" max="51" width="12.42578125" style="58" customWidth="1"/>
    <col min="52" max="52" width="9" style="58" customWidth="1"/>
    <col min="53" max="53" width="9.140625" style="58"/>
    <col min="54" max="54" width="10.5703125" style="58" customWidth="1"/>
    <col min="55" max="58" width="9.140625" style="58"/>
    <col min="59" max="59" width="10.42578125" style="58" customWidth="1"/>
    <col min="60" max="60" width="10" style="58" customWidth="1"/>
    <col min="61" max="63" width="9.140625" style="58"/>
    <col min="64" max="64" width="10.140625" style="58" customWidth="1"/>
    <col min="65" max="71" width="9.140625" style="58"/>
    <col min="72" max="72" width="10.28515625" style="58" customWidth="1"/>
    <col min="73" max="73" width="9.140625" style="58"/>
    <col min="74" max="74" width="10.140625" style="58" customWidth="1"/>
    <col min="75" max="91" width="9.140625" style="58"/>
    <col min="92" max="92" width="10.5703125" style="58" customWidth="1"/>
    <col min="93" max="95" width="9.140625" style="58"/>
    <col min="96" max="96" width="10.5703125" style="58" customWidth="1"/>
    <col min="97" max="16384" width="9.140625" style="58"/>
  </cols>
  <sheetData>
    <row r="1" spans="1:100" ht="13.5" customHeight="1"/>
    <row r="2" spans="1:100" ht="13.5" customHeight="1"/>
    <row r="3" spans="1:100" ht="13.5" customHeight="1"/>
    <row r="4" spans="1:100" ht="13.5" customHeight="1"/>
    <row r="5" spans="1:100" ht="13.5" customHeight="1">
      <c r="A5" s="510" t="s">
        <v>579</v>
      </c>
      <c r="B5" s="510" t="s">
        <v>593</v>
      </c>
    </row>
    <row r="6" spans="1:100" ht="13.5" customHeight="1">
      <c r="A6" s="510" t="s">
        <v>580</v>
      </c>
      <c r="B6" s="510" t="s">
        <v>595</v>
      </c>
    </row>
    <row r="7" spans="1:100" s="261" customFormat="1" ht="13.5" customHeight="1">
      <c r="X7" s="58"/>
      <c r="AE7" s="58"/>
      <c r="AF7" s="58"/>
    </row>
    <row r="8" spans="1:100">
      <c r="Z8" s="503"/>
      <c r="AA8" s="342"/>
      <c r="AB8" s="342"/>
      <c r="AC8" s="342"/>
      <c r="AD8" s="342"/>
      <c r="AE8" s="342"/>
      <c r="AF8" s="342"/>
      <c r="AG8" s="342"/>
    </row>
    <row r="9" spans="1:100">
      <c r="A9" s="342"/>
      <c r="B9" s="342"/>
      <c r="C9" s="342"/>
      <c r="D9" s="342"/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342"/>
      <c r="V9" s="342"/>
      <c r="W9" s="342"/>
      <c r="Y9" s="342"/>
    </row>
    <row r="10" spans="1:100">
      <c r="A10" s="505" t="s">
        <v>421</v>
      </c>
      <c r="B10" s="504"/>
      <c r="C10" s="504"/>
      <c r="D10" s="504"/>
      <c r="E10" s="504"/>
      <c r="F10" s="581" t="s">
        <v>675</v>
      </c>
      <c r="G10" s="504"/>
      <c r="H10" s="504"/>
      <c r="I10" s="504"/>
      <c r="J10" s="504"/>
      <c r="K10" s="504"/>
      <c r="L10" s="504"/>
      <c r="M10" s="504"/>
      <c r="N10" s="504"/>
      <c r="O10" s="504"/>
      <c r="P10" s="504"/>
      <c r="Q10" s="504"/>
      <c r="R10" s="504"/>
      <c r="S10" s="504"/>
      <c r="T10" s="504"/>
      <c r="U10" s="504"/>
      <c r="V10" s="504"/>
      <c r="W10" s="504"/>
      <c r="Y10" s="505"/>
      <c r="Z10" s="505" t="s">
        <v>547</v>
      </c>
      <c r="AA10" s="505"/>
      <c r="AB10" s="505"/>
      <c r="AC10" s="505"/>
      <c r="AD10" s="505"/>
      <c r="AE10" s="505"/>
      <c r="AF10" s="505"/>
      <c r="AG10" s="505"/>
    </row>
    <row r="11" spans="1:100" s="274" customFormat="1" ht="47.25" customHeight="1">
      <c r="A11" s="506" t="s">
        <v>673</v>
      </c>
      <c r="B11" s="506" t="s">
        <v>535</v>
      </c>
      <c r="C11" s="506" t="s">
        <v>536</v>
      </c>
      <c r="D11" s="506" t="s">
        <v>578</v>
      </c>
      <c r="E11" s="506" t="s">
        <v>674</v>
      </c>
      <c r="F11" s="506" t="s">
        <v>594</v>
      </c>
      <c r="G11" s="506" t="s">
        <v>550</v>
      </c>
      <c r="H11" s="506" t="s">
        <v>553</v>
      </c>
      <c r="I11" s="506" t="s">
        <v>676</v>
      </c>
      <c r="J11" s="506" t="s">
        <v>537</v>
      </c>
      <c r="K11" s="506" t="s">
        <v>538</v>
      </c>
      <c r="L11" s="506" t="s">
        <v>539</v>
      </c>
      <c r="M11" s="506" t="s">
        <v>540</v>
      </c>
      <c r="N11" s="506" t="s">
        <v>541</v>
      </c>
      <c r="O11" s="506" t="s">
        <v>575</v>
      </c>
      <c r="P11" s="506" t="s">
        <v>563</v>
      </c>
      <c r="Q11" s="506" t="s">
        <v>564</v>
      </c>
      <c r="R11" s="506" t="s">
        <v>565</v>
      </c>
      <c r="S11" s="574" t="s">
        <v>31</v>
      </c>
      <c r="T11" s="574" t="s">
        <v>557</v>
      </c>
      <c r="U11" s="587" t="s">
        <v>677</v>
      </c>
      <c r="V11" s="587" t="s">
        <v>696</v>
      </c>
      <c r="W11" s="587" t="s">
        <v>697</v>
      </c>
      <c r="X11" s="58"/>
      <c r="Y11" s="506" t="s">
        <v>31</v>
      </c>
      <c r="Z11" s="506" t="s">
        <v>542</v>
      </c>
      <c r="AA11" s="506" t="s">
        <v>543</v>
      </c>
      <c r="AB11" s="506" t="s">
        <v>557</v>
      </c>
      <c r="AC11" s="506" t="s">
        <v>548</v>
      </c>
      <c r="AD11" s="506" t="s">
        <v>549</v>
      </c>
      <c r="AE11" s="506" t="s">
        <v>556</v>
      </c>
      <c r="AF11" s="506" t="s">
        <v>546</v>
      </c>
      <c r="AG11" s="506" t="s">
        <v>576</v>
      </c>
      <c r="AI11" s="516" t="s">
        <v>600</v>
      </c>
      <c r="AJ11" s="512" t="s">
        <v>636</v>
      </c>
      <c r="AK11" s="512" t="s">
        <v>638</v>
      </c>
      <c r="AL11" s="512" t="s">
        <v>569</v>
      </c>
      <c r="AM11" s="512" t="s">
        <v>588</v>
      </c>
      <c r="AN11" s="512" t="s">
        <v>599</v>
      </c>
      <c r="AO11" s="512" t="s">
        <v>586</v>
      </c>
      <c r="AP11" s="512" t="s">
        <v>587</v>
      </c>
      <c r="AQ11" s="516" t="s">
        <v>637</v>
      </c>
      <c r="AR11" s="516" t="s">
        <v>589</v>
      </c>
      <c r="AS11" s="516" t="s">
        <v>590</v>
      </c>
      <c r="AT11" s="516" t="s">
        <v>585</v>
      </c>
      <c r="AU11" s="512" t="s">
        <v>570</v>
      </c>
      <c r="AV11" s="516" t="s">
        <v>583</v>
      </c>
      <c r="AW11" s="516" t="s">
        <v>577</v>
      </c>
      <c r="AX11" s="512" t="s">
        <v>545</v>
      </c>
      <c r="AY11" s="511" t="s">
        <v>640</v>
      </c>
      <c r="AZ11" s="511" t="s">
        <v>639</v>
      </c>
      <c r="BA11" s="511" t="s">
        <v>571</v>
      </c>
      <c r="BB11" s="511" t="s">
        <v>605</v>
      </c>
      <c r="BC11" s="511" t="s">
        <v>606</v>
      </c>
      <c r="BD11" s="511" t="s">
        <v>603</v>
      </c>
      <c r="BE11" s="511" t="s">
        <v>604</v>
      </c>
      <c r="BF11" s="516" t="s">
        <v>635</v>
      </c>
      <c r="BG11" s="516" t="s">
        <v>601</v>
      </c>
      <c r="BH11" s="516" t="s">
        <v>602</v>
      </c>
      <c r="BI11" s="516" t="s">
        <v>584</v>
      </c>
      <c r="BJ11" s="511" t="s">
        <v>572</v>
      </c>
      <c r="BK11" s="516" t="s">
        <v>582</v>
      </c>
      <c r="BL11" s="516" t="s">
        <v>581</v>
      </c>
      <c r="BM11" s="511" t="s">
        <v>544</v>
      </c>
      <c r="BN11" s="514" t="s">
        <v>554</v>
      </c>
      <c r="BO11" s="514" t="s">
        <v>555</v>
      </c>
      <c r="BP11" s="514" t="s">
        <v>558</v>
      </c>
      <c r="BQ11" s="509" t="s">
        <v>630</v>
      </c>
      <c r="BR11" s="509" t="s">
        <v>631</v>
      </c>
      <c r="BS11" s="509" t="s">
        <v>622</v>
      </c>
      <c r="BT11" s="509" t="s">
        <v>624</v>
      </c>
      <c r="BU11" s="509" t="s">
        <v>613</v>
      </c>
      <c r="BV11" s="509" t="s">
        <v>614</v>
      </c>
      <c r="BW11" s="516" t="s">
        <v>629</v>
      </c>
      <c r="BX11" s="516" t="s">
        <v>611</v>
      </c>
      <c r="BY11" s="516" t="s">
        <v>612</v>
      </c>
      <c r="BZ11" s="509" t="s">
        <v>573</v>
      </c>
      <c r="CA11" s="516" t="s">
        <v>609</v>
      </c>
      <c r="CB11" s="516" t="s">
        <v>608</v>
      </c>
      <c r="CC11" s="509" t="s">
        <v>560</v>
      </c>
      <c r="CD11" s="515" t="s">
        <v>632</v>
      </c>
      <c r="CE11" s="515" t="s">
        <v>633</v>
      </c>
      <c r="CF11" s="515" t="s">
        <v>623</v>
      </c>
      <c r="CG11" s="515" t="s">
        <v>625</v>
      </c>
      <c r="CH11" s="515" t="s">
        <v>620</v>
      </c>
      <c r="CI11" s="515" t="s">
        <v>621</v>
      </c>
      <c r="CJ11" s="516" t="s">
        <v>634</v>
      </c>
      <c r="CK11" s="516" t="s">
        <v>610</v>
      </c>
      <c r="CL11" s="516" t="s">
        <v>619</v>
      </c>
      <c r="CM11" s="515" t="s">
        <v>574</v>
      </c>
      <c r="CN11" s="516" t="s">
        <v>618</v>
      </c>
      <c r="CO11" s="516" t="s">
        <v>617</v>
      </c>
      <c r="CP11" s="515" t="s">
        <v>559</v>
      </c>
      <c r="CQ11" s="506" t="s">
        <v>626</v>
      </c>
      <c r="CR11" s="506" t="s">
        <v>566</v>
      </c>
      <c r="CS11" s="506" t="s">
        <v>567</v>
      </c>
      <c r="CT11" s="506" t="s">
        <v>561</v>
      </c>
      <c r="CU11" s="506" t="s">
        <v>562</v>
      </c>
      <c r="CV11" s="513" t="s">
        <v>568</v>
      </c>
    </row>
    <row r="12" spans="1:100">
      <c r="A12" s="583">
        <v>-1</v>
      </c>
      <c r="B12" s="507">
        <v>4.5</v>
      </c>
      <c r="C12" s="507">
        <v>1.33</v>
      </c>
      <c r="D12" s="507" t="s">
        <v>579</v>
      </c>
      <c r="E12" s="507" t="s">
        <v>7</v>
      </c>
      <c r="F12" s="507" t="str">
        <f>"Level"</f>
        <v>Level</v>
      </c>
      <c r="G12" s="507">
        <v>3.4</v>
      </c>
      <c r="H12" s="507">
        <v>1.8</v>
      </c>
      <c r="I12" s="507" t="str">
        <f>"Spe. Grad."</f>
        <v>Spe. Grad.</v>
      </c>
      <c r="J12" s="507">
        <v>2</v>
      </c>
      <c r="K12" s="507">
        <v>0.47</v>
      </c>
      <c r="L12" s="507">
        <v>1858.5</v>
      </c>
      <c r="M12" s="507">
        <v>2566.5</v>
      </c>
      <c r="N12" s="507">
        <f t="shared" ref="N12" si="0">292/(292+239)</f>
        <v>0.54990583804143123</v>
      </c>
      <c r="O12" s="507">
        <f>70</f>
        <v>70</v>
      </c>
      <c r="P12" s="507">
        <v>0.57999999999999996</v>
      </c>
      <c r="Q12" s="507">
        <f>INPUTS_SG[Trucks '[VDMA']]/(INPUTS_SG[Cars '[VDMA']]+INPUTS_SG[Trucks '[VDMA']])</f>
        <v>0.57999999999999996</v>
      </c>
      <c r="R12" s="507">
        <v>0.03</v>
      </c>
      <c r="S12" s="507">
        <v>0.88</v>
      </c>
      <c r="T12" s="507">
        <v>88</v>
      </c>
      <c r="U12" s="507" t="str">
        <f>TWO_LANE_HIGHWAY_SG[LOS '[20-2']]</f>
        <v>D</v>
      </c>
      <c r="V12" s="507">
        <f>TWO_LANE_HIGHWAY_SG[ATSd  '[km/h']]</f>
        <v>62.925095896877778</v>
      </c>
      <c r="W12" s="507">
        <f>TWO_LANE_HIGHWAY_SG[PTSFd '[%']]</f>
        <v>62.179867880477886</v>
      </c>
      <c r="Y12" s="280">
        <f>INPUTS_SG[PHF]</f>
        <v>0.88</v>
      </c>
      <c r="Z12" s="280">
        <f>(INPUTS_SG[Cars '[VDMA']]+INPUTS_SG[Trucks '[VDMA']])*GENERAL_SG[VDMA to veh/h ]*INPUTS_SG[Direction Split '[%']]</f>
        <v>292</v>
      </c>
      <c r="AA12" s="280">
        <f>(INPUTS_SG[Cars '[VDMA']]+INPUTS_SG[Trucks '[VDMA']])*GENERAL_SG[VDMA to veh/h ]*(1-INPUTS_SG[Direction Split '[%']])</f>
        <v>239.00000000000003</v>
      </c>
      <c r="AB12" s="280">
        <f>INPUTS_SG[BFFS  '[km/h']]</f>
        <v>88</v>
      </c>
      <c r="AC12" s="381">
        <f>INDEX('HCM2000'!$L$68:$AF$83,MATCH(INPUTS_SG[Lane width '[m']],'HCM2000'!$K$68:$K$83),MATCH(INPUTS_SG[Shoulder width '[m']],'HCM2000'!$L$67:$AF$67)+1)</f>
        <v>0.7</v>
      </c>
      <c r="AD12" s="280">
        <f>MIN(16,2/3*INPUTS_SG[Access points /km '[1']])</f>
        <v>1.3333333333333333</v>
      </c>
      <c r="AE12" s="280">
        <f>GENERAL_SG[BFFS  '[km/h']]-GENERAL_SG[fLS '[20-5']]-GENERAL_SG[fA '[20-6']]</f>
        <v>85.966666666666669</v>
      </c>
      <c r="AF12" s="280">
        <f>0.12</f>
        <v>0.12</v>
      </c>
      <c r="AG12" s="280">
        <f>GENERAL_SG[FFS  '[km/h']] - INPUTS_SG[Truck crawl speed '[km/h']]</f>
        <v>15.966666666666669</v>
      </c>
      <c r="AH12" s="280"/>
      <c r="AI12" s="280">
        <f>IF(INPUTS_SG[Type of terrain]="level",0,1)</f>
        <v>0</v>
      </c>
      <c r="AJ12" s="280">
        <v>0.88999999999999824</v>
      </c>
      <c r="AK12" s="280">
        <v>1.0000000000000002</v>
      </c>
      <c r="AL12" s="280">
        <v>2.8000000000000003</v>
      </c>
      <c r="AM12" s="280">
        <v>1.2000000000000002</v>
      </c>
      <c r="AN12" s="280">
        <v>1.0000000000000002</v>
      </c>
      <c r="AO12" s="280">
        <v>7.9875000000000718</v>
      </c>
      <c r="AP12" s="280">
        <v>1.0000000000000093</v>
      </c>
      <c r="AQ12" s="280">
        <f>IF(INPUTS_SG[Direction analysed ?]="up",TWO_LANE_HIGHWAY_SG[fG_ATS_O_DOWN '[20-7']],TWO_LANE_HIGHWAY_SG[fG_ATS_O_UP '[20-13']])</f>
        <v>1.0000000000000002</v>
      </c>
      <c r="AR12" s="280">
        <f>IF(INPUTS_SG[Direction analysed ?]="up",TWO_LANE_HIGHWAY_SG[ET_ATS_O_DOWN '[20-9']],TWO_LANE_HIGHWAY_SG[ET_ATS_O_UP '[20-15']])</f>
        <v>1.2000000000000002</v>
      </c>
      <c r="AS12" s="280">
        <f>IF(INPUTS_SG[Direction analysed ?]="up",TWO_LANE_HIGHWAY_SG[ER_ATS_O_DOWN '[20-9']],TWO_LANE_HIGHWAY_SG[ER_ATS_O_UP '[20-17']])</f>
        <v>1.0000000000000002</v>
      </c>
      <c r="AT12" s="280">
        <f>IF(INPUTS_SG[Direction analysed ?]="up",1,0)*INPUTS_SG[PTC '[%']]</f>
        <v>0.57999999999999996</v>
      </c>
      <c r="AU12" s="280">
        <f>1/(1+TWO_LANE_HIGHWAY_SG[PTC_O'' '[%']]*INPUTS_SG[PT '[%']]*(TWO_LANE_HIGHWAY_SG[ETC_ATS_O '[20-18']]-1)+(1-TWO_LANE_HIGHWAY_SG[PTC_O'' '[%']])*INPUTS_SG[PT '[%']]*(TWO_LANE_HIGHWAY_SG[ET_ATS_O]-1)+INPUTS_SG[PR '[%']]*(TWO_LANE_HIGHWAY_SG[ER_ATS_O]-1))</f>
        <v>0.60450720572589223</v>
      </c>
      <c r="AV12" s="280">
        <f>GENERAL_SG[VO '[veh/h']]/GENERAL_SG[PHF]</f>
        <v>271.59090909090912</v>
      </c>
      <c r="AW12" s="280">
        <v>329.46946666666662</v>
      </c>
      <c r="AX12" s="280">
        <f>IFERROR(GENERAL_SG[VO '[veh/h']]/(GENERAL_SG[PHF]*TWO_LANE_HIGHWAY_SG[fG_ATS_O]*TWO_LANE_HIGHWAY_SG[fHV_ATS_O '[(20-14)']]),0)</f>
        <v>449.27654545454544</v>
      </c>
      <c r="AY12" s="280">
        <v>0.99999999999999734</v>
      </c>
      <c r="AZ12" s="280">
        <v>1</v>
      </c>
      <c r="BA12" s="280">
        <v>1.4</v>
      </c>
      <c r="BB12" s="280">
        <v>1.1000000000000001</v>
      </c>
      <c r="BC12" s="280">
        <v>1</v>
      </c>
      <c r="BD12" s="280">
        <v>7.9549999999999352</v>
      </c>
      <c r="BE12" s="280">
        <v>0.99999999999999734</v>
      </c>
      <c r="BF12" s="280">
        <f>IF(INPUTS_SG[Direction analysed ?]="up",TWO_LANE_HIGHWAY_SG[fG_ATS_D_UP '[20-13']],TWO_LANE_HIGHWAY_SG[fG_ATS_D_DOWN '[20-7']])</f>
        <v>0.99999999999999734</v>
      </c>
      <c r="BG12" s="280">
        <f>IF(INPUTS_SG[Direction analysed ?]="up",TWO_LANE_HIGHWAY_SG[ET_ATS_D_UP '[20-15']],TWO_LANE_HIGHWAY_SG[ET_ATS_D_DOWN '[20-9']])</f>
        <v>7.9549999999999352</v>
      </c>
      <c r="BH12" s="280">
        <f>IF(INPUTS_SG[Direction analysed ?]="up",TWO_LANE_HIGHWAY_SG[ER_ATS_D_UP '[20-17']],TWO_LANE_HIGHWAY_SG[ER_ATS_D_DOWN '[20-9']])</f>
        <v>0.99999999999999734</v>
      </c>
      <c r="BI12" s="280">
        <f>IF(INPUTS_SG[Direction analysed ?]="up",0,1)*INPUTS_SG[PTC '[%']]</f>
        <v>0</v>
      </c>
      <c r="BJ12" s="280">
        <f>1/(1+TWO_LANE_HIGHWAY_SG[PTC_D'' '[%']]*INPUTS_SG[PT '[%']]*(TWO_LANE_HIGHWAY_SG[ETC_ATS_D '[20-18']]-1)+(1-TWO_LANE_HIGHWAY_SG[PTC_D'' '[%']])*INPUTS_SG[PT '[%']]*(TWO_LANE_HIGHWAY_SG[ET_ATS_D]-1)+INPUTS_SG[PR '[%']]*(TWO_LANE_HIGHWAY_SG[ER_ATS_D]-1))</f>
        <v>0.1986531317666238</v>
      </c>
      <c r="BK12" s="280">
        <f>GENERAL_SG[VD '[veh/h']]/GENERAL_SG[PHF]</f>
        <v>331.81818181818181</v>
      </c>
      <c r="BL12" s="280">
        <v>1224.9156666666604</v>
      </c>
      <c r="BM12" s="280">
        <f>IFERROR(GENERAL_SG[VD '[veh/h']]/(GENERAL_SG[PHF]*TWO_LANE_HIGHWAY_SG[fG_ATS_D]*TWO_LANE_HIGHWAY_SG[fHV_ATS_D '[(20-14)']]),0)</f>
        <v>1670.3395454545373</v>
      </c>
      <c r="BN12" s="280">
        <v>3.6117566031223038</v>
      </c>
      <c r="BO12" s="280">
        <f>GENERAL_SG[[#This Row],[FFS  '[km/h']]]</f>
        <v>85.966666666666669</v>
      </c>
      <c r="BP12" s="280">
        <f>TWO_LANE_HIGHWAY_SG[FFSd '[km/h']]-0.0125*(MIN(TWO_LANE_HIGHWAY_SG[[#This Row],[Vo_ATS '[pc/h']]],TWO_LANE_HIGHWAY_SG[[#This Row],[Vo_ATS_'' '[pc/h']]])+MIN(TWO_LANE_HIGHWAY_SG[[#This Row],[Vd_ATS_'' '[pc/h']]],TWO_LANE_HIGHWAY_SG[[#This Row],[Vd_ATS '[pc/h']]]))-TWO_LANE_HIGHWAY_SG[fnp_ATS '[20-19']]</f>
        <v>62.925095896877778</v>
      </c>
      <c r="BQ12" s="280">
        <v>0.99999999999999967</v>
      </c>
      <c r="BR12" s="280">
        <v>1</v>
      </c>
      <c r="BS12" s="280">
        <v>1.1000000000000001</v>
      </c>
      <c r="BT12" s="280">
        <f>1</f>
        <v>1</v>
      </c>
      <c r="BU12" s="280">
        <v>0.99999999999999967</v>
      </c>
      <c r="BV12" s="280">
        <f>1</f>
        <v>1</v>
      </c>
      <c r="BW12" s="280">
        <f>IF(INPUTS_SG[Direction analysed ?]="up",TWO_LANE_HIGHWAY_SG[fG_PTSF_O_DOWN '[20-8']],TWO_LANE_HIGHWAY_SG[fG_PTSF_O_UP '[20-14']])</f>
        <v>1</v>
      </c>
      <c r="BX12" s="280">
        <f>IF(INPUTS_SG[Direction analysed ?]="up",TWO_LANE_HIGHWAY_SG[ET_PTSF_O_DOWN '[20-10']],TWO_LANE_HIGHWAY_SG[ET_PTSF_O_UP '[20-16']])</f>
        <v>1.1000000000000001</v>
      </c>
      <c r="BY12" s="280">
        <f>IF(INPUTS_SG[Direction analysed ?]="up",TWO_LANE_HIGHWAY_SG[ER_PTSF_O_DOWN '[20-10']],TWO_LANE_HIGHWAY_SG[ER_PTSF_O_UP '[20-16']])</f>
        <v>1</v>
      </c>
      <c r="BZ12" s="280">
        <f>1/(1+INPUTS_SG[PT '[%']]*(TWO_LANE_HIGHWAY_SG[ET_PTSF_O]-1)+INPUTS_SG[PR '[%']]*(TWO_LANE_HIGHWAY_SG[ER_PTSF_O]-1))</f>
        <v>0.94517958412098291</v>
      </c>
      <c r="CA12" s="280">
        <f>TWO_LANE_HIGHWAY_SG[Vo_ATS_init '[pc/h']]</f>
        <v>271.59090909090912</v>
      </c>
      <c r="CB12" s="280">
        <v>210.71833333333336</v>
      </c>
      <c r="CC12" s="280">
        <f>IFERROR(GENERAL_SG[VO '[veh/h']]/(GENERAL_SG[PHF]*TWO_LANE_HIGHWAY_SG[FG_PTSF_O]*TWO_LANE_HIGHWAY_SG[fHV_PTSF_O]),0)</f>
        <v>287.34318181818185</v>
      </c>
      <c r="CD12" s="416">
        <v>0.99999999999999989</v>
      </c>
      <c r="CE12" s="416">
        <v>1</v>
      </c>
      <c r="CF12" s="416">
        <v>1.1000000000000001</v>
      </c>
      <c r="CG12" s="416">
        <f>1</f>
        <v>1</v>
      </c>
      <c r="CH12" s="416">
        <v>0.99999999999999989</v>
      </c>
      <c r="CI12" s="416">
        <f>1</f>
        <v>1</v>
      </c>
      <c r="CJ12" s="416">
        <f>IF(INPUTS_SG[Direction analysed ?]="up",TWO_LANE_HIGHWAY_SG[fG_PTSF_D_UP '[20-14']],TWO_LANE_HIGHWAY_SG[fG_PTSF_D_DOWN '[20-8']])</f>
        <v>0.99999999999999989</v>
      </c>
      <c r="CK12" s="416">
        <f>IF(INPUTS_SG[Direction analysed ?]="up",TWO_LANE_HIGHWAY_SG[ET_PTSF_D_UP '[20-16']],TWO_LANE_HIGHWAY_SG[ET_PTSF_D_DOWN '[20-10']])</f>
        <v>0.99999999999999989</v>
      </c>
      <c r="CL12" s="416">
        <f>IF(INPUTS_SG[Direction analysed ?]="up",TWO_LANE_HIGHWAY_SG[ER_PTSF_D_UP '[20-16']],TWO_LANE_HIGHWAY_SG[ER_PTSF_D_DOWN  '[20-10']])</f>
        <v>1</v>
      </c>
      <c r="CM12" s="416">
        <f>1/(1+INPUTS_SG[PT '[%']]*(TWO_LANE_HIGHWAY_SG[ET_PTSF_D]-1)+INPUTS_SG[PR '[%']]*(TWO_LANE_HIGHWAY_SG[ER_PTSF_D]-1))</f>
        <v>1</v>
      </c>
      <c r="CN12" s="416">
        <f>TWO_LANE_HIGHWAY_SG[Vd_ATS_init '[pc/h']]</f>
        <v>331.81818181818181</v>
      </c>
      <c r="CO12" s="416">
        <v>243.33333333333331</v>
      </c>
      <c r="CP12" s="416">
        <f>IFERROR(GENERAL_SG[VD '[veh/h']]/(GENERAL_SG[PHF]*TWO_LANE_HIGHWAY_SG[FG_PTSF_D]*TWO_LANE_HIGHWAY_SG[fHV_PTSF_D]),0)</f>
        <v>331.81818181818187</v>
      </c>
      <c r="CQ12" s="416">
        <v>18.712071388888837</v>
      </c>
      <c r="CR12" s="416">
        <v>-1.535803333333334E-2</v>
      </c>
      <c r="CS12" s="416">
        <v>0.65787117500000003</v>
      </c>
      <c r="CT12" s="416">
        <f>100*(1-EXP(TWO_LANE_HIGHWAY_SG[a '[20-21']]*MIN(TWO_LANE_HIGHWAY_SG[[#This Row],[Vd_PTSF '[pc/h']]],TWO_LANE_HIGHWAY_SG[[#This Row],[Vd_PTSF_'' '[pc/h']]])^TWO_LANE_HIGHWAY_SG[b '[20-21']]))</f>
        <v>43.467796491589048</v>
      </c>
      <c r="CU12" s="416">
        <f>TWO_LANE_HIGHWAY_SG[BPTSFd '[%']]+TWO_LANE_HIGHWAY_SG[fnp_PTSF '[20-20']]</f>
        <v>62.179867880477886</v>
      </c>
      <c r="CV12" s="416" t="str">
        <f>IF(TWO_LANE_HIGHWAY_SG[[#This Row],[Vd_ATS '[pc/h']]]&gt;1700,"F",INDEX('HCM2000'!$C$134:$N$154,MATCH(ROUNDUP(TWO_LANE_HIGHWAY_SG[[#This Row],[PTSFd '[%']]]/5,0)*5,'HCM2000'!$B$134:$B$154),MATCH(ROUNDUP(TWO_LANE_HIGHWAY_SG[[#This Row],[ATSd  '[km/h']]]/10,0)*10,'HCM2000'!$C$133:$N$133)))</f>
        <v>D</v>
      </c>
    </row>
    <row r="13" spans="1:100" s="294" customFormat="1">
      <c r="A13" s="416"/>
      <c r="B13" s="58"/>
      <c r="C13" s="416"/>
      <c r="D13" s="60"/>
      <c r="E13" s="416"/>
      <c r="F13" s="416"/>
      <c r="G13" s="416"/>
      <c r="H13" s="416"/>
      <c r="I13" s="416"/>
      <c r="J13" s="416"/>
      <c r="K13" s="416"/>
      <c r="L13" s="416"/>
      <c r="M13" s="416"/>
      <c r="N13" s="416"/>
      <c r="O13" s="416"/>
      <c r="P13" s="416"/>
      <c r="Q13" s="416"/>
      <c r="R13" s="58"/>
      <c r="S13" s="58"/>
      <c r="T13" s="58"/>
      <c r="U13" s="58"/>
      <c r="V13" s="416"/>
      <c r="W13" s="416"/>
      <c r="X13" s="58"/>
      <c r="Y13" s="416"/>
      <c r="Z13" s="416"/>
      <c r="AA13" s="416"/>
      <c r="AB13" s="416"/>
      <c r="AC13" s="416"/>
      <c r="AD13" s="416"/>
      <c r="AE13" s="416"/>
      <c r="AF13" s="416"/>
      <c r="AG13" s="416"/>
      <c r="AH13" s="416"/>
      <c r="AI13" s="416"/>
      <c r="AJ13" s="416"/>
      <c r="AK13" s="416"/>
      <c r="AL13" s="416"/>
      <c r="AM13" s="416"/>
      <c r="AN13" s="416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</row>
    <row r="14" spans="1:100" s="294" customFormat="1">
      <c r="A14" s="416"/>
      <c r="B14" s="58"/>
      <c r="C14" s="416"/>
      <c r="D14" s="60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  <c r="Q14" s="416"/>
      <c r="R14" s="416"/>
      <c r="S14" s="416"/>
      <c r="T14" s="416"/>
      <c r="U14" s="416"/>
      <c r="V14" s="416"/>
      <c r="W14" s="416"/>
      <c r="X14" s="58"/>
      <c r="Y14" s="416"/>
      <c r="Z14" s="416"/>
      <c r="AA14" s="416"/>
      <c r="AB14" s="416"/>
      <c r="AC14" s="416"/>
      <c r="AD14" s="416"/>
      <c r="AE14" s="416"/>
      <c r="AF14" s="416"/>
      <c r="AG14" s="416"/>
      <c r="AH14" s="416"/>
      <c r="AI14" s="416"/>
      <c r="AJ14" s="416"/>
      <c r="AK14" s="416"/>
      <c r="AL14" s="416"/>
      <c r="AM14" s="416"/>
      <c r="AN14" s="416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8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8"/>
      <c r="CP14" s="58"/>
      <c r="CQ14" s="58"/>
      <c r="CR14" s="58"/>
      <c r="CS14" s="58"/>
      <c r="CT14" s="58"/>
    </row>
    <row r="15" spans="1:100" s="294" customFormat="1">
      <c r="A15" s="416"/>
      <c r="B15" s="58"/>
      <c r="C15" s="416"/>
      <c r="D15" s="60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  <c r="Q15" s="416"/>
      <c r="R15" s="416"/>
      <c r="S15" s="416"/>
      <c r="T15" s="416"/>
      <c r="U15" s="416"/>
      <c r="V15" s="416"/>
      <c r="W15" s="416"/>
      <c r="X15" s="58"/>
      <c r="Y15" s="416"/>
      <c r="Z15" s="416"/>
      <c r="AA15" s="416"/>
      <c r="AB15" s="416"/>
      <c r="AC15" s="416"/>
      <c r="AD15" s="416"/>
      <c r="AE15" s="416"/>
      <c r="AF15" s="416"/>
      <c r="AG15" s="416"/>
      <c r="AH15" s="416"/>
      <c r="AI15" s="416"/>
      <c r="AJ15" s="416"/>
      <c r="AK15" s="416"/>
      <c r="AL15" s="416"/>
      <c r="AM15" s="416"/>
      <c r="AN15" s="416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8"/>
      <c r="CP15" s="58"/>
      <c r="CQ15" s="58"/>
      <c r="CR15" s="58"/>
      <c r="CS15" s="58"/>
      <c r="CT15" s="58"/>
    </row>
    <row r="16" spans="1:100" s="294" customFormat="1">
      <c r="A16" s="416"/>
      <c r="B16" s="58"/>
      <c r="C16" s="416"/>
      <c r="D16" s="60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  <c r="Q16" s="416"/>
      <c r="R16" s="416"/>
      <c r="S16" s="416"/>
      <c r="T16" s="416"/>
      <c r="U16" s="416"/>
      <c r="V16" s="416"/>
      <c r="W16" s="416"/>
      <c r="X16" s="58"/>
      <c r="Y16" s="416"/>
      <c r="Z16" s="416"/>
      <c r="AA16" s="416"/>
      <c r="AB16" s="416"/>
      <c r="AC16" s="416"/>
      <c r="AD16" s="416"/>
      <c r="AE16" s="416"/>
      <c r="AF16" s="416"/>
      <c r="AG16" s="416"/>
      <c r="AH16" s="416"/>
      <c r="AI16" s="416"/>
      <c r="AJ16" s="416"/>
      <c r="AK16" s="416"/>
      <c r="AL16" s="416"/>
      <c r="AM16" s="416"/>
      <c r="AN16" s="416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8"/>
      <c r="CP16" s="58"/>
      <c r="CQ16" s="58"/>
      <c r="CR16" s="58"/>
      <c r="CS16" s="58"/>
      <c r="CT16" s="58"/>
    </row>
    <row r="17" spans="1:98" s="294" customFormat="1">
      <c r="A17" s="416"/>
      <c r="B17" s="58"/>
      <c r="C17" s="416"/>
      <c r="D17" s="60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  <c r="Q17" s="416"/>
      <c r="R17" s="416"/>
      <c r="S17" s="416"/>
      <c r="T17" s="416"/>
      <c r="U17" s="416"/>
      <c r="V17" s="416"/>
      <c r="W17" s="416"/>
      <c r="X17" s="58"/>
      <c r="Y17" s="416"/>
      <c r="Z17" s="416"/>
      <c r="AA17" s="416"/>
      <c r="AB17" s="416"/>
      <c r="AC17" s="416"/>
      <c r="AD17" s="416"/>
      <c r="AE17" s="416"/>
      <c r="AF17" s="416"/>
      <c r="AG17" s="416"/>
      <c r="AH17" s="416"/>
      <c r="AI17" s="416"/>
      <c r="AJ17" s="416"/>
      <c r="AK17" s="416"/>
      <c r="AL17" s="416"/>
      <c r="AM17" s="416"/>
      <c r="AN17" s="416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8"/>
      <c r="CP17" s="58"/>
      <c r="CQ17" s="58"/>
      <c r="CR17" s="58"/>
      <c r="CS17" s="58"/>
      <c r="CT17" s="58"/>
    </row>
    <row r="18" spans="1:98" s="294" customFormat="1">
      <c r="A18" s="416"/>
      <c r="B18" s="58"/>
      <c r="C18" s="416"/>
      <c r="D18" s="60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  <c r="Q18" s="416"/>
      <c r="R18" s="416"/>
      <c r="S18" s="416"/>
      <c r="T18" s="416"/>
      <c r="U18" s="416"/>
      <c r="V18" s="416"/>
      <c r="W18" s="416"/>
      <c r="X18" s="58"/>
      <c r="Y18" s="416"/>
      <c r="Z18" s="416"/>
      <c r="AA18" s="416"/>
      <c r="AB18" s="416"/>
      <c r="AC18" s="416"/>
      <c r="AD18" s="416"/>
      <c r="AE18" s="416"/>
      <c r="AF18" s="416"/>
      <c r="AG18" s="416"/>
      <c r="AH18" s="416"/>
      <c r="AI18" s="416"/>
      <c r="AJ18" s="416"/>
      <c r="AK18" s="416"/>
      <c r="AL18" s="416"/>
      <c r="AM18" s="416"/>
      <c r="AN18" s="416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8"/>
    </row>
    <row r="19" spans="1:98">
      <c r="A19" s="416"/>
      <c r="C19" s="416"/>
      <c r="D19" s="60"/>
      <c r="E19" s="416"/>
      <c r="F19" s="416"/>
      <c r="G19" s="416"/>
      <c r="H19" s="416"/>
      <c r="I19" s="416"/>
      <c r="J19" s="416"/>
      <c r="K19" s="416"/>
      <c r="L19" s="416"/>
      <c r="M19" s="416"/>
      <c r="N19" s="416"/>
      <c r="O19" s="416"/>
      <c r="P19" s="416"/>
      <c r="Q19" s="416"/>
      <c r="R19" s="416"/>
      <c r="S19" s="416"/>
      <c r="T19" s="416"/>
      <c r="U19" s="416"/>
      <c r="V19" s="416"/>
      <c r="W19" s="416"/>
      <c r="Y19" s="416"/>
      <c r="Z19" s="416"/>
      <c r="AA19" s="416"/>
      <c r="AB19" s="416"/>
      <c r="AC19" s="416"/>
      <c r="AD19" s="416"/>
      <c r="AE19" s="416"/>
      <c r="AF19" s="416"/>
      <c r="AG19" s="416"/>
      <c r="AH19" s="416"/>
      <c r="AI19" s="416"/>
      <c r="AJ19" s="416"/>
      <c r="AK19" s="416"/>
      <c r="AL19" s="416"/>
      <c r="AM19" s="416"/>
      <c r="AN19" s="416"/>
    </row>
    <row r="20" spans="1:98">
      <c r="A20" s="416"/>
      <c r="C20" s="416"/>
      <c r="D20" s="60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  <c r="Q20" s="416"/>
      <c r="R20" s="416"/>
      <c r="S20" s="416"/>
      <c r="T20" s="416"/>
      <c r="U20" s="416"/>
      <c r="V20" s="416"/>
      <c r="W20" s="416"/>
      <c r="Y20" s="416"/>
      <c r="Z20" s="416"/>
      <c r="AA20" s="416"/>
      <c r="AB20" s="416"/>
      <c r="AC20" s="416"/>
      <c r="AD20" s="416"/>
      <c r="AE20" s="416"/>
      <c r="AF20" s="416"/>
      <c r="AG20" s="416"/>
      <c r="AH20" s="416"/>
      <c r="AI20" s="416"/>
      <c r="AJ20" s="416"/>
      <c r="AK20" s="416"/>
      <c r="AL20" s="416"/>
      <c r="AM20" s="416"/>
      <c r="AN20" s="416"/>
    </row>
    <row r="21" spans="1:98">
      <c r="A21" s="416"/>
      <c r="C21" s="416"/>
      <c r="D21" s="60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  <c r="Q21" s="416"/>
      <c r="R21" s="416"/>
      <c r="S21" s="416"/>
      <c r="T21" s="416"/>
      <c r="U21" s="416"/>
      <c r="V21" s="416"/>
      <c r="W21" s="416"/>
      <c r="Y21" s="416"/>
      <c r="Z21" s="416"/>
      <c r="AA21" s="416"/>
      <c r="AB21" s="416"/>
      <c r="AC21" s="416"/>
      <c r="AD21" s="416"/>
      <c r="AE21" s="416"/>
      <c r="AF21" s="416"/>
      <c r="AG21" s="416"/>
      <c r="AH21" s="416"/>
      <c r="AI21" s="416"/>
      <c r="AJ21" s="416"/>
      <c r="AK21" s="416"/>
      <c r="AL21" s="416"/>
      <c r="AM21" s="416"/>
      <c r="AN21" s="416"/>
    </row>
    <row r="22" spans="1:98">
      <c r="A22" s="416"/>
      <c r="C22" s="416"/>
      <c r="D22" s="60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  <c r="Q22" s="416"/>
      <c r="R22" s="416"/>
      <c r="S22" s="416"/>
      <c r="T22" s="416"/>
      <c r="U22" s="416"/>
      <c r="V22" s="416"/>
      <c r="W22" s="416"/>
      <c r="Y22" s="416"/>
      <c r="Z22" s="416"/>
      <c r="AA22" s="416"/>
      <c r="AB22" s="416"/>
      <c r="AC22" s="416"/>
      <c r="AD22" s="416"/>
      <c r="AE22" s="416"/>
      <c r="AF22" s="416"/>
      <c r="AG22" s="416"/>
      <c r="AH22" s="416"/>
      <c r="AI22" s="416"/>
      <c r="AJ22" s="416"/>
      <c r="AK22" s="416"/>
      <c r="AL22" s="416"/>
      <c r="AM22" s="416"/>
      <c r="AN22" s="416"/>
    </row>
    <row r="23" spans="1:98">
      <c r="A23" s="416"/>
      <c r="C23" s="416"/>
      <c r="D23" s="60"/>
      <c r="E23" s="416"/>
      <c r="F23" s="416"/>
      <c r="G23" s="416"/>
      <c r="H23" s="416"/>
      <c r="I23" s="416"/>
      <c r="J23" s="416"/>
      <c r="K23" s="416"/>
      <c r="L23" s="416"/>
      <c r="M23" s="416"/>
      <c r="N23" s="416"/>
      <c r="O23" s="416"/>
      <c r="P23" s="416"/>
      <c r="Q23" s="416"/>
      <c r="R23" s="416"/>
      <c r="S23" s="416"/>
      <c r="T23" s="416"/>
      <c r="U23" s="416"/>
      <c r="V23" s="416"/>
      <c r="W23" s="416"/>
      <c r="Y23" s="416"/>
      <c r="Z23" s="416"/>
      <c r="AA23" s="416"/>
      <c r="AB23" s="416"/>
      <c r="AC23" s="416"/>
      <c r="AD23" s="416"/>
      <c r="AE23" s="416"/>
      <c r="AF23" s="416"/>
      <c r="AG23" s="416"/>
      <c r="AH23" s="416"/>
      <c r="AI23" s="416"/>
      <c r="AJ23" s="416"/>
      <c r="AK23" s="416"/>
      <c r="AL23" s="416"/>
      <c r="AM23" s="416"/>
      <c r="AN23" s="416"/>
    </row>
    <row r="24" spans="1:98">
      <c r="A24" s="416"/>
      <c r="C24" s="416"/>
      <c r="D24" s="60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  <c r="Q24" s="416"/>
      <c r="R24" s="416"/>
      <c r="S24" s="416"/>
      <c r="T24" s="416"/>
      <c r="U24" s="416"/>
      <c r="V24" s="416"/>
      <c r="W24" s="416"/>
      <c r="Y24" s="416"/>
      <c r="Z24" s="416"/>
      <c r="AA24" s="416"/>
      <c r="AB24" s="416"/>
      <c r="AC24" s="416"/>
      <c r="AD24" s="416"/>
      <c r="AE24" s="416"/>
      <c r="AF24" s="416"/>
      <c r="AG24" s="416"/>
      <c r="AH24" s="416"/>
      <c r="AI24" s="416"/>
      <c r="AJ24" s="416"/>
      <c r="AK24" s="416"/>
      <c r="AL24" s="416"/>
      <c r="AM24" s="416"/>
      <c r="AN24" s="416"/>
    </row>
    <row r="25" spans="1:98">
      <c r="A25" s="416"/>
      <c r="C25" s="416"/>
      <c r="D25" s="60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  <c r="Q25" s="416"/>
      <c r="R25" s="416"/>
      <c r="S25" s="416"/>
      <c r="T25" s="416"/>
      <c r="U25" s="416"/>
      <c r="V25" s="416"/>
      <c r="W25" s="416"/>
      <c r="Y25" s="416"/>
      <c r="Z25" s="416"/>
      <c r="AA25" s="416"/>
      <c r="AB25" s="416"/>
      <c r="AC25" s="416"/>
      <c r="AD25" s="416"/>
      <c r="AE25" s="416"/>
      <c r="AF25" s="416"/>
      <c r="AG25" s="416"/>
      <c r="AH25" s="416"/>
      <c r="AI25" s="416"/>
      <c r="AJ25" s="416"/>
      <c r="AK25" s="416"/>
      <c r="AL25" s="416"/>
      <c r="AM25" s="416"/>
      <c r="AN25" s="416"/>
    </row>
    <row r="26" spans="1:98">
      <c r="A26" s="416"/>
      <c r="C26" s="416"/>
      <c r="D26" s="60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  <c r="Q26" s="416"/>
      <c r="R26" s="416"/>
      <c r="S26" s="416"/>
      <c r="T26" s="416"/>
      <c r="U26" s="416"/>
      <c r="V26" s="416"/>
      <c r="W26" s="416"/>
      <c r="Y26" s="416"/>
      <c r="Z26" s="416"/>
      <c r="AA26" s="416"/>
      <c r="AB26" s="416"/>
      <c r="AC26" s="416"/>
      <c r="AD26" s="416"/>
      <c r="AE26" s="416"/>
      <c r="AF26" s="416"/>
      <c r="AG26" s="416"/>
      <c r="AH26" s="416"/>
      <c r="AI26" s="416"/>
      <c r="AJ26" s="416"/>
      <c r="AK26" s="416"/>
      <c r="AL26" s="416"/>
      <c r="AM26" s="416"/>
      <c r="AN26" s="416"/>
    </row>
    <row r="27" spans="1:98">
      <c r="A27" s="416"/>
      <c r="C27" s="416"/>
      <c r="D27" s="60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  <c r="Q27" s="416"/>
      <c r="R27" s="416"/>
      <c r="S27" s="416"/>
      <c r="T27" s="416"/>
      <c r="U27" s="416"/>
      <c r="V27" s="416"/>
      <c r="W27" s="416"/>
      <c r="X27" s="416"/>
      <c r="Y27" s="416"/>
      <c r="Z27" s="416"/>
      <c r="AA27" s="416"/>
      <c r="AB27" s="416"/>
      <c r="AC27" s="416"/>
      <c r="AD27" s="416"/>
      <c r="AE27" s="416"/>
      <c r="AF27" s="416"/>
      <c r="AG27" s="416"/>
      <c r="AH27" s="416"/>
      <c r="AI27" s="416"/>
      <c r="AJ27" s="416"/>
      <c r="AK27" s="416"/>
      <c r="AL27" s="416"/>
      <c r="AM27" s="416"/>
      <c r="AN27" s="416"/>
    </row>
    <row r="28" spans="1:98">
      <c r="A28" s="416"/>
      <c r="C28" s="416"/>
      <c r="D28" s="60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  <c r="Q28" s="416"/>
      <c r="R28" s="416"/>
      <c r="S28" s="416"/>
      <c r="T28" s="416"/>
      <c r="U28" s="416"/>
      <c r="V28" s="416"/>
      <c r="W28" s="416"/>
      <c r="X28" s="416"/>
      <c r="Y28" s="416"/>
      <c r="Z28" s="416"/>
      <c r="AA28" s="416"/>
      <c r="AB28" s="416"/>
      <c r="AC28" s="416"/>
      <c r="AD28" s="416"/>
      <c r="AE28" s="416"/>
      <c r="AF28" s="416"/>
      <c r="AG28" s="416"/>
      <c r="AH28" s="416"/>
      <c r="AI28" s="416"/>
      <c r="AJ28" s="416"/>
      <c r="AK28" s="416"/>
      <c r="AL28" s="416"/>
      <c r="AM28" s="416"/>
      <c r="AN28" s="416"/>
    </row>
    <row r="29" spans="1:98">
      <c r="A29" s="416"/>
      <c r="C29" s="416"/>
      <c r="D29" s="60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  <c r="Q29" s="416"/>
      <c r="R29" s="416"/>
      <c r="S29" s="416"/>
      <c r="T29" s="416"/>
      <c r="U29" s="416"/>
      <c r="V29" s="416"/>
      <c r="W29" s="416"/>
      <c r="X29" s="416"/>
      <c r="Y29" s="416"/>
      <c r="Z29" s="416"/>
      <c r="AA29" s="416"/>
      <c r="AB29" s="416"/>
      <c r="AC29" s="416"/>
      <c r="AD29" s="416"/>
      <c r="AE29" s="416"/>
      <c r="AF29" s="416"/>
      <c r="AG29" s="416"/>
      <c r="AH29" s="416"/>
      <c r="AI29" s="416"/>
      <c r="AJ29" s="416"/>
      <c r="AK29" s="416"/>
      <c r="AL29" s="416"/>
      <c r="AM29" s="416"/>
      <c r="AN29" s="416"/>
    </row>
    <row r="30" spans="1:98">
      <c r="A30" s="416"/>
      <c r="C30" s="416"/>
      <c r="D30" s="60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  <c r="Q30" s="416"/>
      <c r="R30" s="416"/>
      <c r="S30" s="416"/>
      <c r="T30" s="416"/>
      <c r="U30" s="416"/>
      <c r="V30" s="416"/>
      <c r="W30" s="416"/>
      <c r="X30" s="416"/>
      <c r="Y30" s="416"/>
      <c r="Z30" s="416"/>
      <c r="AA30" s="416"/>
      <c r="AB30" s="416"/>
      <c r="AC30" s="416"/>
      <c r="AD30" s="416"/>
      <c r="AE30" s="416"/>
      <c r="AF30" s="416"/>
      <c r="AG30" s="416"/>
      <c r="AH30" s="416"/>
      <c r="AI30" s="416"/>
      <c r="AJ30" s="416"/>
      <c r="AK30" s="416"/>
      <c r="AL30" s="416"/>
      <c r="AM30" s="416"/>
      <c r="AN30" s="416"/>
    </row>
    <row r="31" spans="1:98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  <c r="Q31" s="416"/>
      <c r="R31" s="416"/>
      <c r="S31" s="416"/>
      <c r="T31" s="416"/>
      <c r="U31" s="416"/>
      <c r="V31" s="416"/>
      <c r="W31" s="416"/>
      <c r="X31" s="416"/>
      <c r="Y31" s="416"/>
      <c r="Z31" s="416"/>
      <c r="AA31" s="416"/>
      <c r="AB31" s="416"/>
      <c r="AC31" s="416"/>
      <c r="AD31" s="416"/>
      <c r="AE31" s="416"/>
      <c r="AF31" s="416"/>
      <c r="AG31" s="416"/>
      <c r="AH31" s="416"/>
      <c r="AI31" s="416"/>
      <c r="AJ31" s="416"/>
      <c r="AK31" s="416"/>
      <c r="AL31" s="416"/>
      <c r="AM31" s="416"/>
      <c r="AN31" s="416"/>
    </row>
    <row r="32" spans="1:98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  <c r="Q32" s="416"/>
      <c r="R32" s="416"/>
      <c r="S32" s="416"/>
      <c r="T32" s="416"/>
      <c r="U32" s="416"/>
      <c r="V32" s="416"/>
      <c r="W32" s="416"/>
      <c r="X32" s="416"/>
      <c r="Y32" s="416"/>
      <c r="Z32" s="416"/>
      <c r="AA32" s="416"/>
      <c r="AB32" s="416"/>
      <c r="AC32" s="416"/>
      <c r="AD32" s="416"/>
      <c r="AE32" s="416"/>
      <c r="AF32" s="416"/>
      <c r="AG32" s="416"/>
      <c r="AH32" s="416"/>
      <c r="AI32" s="416"/>
      <c r="AJ32" s="416"/>
      <c r="AK32" s="416"/>
      <c r="AL32" s="416"/>
      <c r="AM32" s="416"/>
      <c r="AN32" s="416"/>
    </row>
    <row r="33" spans="1:40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  <c r="Q33" s="416"/>
      <c r="R33" s="416"/>
      <c r="S33" s="416"/>
      <c r="T33" s="416"/>
      <c r="U33" s="416"/>
      <c r="V33" s="416"/>
      <c r="W33" s="416"/>
      <c r="X33" s="416"/>
      <c r="Y33" s="416"/>
      <c r="Z33" s="416"/>
      <c r="AA33" s="416"/>
      <c r="AB33" s="416"/>
      <c r="AC33" s="416"/>
      <c r="AD33" s="416"/>
      <c r="AE33" s="416"/>
      <c r="AF33" s="416"/>
      <c r="AG33" s="416"/>
      <c r="AH33" s="416"/>
      <c r="AI33" s="416"/>
      <c r="AJ33" s="416"/>
      <c r="AK33" s="416"/>
      <c r="AL33" s="416"/>
      <c r="AM33" s="416"/>
      <c r="AN33" s="416"/>
    </row>
    <row r="34" spans="1:40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  <c r="Q34" s="416"/>
      <c r="R34" s="416"/>
      <c r="S34" s="416"/>
      <c r="T34" s="416"/>
      <c r="U34" s="416"/>
      <c r="V34" s="416"/>
      <c r="W34" s="416"/>
      <c r="X34" s="416"/>
      <c r="Y34" s="416"/>
      <c r="Z34" s="416"/>
      <c r="AA34" s="416"/>
      <c r="AB34" s="416"/>
      <c r="AC34" s="416"/>
      <c r="AD34" s="416"/>
      <c r="AE34" s="416"/>
      <c r="AF34" s="416"/>
      <c r="AG34" s="416"/>
      <c r="AH34" s="416"/>
      <c r="AI34" s="416"/>
      <c r="AJ34" s="416"/>
      <c r="AK34" s="416"/>
      <c r="AL34" s="416"/>
      <c r="AM34" s="416"/>
      <c r="AN34" s="416"/>
    </row>
    <row r="35" spans="1:40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  <c r="Q35" s="416"/>
      <c r="R35" s="416"/>
      <c r="S35" s="416"/>
      <c r="T35" s="416"/>
      <c r="U35" s="416"/>
      <c r="V35" s="416"/>
      <c r="W35" s="416"/>
      <c r="X35" s="416"/>
      <c r="Y35" s="416"/>
      <c r="Z35" s="416"/>
      <c r="AA35" s="416"/>
      <c r="AB35" s="416"/>
      <c r="AC35" s="416"/>
      <c r="AD35" s="416"/>
      <c r="AE35" s="416"/>
      <c r="AF35" s="416"/>
      <c r="AG35" s="416"/>
      <c r="AH35" s="416"/>
      <c r="AI35" s="416"/>
      <c r="AJ35" s="416"/>
      <c r="AK35" s="416"/>
      <c r="AL35" s="416"/>
      <c r="AM35" s="416"/>
      <c r="AN35" s="416"/>
    </row>
    <row r="36" spans="1:40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  <c r="Q36" s="416"/>
      <c r="R36" s="416"/>
      <c r="S36" s="416"/>
      <c r="T36" s="416"/>
      <c r="U36" s="416"/>
      <c r="V36" s="416"/>
      <c r="W36" s="416"/>
      <c r="X36" s="416"/>
      <c r="Y36" s="416"/>
      <c r="Z36" s="416"/>
      <c r="AA36" s="416"/>
      <c r="AB36" s="416"/>
      <c r="AC36" s="416"/>
      <c r="AD36" s="416"/>
      <c r="AE36" s="416"/>
      <c r="AF36" s="416"/>
      <c r="AG36" s="416"/>
      <c r="AH36" s="416"/>
      <c r="AI36" s="416"/>
      <c r="AJ36" s="416"/>
      <c r="AK36" s="416"/>
      <c r="AL36" s="416"/>
      <c r="AM36" s="416"/>
      <c r="AN36" s="416"/>
    </row>
    <row r="37" spans="1:40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  <c r="Q37" s="416"/>
      <c r="R37" s="416"/>
      <c r="S37" s="416"/>
      <c r="T37" s="416"/>
      <c r="U37" s="416"/>
      <c r="V37" s="416"/>
      <c r="W37" s="416"/>
      <c r="X37" s="416"/>
      <c r="Y37" s="416"/>
      <c r="Z37" s="416"/>
      <c r="AA37" s="416"/>
      <c r="AB37" s="416"/>
      <c r="AC37" s="416"/>
      <c r="AD37" s="416"/>
      <c r="AE37" s="416"/>
      <c r="AF37" s="416"/>
      <c r="AG37" s="416"/>
      <c r="AH37" s="416"/>
      <c r="AI37" s="416"/>
      <c r="AJ37" s="416"/>
      <c r="AK37" s="416"/>
      <c r="AL37" s="416"/>
      <c r="AM37" s="416"/>
      <c r="AN37" s="416"/>
    </row>
    <row r="38" spans="1:40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  <c r="Q38" s="416"/>
      <c r="R38" s="416"/>
      <c r="S38" s="416"/>
      <c r="T38" s="416"/>
      <c r="U38" s="416"/>
      <c r="V38" s="416"/>
      <c r="W38" s="416"/>
      <c r="X38" s="416"/>
      <c r="Y38" s="416"/>
      <c r="Z38" s="416"/>
      <c r="AA38" s="416"/>
      <c r="AB38" s="416"/>
      <c r="AC38" s="416"/>
      <c r="AD38" s="416"/>
      <c r="AE38" s="416"/>
      <c r="AF38" s="416"/>
      <c r="AG38" s="416"/>
      <c r="AH38" s="416"/>
      <c r="AI38" s="416"/>
      <c r="AJ38" s="416"/>
      <c r="AK38" s="416"/>
      <c r="AL38" s="416"/>
      <c r="AM38" s="416"/>
      <c r="AN38" s="416"/>
    </row>
    <row r="39" spans="1:40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  <c r="Q39" s="416"/>
      <c r="R39" s="416"/>
      <c r="S39" s="416"/>
      <c r="T39" s="416"/>
      <c r="U39" s="416"/>
      <c r="V39" s="416"/>
      <c r="W39" s="416"/>
      <c r="X39" s="416"/>
      <c r="Y39" s="416"/>
      <c r="Z39" s="416"/>
      <c r="AA39" s="416"/>
      <c r="AB39" s="416"/>
      <c r="AC39" s="416"/>
      <c r="AD39" s="416"/>
      <c r="AE39" s="416"/>
      <c r="AF39" s="416"/>
      <c r="AG39" s="416"/>
      <c r="AH39" s="416"/>
      <c r="AI39" s="416"/>
      <c r="AJ39" s="416"/>
      <c r="AK39" s="416"/>
      <c r="AL39" s="416"/>
      <c r="AM39" s="416"/>
      <c r="AN39" s="416"/>
    </row>
    <row r="40" spans="1:40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  <c r="Q40" s="416"/>
      <c r="R40" s="416"/>
      <c r="S40" s="416"/>
      <c r="T40" s="416"/>
      <c r="U40" s="416"/>
      <c r="V40" s="416"/>
      <c r="W40" s="416"/>
      <c r="X40" s="416"/>
      <c r="Y40" s="416"/>
      <c r="Z40" s="416"/>
      <c r="AA40" s="416"/>
      <c r="AB40" s="416"/>
      <c r="AC40" s="416"/>
      <c r="AD40" s="416"/>
      <c r="AE40" s="416"/>
      <c r="AF40" s="416"/>
      <c r="AG40" s="416"/>
      <c r="AH40" s="416"/>
      <c r="AI40" s="416"/>
      <c r="AJ40" s="416"/>
      <c r="AK40" s="416"/>
      <c r="AL40" s="416"/>
      <c r="AM40" s="416"/>
      <c r="AN40" s="416"/>
    </row>
    <row r="41" spans="1:40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  <c r="Q41" s="416"/>
      <c r="R41" s="416"/>
      <c r="S41" s="416"/>
      <c r="T41" s="416"/>
      <c r="U41" s="416"/>
      <c r="V41" s="416"/>
      <c r="W41" s="416"/>
      <c r="X41" s="416"/>
      <c r="Y41" s="416"/>
      <c r="Z41" s="416"/>
      <c r="AA41" s="416"/>
      <c r="AB41" s="416"/>
      <c r="AC41" s="416"/>
      <c r="AD41" s="416"/>
      <c r="AE41" s="416"/>
      <c r="AF41" s="416"/>
      <c r="AG41" s="416"/>
      <c r="AH41" s="416"/>
      <c r="AI41" s="416"/>
      <c r="AJ41" s="416"/>
      <c r="AK41" s="416"/>
      <c r="AL41" s="416"/>
      <c r="AM41" s="416"/>
      <c r="AN41" s="416"/>
    </row>
    <row r="42" spans="1:40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  <c r="Q42" s="416"/>
      <c r="R42" s="416"/>
      <c r="S42" s="416"/>
      <c r="T42" s="416"/>
      <c r="U42" s="416"/>
      <c r="V42" s="416"/>
      <c r="W42" s="416"/>
      <c r="X42" s="416"/>
      <c r="Y42" s="416"/>
      <c r="Z42" s="416"/>
      <c r="AA42" s="416"/>
      <c r="AB42" s="416"/>
      <c r="AC42" s="416"/>
      <c r="AD42" s="416"/>
      <c r="AE42" s="416"/>
      <c r="AF42" s="416"/>
      <c r="AG42" s="416"/>
      <c r="AH42" s="416"/>
      <c r="AI42" s="416"/>
      <c r="AJ42" s="416"/>
      <c r="AK42" s="416"/>
      <c r="AL42" s="416"/>
      <c r="AM42" s="416"/>
      <c r="AN42" s="416"/>
    </row>
    <row r="43" spans="1:40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  <c r="Q43" s="416"/>
      <c r="R43" s="416"/>
      <c r="S43" s="416"/>
      <c r="T43" s="416"/>
      <c r="U43" s="416"/>
      <c r="V43" s="416"/>
      <c r="W43" s="416"/>
      <c r="X43" s="416"/>
      <c r="Y43" s="416"/>
      <c r="Z43" s="416"/>
      <c r="AA43" s="416"/>
      <c r="AB43" s="416"/>
      <c r="AC43" s="416"/>
      <c r="AD43" s="416"/>
      <c r="AE43" s="416"/>
      <c r="AF43" s="416"/>
      <c r="AG43" s="416"/>
      <c r="AH43" s="416"/>
      <c r="AI43" s="416"/>
      <c r="AJ43" s="416"/>
      <c r="AK43" s="416"/>
      <c r="AL43" s="416"/>
      <c r="AM43" s="416"/>
      <c r="AN43" s="416"/>
    </row>
    <row r="44" spans="1:40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  <c r="Q44" s="416"/>
      <c r="R44" s="416"/>
      <c r="S44" s="416"/>
      <c r="T44" s="416"/>
      <c r="U44" s="416"/>
      <c r="V44" s="416"/>
      <c r="W44" s="416"/>
      <c r="X44" s="416"/>
      <c r="Y44" s="416"/>
      <c r="Z44" s="416"/>
      <c r="AA44" s="416"/>
      <c r="AB44" s="416"/>
      <c r="AC44" s="416"/>
      <c r="AD44" s="416"/>
      <c r="AE44" s="416"/>
      <c r="AF44" s="416"/>
      <c r="AG44" s="416"/>
      <c r="AH44" s="416"/>
      <c r="AI44" s="416"/>
      <c r="AJ44" s="416"/>
      <c r="AK44" s="416"/>
      <c r="AL44" s="416"/>
      <c r="AM44" s="416"/>
      <c r="AN44" s="416"/>
    </row>
    <row r="45" spans="1:40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  <c r="Q45" s="416"/>
      <c r="R45" s="416"/>
      <c r="S45" s="416"/>
      <c r="T45" s="416"/>
      <c r="U45" s="416"/>
      <c r="V45" s="416"/>
      <c r="W45" s="416"/>
      <c r="X45" s="416"/>
      <c r="Y45" s="416"/>
      <c r="Z45" s="416"/>
      <c r="AA45" s="416"/>
      <c r="AB45" s="416"/>
      <c r="AC45" s="416"/>
      <c r="AD45" s="416"/>
      <c r="AE45" s="416"/>
      <c r="AF45" s="416"/>
      <c r="AG45" s="416"/>
      <c r="AH45" s="416"/>
      <c r="AI45" s="416"/>
      <c r="AJ45" s="416"/>
      <c r="AK45" s="416"/>
      <c r="AL45" s="416"/>
      <c r="AM45" s="416"/>
      <c r="AN45" s="416"/>
    </row>
    <row r="46" spans="1:40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  <c r="Q46" s="416"/>
      <c r="R46" s="416"/>
      <c r="S46" s="416"/>
      <c r="T46" s="416"/>
      <c r="U46" s="416"/>
      <c r="V46" s="416"/>
      <c r="W46" s="416"/>
      <c r="X46" s="416"/>
      <c r="Y46" s="416"/>
      <c r="Z46" s="416"/>
      <c r="AA46" s="416"/>
      <c r="AB46" s="416"/>
      <c r="AC46" s="416"/>
      <c r="AD46" s="416"/>
      <c r="AE46" s="416"/>
      <c r="AF46" s="416"/>
      <c r="AG46" s="416"/>
      <c r="AH46" s="416"/>
      <c r="AI46" s="416"/>
      <c r="AJ46" s="416"/>
      <c r="AK46" s="416"/>
      <c r="AL46" s="416"/>
      <c r="AM46" s="416"/>
      <c r="AN46" s="416"/>
    </row>
    <row r="47" spans="1:40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  <c r="Q47" s="416"/>
      <c r="R47" s="416"/>
      <c r="S47" s="416"/>
      <c r="T47" s="416"/>
      <c r="U47" s="416"/>
      <c r="V47" s="416"/>
      <c r="W47" s="416"/>
      <c r="X47" s="416"/>
      <c r="Y47" s="416"/>
      <c r="Z47" s="416"/>
      <c r="AA47" s="416"/>
      <c r="AB47" s="416"/>
      <c r="AC47" s="416"/>
      <c r="AD47" s="416"/>
      <c r="AE47" s="416"/>
      <c r="AF47" s="416"/>
      <c r="AG47" s="416"/>
      <c r="AH47" s="416"/>
      <c r="AI47" s="416"/>
      <c r="AJ47" s="416"/>
      <c r="AK47" s="416"/>
      <c r="AL47" s="416"/>
      <c r="AM47" s="416"/>
      <c r="AN47" s="416"/>
    </row>
    <row r="48" spans="1:40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  <c r="Q48" s="416"/>
      <c r="R48" s="416"/>
      <c r="S48" s="416"/>
      <c r="T48" s="416"/>
      <c r="U48" s="416"/>
      <c r="V48" s="416"/>
      <c r="W48" s="416"/>
      <c r="X48" s="416"/>
      <c r="Y48" s="416"/>
      <c r="Z48" s="416"/>
      <c r="AA48" s="416"/>
      <c r="AB48" s="416"/>
      <c r="AC48" s="416"/>
      <c r="AD48" s="416"/>
      <c r="AE48" s="416"/>
      <c r="AF48" s="416"/>
      <c r="AG48" s="416"/>
      <c r="AH48" s="416"/>
      <c r="AI48" s="416"/>
      <c r="AJ48" s="416"/>
      <c r="AK48" s="416"/>
      <c r="AL48" s="416"/>
      <c r="AM48" s="416"/>
      <c r="AN48" s="416"/>
    </row>
    <row r="49" spans="1:40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  <c r="Q49" s="416"/>
      <c r="R49" s="416"/>
      <c r="S49" s="416"/>
      <c r="T49" s="416"/>
      <c r="U49" s="416"/>
      <c r="V49" s="416"/>
      <c r="W49" s="416"/>
      <c r="X49" s="416"/>
      <c r="Y49" s="416"/>
      <c r="Z49" s="416"/>
      <c r="AA49" s="416"/>
      <c r="AB49" s="416"/>
      <c r="AC49" s="416"/>
      <c r="AD49" s="416"/>
      <c r="AE49" s="416"/>
      <c r="AF49" s="416"/>
      <c r="AG49" s="416"/>
      <c r="AH49" s="416"/>
      <c r="AI49" s="416"/>
      <c r="AJ49" s="416"/>
      <c r="AK49" s="416"/>
      <c r="AL49" s="416"/>
      <c r="AM49" s="416"/>
      <c r="AN49" s="416"/>
    </row>
    <row r="50" spans="1:40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6"/>
      <c r="AB50" s="416"/>
      <c r="AC50" s="416"/>
      <c r="AD50" s="416"/>
      <c r="AE50" s="416"/>
      <c r="AF50" s="416"/>
      <c r="AG50" s="416"/>
      <c r="AH50" s="416"/>
      <c r="AI50" s="416"/>
      <c r="AJ50" s="416"/>
      <c r="AK50" s="416"/>
      <c r="AL50" s="416"/>
      <c r="AM50" s="416"/>
      <c r="AN50" s="416"/>
    </row>
    <row r="51" spans="1:40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  <c r="Q51" s="416"/>
      <c r="R51" s="416"/>
      <c r="S51" s="416"/>
      <c r="T51" s="416"/>
      <c r="U51" s="416"/>
      <c r="V51" s="416"/>
      <c r="W51" s="416"/>
      <c r="X51" s="416"/>
      <c r="Y51" s="416"/>
      <c r="Z51" s="416"/>
      <c r="AA51" s="416"/>
      <c r="AB51" s="416"/>
      <c r="AC51" s="416"/>
      <c r="AD51" s="416"/>
      <c r="AE51" s="416"/>
      <c r="AF51" s="416"/>
      <c r="AG51" s="416"/>
      <c r="AH51" s="416"/>
      <c r="AI51" s="416"/>
      <c r="AJ51" s="416"/>
      <c r="AK51" s="416"/>
      <c r="AL51" s="416"/>
      <c r="AM51" s="416"/>
      <c r="AN51" s="416"/>
    </row>
    <row r="52" spans="1:40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  <c r="Q52" s="416"/>
      <c r="R52" s="416"/>
      <c r="S52" s="416"/>
      <c r="T52" s="416"/>
      <c r="U52" s="416"/>
      <c r="V52" s="416"/>
      <c r="W52" s="416"/>
      <c r="X52" s="416"/>
      <c r="Y52" s="416"/>
      <c r="Z52" s="416"/>
      <c r="AA52" s="416"/>
      <c r="AB52" s="416"/>
      <c r="AC52" s="416"/>
      <c r="AD52" s="416"/>
      <c r="AE52" s="416"/>
      <c r="AF52" s="416"/>
      <c r="AG52" s="416"/>
      <c r="AH52" s="416"/>
      <c r="AI52" s="416"/>
      <c r="AJ52" s="416"/>
      <c r="AK52" s="416"/>
      <c r="AL52" s="416"/>
      <c r="AM52" s="416"/>
      <c r="AN52" s="416"/>
    </row>
    <row r="53" spans="1:40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  <c r="Q53" s="416"/>
      <c r="R53" s="416"/>
      <c r="S53" s="416"/>
      <c r="T53" s="416"/>
      <c r="U53" s="416"/>
      <c r="V53" s="416"/>
      <c r="W53" s="416"/>
      <c r="X53" s="416"/>
      <c r="Y53" s="416"/>
      <c r="Z53" s="416"/>
      <c r="AA53" s="416"/>
      <c r="AB53" s="416"/>
      <c r="AC53" s="416"/>
      <c r="AD53" s="416"/>
      <c r="AE53" s="416"/>
      <c r="AF53" s="416"/>
      <c r="AG53" s="416"/>
      <c r="AH53" s="416"/>
      <c r="AI53" s="416"/>
      <c r="AJ53" s="416"/>
      <c r="AK53" s="416"/>
      <c r="AL53" s="416"/>
      <c r="AM53" s="416"/>
      <c r="AN53" s="416"/>
    </row>
    <row r="54" spans="1:40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  <c r="Q54" s="416"/>
      <c r="R54" s="416"/>
      <c r="S54" s="416"/>
      <c r="T54" s="416"/>
      <c r="U54" s="416"/>
      <c r="V54" s="416"/>
      <c r="W54" s="416"/>
      <c r="X54" s="416"/>
      <c r="Y54" s="416"/>
      <c r="Z54" s="416"/>
      <c r="AA54" s="416"/>
      <c r="AB54" s="416"/>
      <c r="AC54" s="416"/>
      <c r="AD54" s="416"/>
      <c r="AE54" s="416"/>
      <c r="AF54" s="416"/>
      <c r="AG54" s="416"/>
      <c r="AH54" s="416"/>
      <c r="AI54" s="416"/>
      <c r="AJ54" s="416"/>
      <c r="AK54" s="416"/>
      <c r="AL54" s="416"/>
      <c r="AM54" s="416"/>
      <c r="AN54" s="416"/>
    </row>
    <row r="55" spans="1:40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  <c r="Q55" s="416"/>
      <c r="R55" s="416"/>
      <c r="S55" s="416"/>
      <c r="T55" s="416"/>
      <c r="U55" s="416"/>
      <c r="V55" s="416"/>
      <c r="W55" s="416"/>
      <c r="X55" s="416"/>
      <c r="Y55" s="416"/>
      <c r="Z55" s="416"/>
      <c r="AA55" s="416"/>
      <c r="AB55" s="416"/>
      <c r="AC55" s="416"/>
      <c r="AD55" s="416"/>
      <c r="AE55" s="416"/>
      <c r="AF55" s="416"/>
      <c r="AG55" s="416"/>
      <c r="AH55" s="416"/>
      <c r="AI55" s="416"/>
      <c r="AJ55" s="416"/>
      <c r="AK55" s="416"/>
      <c r="AL55" s="416"/>
      <c r="AM55" s="416"/>
      <c r="AN55" s="416"/>
    </row>
    <row r="56" spans="1:40">
      <c r="A56" s="416"/>
      <c r="B56" s="416"/>
      <c r="C56" s="416"/>
      <c r="D56" s="416"/>
      <c r="E56" s="416"/>
      <c r="F56" s="416"/>
      <c r="G56" s="416"/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/>
      <c r="U56" s="416"/>
      <c r="V56" s="416"/>
      <c r="W56" s="416"/>
      <c r="X56" s="416"/>
      <c r="Y56" s="416"/>
      <c r="Z56" s="416"/>
      <c r="AA56" s="416"/>
      <c r="AB56" s="416"/>
      <c r="AC56" s="416"/>
      <c r="AD56" s="416"/>
      <c r="AE56" s="416"/>
      <c r="AF56" s="416"/>
      <c r="AG56" s="416"/>
      <c r="AH56" s="416"/>
      <c r="AI56" s="416"/>
      <c r="AJ56" s="416"/>
      <c r="AK56" s="416"/>
      <c r="AL56" s="416"/>
      <c r="AM56" s="416"/>
      <c r="AN56" s="416"/>
    </row>
    <row r="57" spans="1:40">
      <c r="A57" s="416"/>
      <c r="B57" s="416"/>
      <c r="C57" s="416"/>
      <c r="D57" s="416"/>
      <c r="E57" s="416"/>
      <c r="F57" s="416"/>
      <c r="G57" s="416"/>
      <c r="H57" s="416"/>
      <c r="I57" s="416"/>
      <c r="J57" s="416"/>
      <c r="K57" s="416"/>
      <c r="L57" s="416"/>
      <c r="M57" s="416"/>
      <c r="N57" s="416"/>
      <c r="O57" s="416"/>
      <c r="P57" s="416"/>
      <c r="Q57" s="416"/>
      <c r="R57" s="416"/>
      <c r="S57" s="416"/>
      <c r="T57" s="416"/>
      <c r="U57" s="416"/>
      <c r="V57" s="416"/>
      <c r="W57" s="416"/>
      <c r="X57" s="416"/>
      <c r="Y57" s="416"/>
      <c r="Z57" s="416"/>
      <c r="AA57" s="416"/>
      <c r="AB57" s="416"/>
      <c r="AC57" s="416"/>
      <c r="AD57" s="416"/>
      <c r="AE57" s="416"/>
      <c r="AF57" s="416"/>
      <c r="AG57" s="416"/>
      <c r="AH57" s="416"/>
      <c r="AI57" s="416"/>
      <c r="AJ57" s="416"/>
      <c r="AK57" s="416"/>
      <c r="AL57" s="416"/>
      <c r="AM57" s="416"/>
      <c r="AN57" s="416"/>
    </row>
    <row r="58" spans="1:40">
      <c r="A58" s="416"/>
      <c r="B58" s="416"/>
      <c r="C58" s="416"/>
      <c r="D58" s="416"/>
      <c r="E58" s="416"/>
      <c r="F58" s="416"/>
      <c r="G58" s="416"/>
      <c r="H58" s="416"/>
      <c r="I58" s="416"/>
      <c r="J58" s="416"/>
      <c r="K58" s="416"/>
      <c r="L58" s="416"/>
      <c r="M58" s="416"/>
      <c r="N58" s="416"/>
      <c r="O58" s="416"/>
      <c r="P58" s="416"/>
      <c r="Q58" s="416"/>
      <c r="R58" s="416"/>
      <c r="S58" s="416"/>
      <c r="T58" s="416"/>
      <c r="U58" s="416"/>
      <c r="V58" s="416"/>
      <c r="W58" s="416"/>
      <c r="X58" s="416"/>
      <c r="Y58" s="416"/>
      <c r="Z58" s="416"/>
      <c r="AA58" s="416"/>
      <c r="AB58" s="416"/>
      <c r="AC58" s="416"/>
      <c r="AD58" s="416"/>
      <c r="AE58" s="416"/>
      <c r="AF58" s="416"/>
      <c r="AG58" s="416"/>
      <c r="AH58" s="416"/>
      <c r="AI58" s="416"/>
      <c r="AJ58" s="416"/>
      <c r="AK58" s="416"/>
      <c r="AL58" s="416"/>
      <c r="AM58" s="416"/>
      <c r="AN58" s="416"/>
    </row>
    <row r="59" spans="1:40">
      <c r="A59" s="416"/>
      <c r="B59" s="416"/>
      <c r="C59" s="416"/>
      <c r="D59" s="416"/>
      <c r="E59" s="416"/>
      <c r="F59" s="416"/>
      <c r="G59" s="416"/>
      <c r="H59" s="416"/>
      <c r="I59" s="416"/>
      <c r="J59" s="416"/>
      <c r="K59" s="416"/>
      <c r="L59" s="416"/>
      <c r="M59" s="416"/>
      <c r="N59" s="416"/>
      <c r="O59" s="416"/>
      <c r="P59" s="416"/>
      <c r="Q59" s="416"/>
      <c r="R59" s="416"/>
      <c r="S59" s="416"/>
      <c r="T59" s="416"/>
      <c r="U59" s="416"/>
      <c r="V59" s="416"/>
      <c r="W59" s="416"/>
      <c r="X59" s="416"/>
      <c r="Y59" s="416"/>
      <c r="Z59" s="416"/>
      <c r="AA59" s="416"/>
      <c r="AB59" s="416"/>
      <c r="AC59" s="416"/>
      <c r="AD59" s="416"/>
      <c r="AE59" s="416"/>
      <c r="AF59" s="416"/>
      <c r="AG59" s="416"/>
      <c r="AH59" s="416"/>
      <c r="AI59" s="416"/>
      <c r="AJ59" s="416"/>
      <c r="AK59" s="416"/>
      <c r="AL59" s="416"/>
      <c r="AM59" s="416"/>
      <c r="AN59" s="416"/>
    </row>
    <row r="60" spans="1:40">
      <c r="A60" s="416"/>
      <c r="B60" s="416"/>
      <c r="C60" s="416"/>
      <c r="D60" s="416"/>
      <c r="E60" s="416"/>
      <c r="F60" s="416"/>
      <c r="G60" s="416"/>
      <c r="H60" s="416"/>
      <c r="I60" s="416"/>
      <c r="J60" s="416"/>
      <c r="K60" s="416"/>
      <c r="L60" s="416"/>
      <c r="M60" s="416"/>
      <c r="N60" s="416"/>
      <c r="O60" s="416"/>
      <c r="P60" s="416"/>
      <c r="Q60" s="416"/>
      <c r="R60" s="416"/>
      <c r="S60" s="416"/>
      <c r="T60" s="416"/>
      <c r="U60" s="416"/>
      <c r="V60" s="416"/>
      <c r="W60" s="416"/>
      <c r="X60" s="416"/>
      <c r="Y60" s="416"/>
      <c r="Z60" s="416"/>
      <c r="AA60" s="416"/>
      <c r="AB60" s="416"/>
      <c r="AC60" s="416"/>
      <c r="AD60" s="416"/>
      <c r="AE60" s="416"/>
      <c r="AF60" s="416"/>
      <c r="AG60" s="416"/>
      <c r="AH60" s="416"/>
      <c r="AI60" s="416"/>
      <c r="AJ60" s="416"/>
      <c r="AK60" s="416"/>
      <c r="AL60" s="416"/>
      <c r="AM60" s="416"/>
      <c r="AN60" s="416"/>
    </row>
    <row r="61" spans="1:40">
      <c r="A61" s="416"/>
      <c r="B61" s="416"/>
      <c r="C61" s="416"/>
      <c r="D61" s="416"/>
      <c r="E61" s="416"/>
      <c r="F61" s="416"/>
      <c r="G61" s="416"/>
      <c r="H61" s="416"/>
      <c r="I61" s="416"/>
      <c r="J61" s="416"/>
      <c r="K61" s="416"/>
      <c r="L61" s="416"/>
      <c r="M61" s="416"/>
      <c r="N61" s="41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  <c r="AE61" s="416"/>
      <c r="AF61" s="416"/>
      <c r="AG61" s="416"/>
      <c r="AH61" s="416"/>
      <c r="AI61" s="416"/>
      <c r="AJ61" s="416"/>
      <c r="AK61" s="416"/>
      <c r="AL61" s="416"/>
      <c r="AM61" s="416"/>
      <c r="AN61" s="416"/>
    </row>
    <row r="62" spans="1:40">
      <c r="A62" s="416"/>
      <c r="B62" s="416"/>
      <c r="C62" s="416"/>
      <c r="D62" s="416"/>
      <c r="E62" s="416"/>
      <c r="F62" s="416"/>
      <c r="G62" s="416"/>
      <c r="H62" s="416"/>
      <c r="I62" s="416"/>
      <c r="J62" s="416"/>
      <c r="K62" s="416"/>
      <c r="L62" s="416"/>
      <c r="M62" s="416"/>
      <c r="N62" s="416"/>
      <c r="O62" s="416"/>
      <c r="P62" s="416"/>
      <c r="Q62" s="416"/>
      <c r="R62" s="416"/>
      <c r="S62" s="416"/>
      <c r="T62" s="416"/>
      <c r="U62" s="416"/>
      <c r="V62" s="416"/>
      <c r="W62" s="416"/>
      <c r="X62" s="416"/>
      <c r="Y62" s="416"/>
      <c r="Z62" s="416"/>
      <c r="AA62" s="416"/>
      <c r="AB62" s="416"/>
      <c r="AC62" s="416"/>
      <c r="AD62" s="416"/>
      <c r="AE62" s="416"/>
      <c r="AF62" s="416"/>
      <c r="AG62" s="416"/>
      <c r="AH62" s="416"/>
      <c r="AI62" s="416"/>
      <c r="AJ62" s="416"/>
      <c r="AK62" s="416"/>
      <c r="AL62" s="416"/>
      <c r="AM62" s="416"/>
      <c r="AN62" s="416"/>
    </row>
    <row r="63" spans="1:40">
      <c r="A63" s="416"/>
      <c r="B63" s="416"/>
      <c r="C63" s="416"/>
      <c r="D63" s="416"/>
      <c r="E63" s="416"/>
      <c r="F63" s="416"/>
      <c r="G63" s="416"/>
      <c r="H63" s="416"/>
      <c r="I63" s="416"/>
      <c r="J63" s="416"/>
      <c r="K63" s="416"/>
      <c r="L63" s="416"/>
      <c r="M63" s="416"/>
      <c r="N63" s="416"/>
      <c r="O63" s="416"/>
      <c r="P63" s="416"/>
      <c r="Q63" s="416"/>
      <c r="R63" s="416"/>
      <c r="S63" s="416"/>
      <c r="T63" s="416"/>
      <c r="U63" s="416"/>
      <c r="V63" s="416"/>
      <c r="W63" s="416"/>
      <c r="X63" s="416"/>
      <c r="Y63" s="416"/>
      <c r="Z63" s="416"/>
      <c r="AA63" s="416"/>
      <c r="AB63" s="416"/>
      <c r="AC63" s="416"/>
      <c r="AD63" s="416"/>
      <c r="AE63" s="416"/>
      <c r="AF63" s="416"/>
      <c r="AG63" s="416"/>
      <c r="AH63" s="416"/>
      <c r="AI63" s="416"/>
      <c r="AJ63" s="416"/>
      <c r="AK63" s="416"/>
      <c r="AL63" s="416"/>
      <c r="AM63" s="416"/>
      <c r="AN63" s="416"/>
    </row>
    <row r="64" spans="1:40">
      <c r="A64" s="416"/>
      <c r="B64" s="416"/>
      <c r="C64" s="416"/>
      <c r="D64" s="416"/>
      <c r="E64" s="416"/>
      <c r="F64" s="416"/>
      <c r="G64" s="416"/>
      <c r="H64" s="416"/>
      <c r="I64" s="416"/>
      <c r="J64" s="416"/>
      <c r="K64" s="416"/>
      <c r="L64" s="416"/>
      <c r="M64" s="416"/>
      <c r="N64" s="416"/>
      <c r="O64" s="416"/>
      <c r="P64" s="416"/>
      <c r="Q64" s="416"/>
      <c r="R64" s="416"/>
      <c r="S64" s="416"/>
      <c r="T64" s="416"/>
      <c r="U64" s="416"/>
      <c r="V64" s="416"/>
      <c r="W64" s="416"/>
      <c r="X64" s="416"/>
      <c r="Y64" s="416"/>
      <c r="Z64" s="416"/>
      <c r="AA64" s="416"/>
      <c r="AB64" s="416"/>
      <c r="AC64" s="416"/>
      <c r="AD64" s="416"/>
      <c r="AE64" s="416"/>
      <c r="AF64" s="416"/>
      <c r="AG64" s="416"/>
      <c r="AH64" s="416"/>
      <c r="AI64" s="416"/>
      <c r="AJ64" s="416"/>
      <c r="AK64" s="416"/>
      <c r="AL64" s="416"/>
      <c r="AM64" s="416"/>
      <c r="AN64" s="416"/>
    </row>
    <row r="65" spans="1:98">
      <c r="A65" s="416"/>
      <c r="B65" s="416"/>
      <c r="C65" s="416"/>
      <c r="D65" s="416"/>
      <c r="E65" s="416"/>
      <c r="F65" s="416"/>
      <c r="G65" s="416"/>
      <c r="H65" s="416"/>
      <c r="I65" s="416"/>
      <c r="J65" s="416"/>
      <c r="K65" s="416"/>
      <c r="L65" s="416"/>
      <c r="M65" s="416"/>
      <c r="N65" s="416"/>
      <c r="O65" s="416"/>
      <c r="P65" s="416"/>
      <c r="Q65" s="416"/>
      <c r="R65" s="416"/>
      <c r="S65" s="416"/>
      <c r="T65" s="416"/>
      <c r="U65" s="416"/>
      <c r="V65" s="416"/>
      <c r="W65" s="416"/>
      <c r="X65" s="416"/>
      <c r="Y65" s="416"/>
      <c r="Z65" s="416"/>
      <c r="AA65" s="416"/>
      <c r="AB65" s="416"/>
      <c r="AC65" s="416"/>
      <c r="AD65" s="416"/>
      <c r="AE65" s="416"/>
      <c r="AF65" s="416"/>
      <c r="AG65" s="526"/>
      <c r="AH65" s="526"/>
      <c r="AI65" s="526"/>
      <c r="AJ65" s="526"/>
      <c r="AK65" s="526"/>
      <c r="AL65" s="526"/>
      <c r="AM65" s="526"/>
      <c r="AN65" s="526"/>
      <c r="AO65" s="569"/>
      <c r="AP65" s="569"/>
      <c r="AQ65" s="569"/>
      <c r="AR65" s="569"/>
      <c r="AS65" s="569"/>
      <c r="AT65" s="569"/>
      <c r="AU65" s="569"/>
      <c r="AV65" s="569"/>
      <c r="AW65" s="569"/>
      <c r="AX65" s="569"/>
      <c r="AY65" s="569"/>
      <c r="AZ65" s="569"/>
      <c r="BA65" s="569"/>
      <c r="BB65" s="569"/>
      <c r="BC65" s="569"/>
      <c r="BD65" s="569"/>
      <c r="BE65" s="569"/>
      <c r="BF65" s="569"/>
      <c r="BG65" s="569"/>
      <c r="BH65" s="569"/>
      <c r="BI65" s="569"/>
      <c r="BJ65" s="569"/>
      <c r="BK65" s="569"/>
      <c r="BL65" s="569"/>
      <c r="BM65" s="569"/>
      <c r="BN65" s="569"/>
      <c r="BO65" s="569"/>
      <c r="BP65" s="569"/>
      <c r="BQ65" s="569"/>
      <c r="BR65" s="569"/>
      <c r="BS65" s="569"/>
      <c r="BT65" s="569"/>
      <c r="BU65" s="569"/>
      <c r="BV65" s="569"/>
      <c r="BW65" s="569"/>
      <c r="BX65" s="569"/>
      <c r="BY65" s="569"/>
      <c r="BZ65" s="569"/>
      <c r="CA65" s="569"/>
      <c r="CB65" s="569"/>
      <c r="CC65" s="569"/>
      <c r="CD65" s="569"/>
      <c r="CE65" s="569"/>
      <c r="CF65" s="569"/>
      <c r="CG65" s="569"/>
      <c r="CH65" s="569"/>
      <c r="CI65" s="569"/>
      <c r="CJ65" s="569"/>
      <c r="CK65" s="569"/>
      <c r="CL65" s="569"/>
      <c r="CM65" s="569"/>
      <c r="CN65" s="569"/>
      <c r="CO65" s="569"/>
      <c r="CP65" s="569"/>
      <c r="CQ65" s="569"/>
      <c r="CR65" s="569"/>
      <c r="CS65" s="569"/>
    </row>
    <row r="66" spans="1:98">
      <c r="A66" s="526"/>
      <c r="B66" s="526"/>
      <c r="C66" s="526"/>
      <c r="D66" s="526"/>
      <c r="E66" s="526"/>
      <c r="F66" s="526"/>
      <c r="G66" s="526"/>
      <c r="H66" s="526"/>
      <c r="I66" s="526"/>
      <c r="J66" s="526"/>
      <c r="K66" s="526"/>
      <c r="L66" s="526"/>
      <c r="M66" s="526"/>
      <c r="N66" s="526"/>
      <c r="O66" s="526"/>
      <c r="P66" s="526"/>
      <c r="Q66" s="526"/>
      <c r="R66" s="416"/>
      <c r="S66" s="416"/>
      <c r="T66" s="416"/>
      <c r="U66" s="416"/>
      <c r="V66" s="416"/>
      <c r="W66" s="526"/>
      <c r="X66" s="526"/>
      <c r="Y66" s="526"/>
      <c r="Z66" s="526"/>
      <c r="AA66" s="526"/>
      <c r="AB66" s="526"/>
      <c r="AC66" s="526"/>
      <c r="AD66" s="526"/>
      <c r="AE66" s="416"/>
      <c r="AF66" s="416"/>
      <c r="AG66" s="416"/>
      <c r="AH66" s="416"/>
      <c r="AI66" s="416"/>
      <c r="AJ66" s="416"/>
      <c r="AK66" s="416"/>
      <c r="AL66" s="416"/>
      <c r="AM66" s="416"/>
      <c r="AN66" s="416"/>
    </row>
    <row r="67" spans="1:98">
      <c r="A67" s="416"/>
      <c r="B67" s="416"/>
      <c r="C67" s="416"/>
      <c r="D67" s="416"/>
      <c r="E67" s="416"/>
      <c r="F67" s="416"/>
      <c r="G67" s="416"/>
      <c r="H67" s="416"/>
      <c r="I67" s="416"/>
      <c r="J67" s="416"/>
      <c r="K67" s="416"/>
      <c r="L67" s="416"/>
      <c r="M67" s="416"/>
      <c r="N67" s="416"/>
      <c r="O67" s="416"/>
      <c r="P67" s="416"/>
      <c r="Q67" s="416"/>
      <c r="R67" s="416"/>
      <c r="S67" s="416"/>
      <c r="T67" s="416"/>
      <c r="U67" s="416"/>
      <c r="V67" s="416"/>
      <c r="W67" s="416"/>
      <c r="X67" s="416"/>
      <c r="Y67" s="416"/>
      <c r="Z67" s="416"/>
      <c r="AA67" s="416"/>
      <c r="AB67" s="416"/>
      <c r="AC67" s="416"/>
      <c r="AD67" s="416"/>
      <c r="AE67" s="416"/>
      <c r="AF67" s="416"/>
      <c r="AG67" s="416"/>
      <c r="AH67" s="416"/>
      <c r="AI67" s="416"/>
      <c r="AJ67" s="416"/>
      <c r="AK67" s="416"/>
      <c r="AL67" s="416"/>
      <c r="AM67" s="416"/>
      <c r="AN67" s="416"/>
    </row>
    <row r="68" spans="1:98">
      <c r="A68" s="416"/>
      <c r="B68" s="416"/>
      <c r="C68" s="416"/>
      <c r="D68" s="416"/>
      <c r="E68" s="416"/>
      <c r="F68" s="416"/>
      <c r="G68" s="416"/>
      <c r="H68" s="416"/>
      <c r="I68" s="416"/>
      <c r="J68" s="416"/>
      <c r="K68" s="416"/>
      <c r="L68" s="416"/>
      <c r="M68" s="416"/>
      <c r="N68" s="416"/>
      <c r="O68" s="416"/>
      <c r="P68" s="416"/>
      <c r="Q68" s="416"/>
      <c r="R68" s="416"/>
      <c r="S68" s="416"/>
      <c r="T68" s="416"/>
      <c r="U68" s="416"/>
      <c r="V68" s="416"/>
      <c r="W68" s="416"/>
      <c r="X68" s="416"/>
      <c r="Y68" s="416"/>
      <c r="Z68" s="416"/>
      <c r="AA68" s="416"/>
      <c r="AB68" s="416"/>
      <c r="AC68" s="416"/>
      <c r="AD68" s="416"/>
      <c r="AE68" s="416"/>
      <c r="AF68" s="416"/>
      <c r="AG68" s="416"/>
      <c r="AH68" s="416"/>
      <c r="AI68" s="416"/>
      <c r="AJ68" s="416"/>
      <c r="AK68" s="416"/>
      <c r="AL68" s="416"/>
      <c r="AM68" s="416"/>
      <c r="AN68" s="416"/>
    </row>
    <row r="69" spans="1:98">
      <c r="A69" s="416"/>
      <c r="B69" s="416"/>
      <c r="C69" s="416"/>
      <c r="D69" s="416"/>
      <c r="E69" s="416"/>
      <c r="F69" s="416"/>
      <c r="G69" s="416"/>
      <c r="H69" s="416"/>
      <c r="I69" s="416"/>
      <c r="J69" s="416"/>
      <c r="K69" s="416"/>
      <c r="L69" s="416"/>
      <c r="M69" s="416"/>
      <c r="N69" s="416"/>
      <c r="O69" s="416"/>
      <c r="P69" s="416"/>
      <c r="Q69" s="416"/>
      <c r="R69" s="416"/>
      <c r="S69" s="416"/>
      <c r="T69" s="416"/>
      <c r="U69" s="416"/>
      <c r="V69" s="416"/>
      <c r="W69" s="416"/>
      <c r="X69" s="416"/>
      <c r="Y69" s="416"/>
      <c r="Z69" s="416"/>
      <c r="AA69" s="416"/>
      <c r="AB69" s="416"/>
      <c r="AC69" s="416"/>
      <c r="AD69" s="416"/>
      <c r="AE69" s="416"/>
      <c r="AF69" s="416"/>
      <c r="AG69" s="416"/>
      <c r="AH69" s="416"/>
      <c r="AI69" s="416"/>
      <c r="AJ69" s="416"/>
      <c r="AK69" s="416"/>
      <c r="AL69" s="416"/>
      <c r="AM69" s="416"/>
      <c r="AN69" s="416"/>
    </row>
    <row r="70" spans="1:98">
      <c r="A70" s="416"/>
      <c r="B70" s="416"/>
      <c r="C70" s="416"/>
      <c r="D70" s="416"/>
      <c r="E70" s="416"/>
      <c r="F70" s="416"/>
      <c r="G70" s="416"/>
      <c r="H70" s="416"/>
      <c r="I70" s="416"/>
      <c r="J70" s="416"/>
      <c r="K70" s="416"/>
      <c r="L70" s="416"/>
      <c r="M70" s="416"/>
      <c r="N70" s="416"/>
      <c r="O70" s="416"/>
      <c r="P70" s="416"/>
      <c r="Q70" s="416"/>
      <c r="R70" s="416"/>
      <c r="S70" s="416"/>
      <c r="T70" s="416"/>
      <c r="U70" s="416"/>
      <c r="V70" s="416"/>
      <c r="W70" s="416"/>
      <c r="X70" s="416"/>
      <c r="Y70" s="416"/>
      <c r="Z70" s="416"/>
      <c r="AA70" s="416"/>
      <c r="AB70" s="416"/>
      <c r="AC70" s="416"/>
      <c r="AD70" s="416"/>
      <c r="AE70" s="416"/>
      <c r="AF70" s="416"/>
      <c r="AG70" s="280"/>
      <c r="AH70" s="280"/>
      <c r="AI70" s="280"/>
      <c r="AJ70" s="280"/>
      <c r="AK70" s="280"/>
      <c r="AL70" s="280"/>
      <c r="AM70" s="280"/>
      <c r="AN70" s="280"/>
      <c r="AO70" s="432"/>
      <c r="AP70" s="432"/>
      <c r="AQ70" s="432"/>
      <c r="AR70" s="432"/>
      <c r="AS70" s="432"/>
      <c r="AT70" s="432"/>
      <c r="AU70" s="432"/>
      <c r="AV70" s="432"/>
      <c r="AW70" s="432"/>
      <c r="AX70" s="432"/>
      <c r="AY70" s="432"/>
      <c r="AZ70" s="432"/>
    </row>
    <row r="71" spans="1:98">
      <c r="A71" s="416"/>
      <c r="B71" s="416"/>
      <c r="C71" s="416"/>
      <c r="D71" s="416"/>
      <c r="E71" s="416"/>
      <c r="F71" s="416"/>
      <c r="G71" s="416"/>
      <c r="H71" s="416"/>
      <c r="I71" s="416"/>
      <c r="J71" s="416"/>
      <c r="K71" s="416"/>
      <c r="L71" s="416"/>
      <c r="M71" s="416"/>
      <c r="N71" s="416"/>
      <c r="O71" s="416"/>
      <c r="P71" s="416"/>
      <c r="Q71" s="416"/>
      <c r="R71" s="416"/>
      <c r="S71" s="416"/>
      <c r="T71" s="416"/>
      <c r="U71" s="416"/>
      <c r="V71" s="416"/>
      <c r="W71" s="416"/>
      <c r="X71" s="416"/>
      <c r="Y71" s="416"/>
      <c r="Z71" s="416"/>
      <c r="AA71" s="416"/>
      <c r="AB71" s="416"/>
      <c r="AC71" s="416"/>
      <c r="AD71" s="280"/>
      <c r="AE71" s="416"/>
      <c r="AF71" s="416"/>
    </row>
    <row r="72" spans="1:98">
      <c r="A72" s="416"/>
      <c r="B72" s="416"/>
      <c r="C72" s="416"/>
      <c r="D72" s="416"/>
      <c r="E72" s="416"/>
      <c r="F72" s="416"/>
      <c r="G72" s="416"/>
      <c r="H72" s="416"/>
      <c r="I72" s="416"/>
      <c r="J72" s="416"/>
      <c r="K72" s="416"/>
      <c r="L72" s="416"/>
      <c r="M72" s="416"/>
      <c r="N72" s="416"/>
      <c r="O72" s="416"/>
      <c r="P72" s="416"/>
      <c r="Q72" s="416"/>
      <c r="R72" s="416"/>
      <c r="S72" s="416"/>
      <c r="T72" s="416"/>
      <c r="U72" s="416"/>
      <c r="V72" s="526"/>
      <c r="W72" s="416"/>
      <c r="X72" s="416"/>
      <c r="Y72" s="416"/>
      <c r="Z72" s="416"/>
      <c r="AA72" s="416"/>
      <c r="AB72" s="416"/>
      <c r="AC72" s="416"/>
      <c r="AE72" s="416"/>
      <c r="AF72" s="526"/>
      <c r="CT72" s="569"/>
    </row>
    <row r="73" spans="1:98">
      <c r="A73" s="416"/>
      <c r="B73" s="416"/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526"/>
      <c r="S73" s="526"/>
      <c r="T73" s="526"/>
      <c r="U73" s="526"/>
      <c r="V73" s="416"/>
      <c r="W73" s="416"/>
      <c r="X73" s="416"/>
      <c r="Y73" s="416"/>
      <c r="Z73" s="416"/>
      <c r="AA73" s="416"/>
      <c r="AB73" s="416"/>
      <c r="AC73" s="416"/>
      <c r="AE73" s="526"/>
      <c r="AF73" s="416"/>
    </row>
    <row r="74" spans="1:98">
      <c r="A74" s="416"/>
      <c r="B74" s="416"/>
      <c r="C74" s="416"/>
      <c r="D74" s="416"/>
      <c r="E74" s="416"/>
      <c r="F74" s="416"/>
      <c r="G74" s="416"/>
      <c r="H74" s="416"/>
      <c r="I74" s="416"/>
      <c r="J74" s="416"/>
      <c r="K74" s="416"/>
      <c r="L74" s="416"/>
      <c r="M74" s="416"/>
      <c r="N74" s="416"/>
      <c r="O74" s="416"/>
      <c r="P74" s="416"/>
      <c r="Q74" s="416"/>
      <c r="R74" s="416"/>
      <c r="S74" s="416"/>
      <c r="T74" s="416"/>
      <c r="U74" s="416"/>
      <c r="V74" s="416"/>
      <c r="W74" s="416"/>
      <c r="X74" s="416"/>
      <c r="Y74" s="416"/>
      <c r="Z74" s="416"/>
      <c r="AA74" s="416"/>
      <c r="AB74" s="416"/>
      <c r="AC74" s="416"/>
      <c r="AE74" s="416"/>
      <c r="AF74" s="416"/>
    </row>
    <row r="75" spans="1:98">
      <c r="A75" s="416"/>
      <c r="B75" s="416"/>
      <c r="C75" s="416"/>
      <c r="D75" s="416"/>
      <c r="E75" s="416"/>
      <c r="F75" s="416"/>
      <c r="G75" s="416"/>
      <c r="H75" s="416"/>
      <c r="I75" s="416"/>
      <c r="J75" s="416"/>
      <c r="K75" s="416"/>
      <c r="L75" s="416"/>
      <c r="M75" s="416"/>
      <c r="N75" s="416"/>
      <c r="O75" s="416"/>
      <c r="P75" s="416"/>
      <c r="Q75" s="416"/>
      <c r="R75" s="416"/>
      <c r="S75" s="416"/>
      <c r="T75" s="416"/>
      <c r="U75" s="416"/>
      <c r="V75" s="416"/>
      <c r="W75" s="416"/>
      <c r="X75" s="416"/>
      <c r="Y75" s="416"/>
      <c r="Z75" s="416"/>
      <c r="AA75" s="416"/>
      <c r="AB75" s="416"/>
      <c r="AC75" s="416"/>
      <c r="AE75" s="416"/>
      <c r="AF75" s="416"/>
      <c r="BA75" s="432"/>
      <c r="BB75" s="432"/>
      <c r="BC75" s="432"/>
      <c r="BD75" s="432"/>
      <c r="BE75" s="432"/>
      <c r="BF75" s="432"/>
      <c r="BG75" s="432"/>
      <c r="BH75" s="432"/>
      <c r="BI75" s="432"/>
      <c r="BJ75" s="432"/>
      <c r="BK75" s="432"/>
      <c r="BL75" s="432"/>
      <c r="BM75" s="432"/>
      <c r="BN75" s="432"/>
      <c r="BO75" s="432"/>
      <c r="BP75" s="432"/>
      <c r="BQ75" s="432"/>
      <c r="BR75" s="432"/>
      <c r="BS75" s="432"/>
      <c r="BT75" s="432"/>
      <c r="BU75" s="432"/>
      <c r="BV75" s="432"/>
      <c r="BW75" s="432"/>
      <c r="BX75" s="432"/>
      <c r="BY75" s="432"/>
      <c r="BZ75" s="432"/>
      <c r="CA75" s="432"/>
      <c r="CB75" s="432"/>
      <c r="CC75" s="432"/>
      <c r="CD75" s="432"/>
      <c r="CE75" s="432"/>
      <c r="CF75" s="432"/>
      <c r="CG75" s="432"/>
      <c r="CH75" s="432"/>
      <c r="CI75" s="432"/>
      <c r="CJ75" s="432"/>
      <c r="CK75" s="432"/>
      <c r="CL75" s="432"/>
      <c r="CM75" s="432"/>
      <c r="CN75" s="432"/>
      <c r="CO75" s="432"/>
      <c r="CP75" s="432"/>
      <c r="CQ75" s="432"/>
      <c r="CR75" s="432"/>
      <c r="CS75" s="432"/>
    </row>
    <row r="76" spans="1:98">
      <c r="A76" s="280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  <c r="P76" s="280"/>
      <c r="Q76" s="280"/>
      <c r="R76" s="416"/>
      <c r="S76" s="416"/>
      <c r="T76" s="416"/>
      <c r="U76" s="416"/>
      <c r="V76" s="416"/>
      <c r="W76" s="280"/>
      <c r="X76" s="280"/>
      <c r="Y76" s="280"/>
      <c r="Z76" s="280"/>
      <c r="AA76" s="280"/>
      <c r="AB76" s="280"/>
      <c r="AC76" s="280"/>
      <c r="AE76" s="416"/>
      <c r="AF76" s="416"/>
    </row>
    <row r="77" spans="1:98">
      <c r="R77" s="416"/>
      <c r="S77" s="416"/>
      <c r="T77" s="416"/>
      <c r="U77" s="416"/>
      <c r="V77" s="416"/>
      <c r="AE77" s="416"/>
      <c r="AF77" s="280"/>
    </row>
    <row r="78" spans="1:98">
      <c r="R78" s="416"/>
      <c r="S78" s="416"/>
      <c r="T78" s="416"/>
      <c r="U78" s="416"/>
      <c r="V78" s="416"/>
      <c r="AE78" s="280"/>
    </row>
    <row r="79" spans="1:98" s="569" customFormat="1">
      <c r="A79" s="58"/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416"/>
      <c r="S79" s="416"/>
      <c r="T79" s="416"/>
      <c r="U79" s="416"/>
      <c r="V79" s="416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8"/>
      <c r="BA79" s="58"/>
      <c r="BB79" s="58"/>
      <c r="BC79" s="58"/>
      <c r="BD79" s="58"/>
      <c r="BE79" s="58"/>
      <c r="BF79" s="58"/>
      <c r="BG79" s="58"/>
      <c r="BH79" s="58"/>
      <c r="BI79" s="58"/>
      <c r="BJ79" s="58"/>
      <c r="BK79" s="58"/>
      <c r="BL79" s="58"/>
      <c r="BM79" s="58"/>
      <c r="BN79" s="58"/>
      <c r="BO79" s="58"/>
      <c r="BP79" s="58"/>
      <c r="BQ79" s="58"/>
      <c r="BR79" s="58"/>
      <c r="BS79" s="58"/>
      <c r="BT79" s="58"/>
      <c r="BU79" s="58"/>
      <c r="BV79" s="58"/>
      <c r="BW79" s="58"/>
      <c r="BX79" s="58"/>
      <c r="BY79" s="58"/>
      <c r="BZ79" s="58"/>
      <c r="CA79" s="58"/>
      <c r="CB79" s="58"/>
      <c r="CC79" s="58"/>
      <c r="CD79" s="58"/>
      <c r="CE79" s="58"/>
      <c r="CF79" s="58"/>
      <c r="CG79" s="58"/>
      <c r="CH79" s="58"/>
      <c r="CI79" s="58"/>
      <c r="CJ79" s="58"/>
      <c r="CK79" s="58"/>
      <c r="CL79" s="58"/>
      <c r="CM79" s="58"/>
      <c r="CN79" s="58"/>
      <c r="CO79" s="58"/>
      <c r="CP79" s="58"/>
      <c r="CQ79" s="58"/>
      <c r="CR79" s="58"/>
      <c r="CS79" s="58"/>
      <c r="CT79" s="58"/>
    </row>
    <row r="80" spans="1:98">
      <c r="R80" s="416"/>
      <c r="S80" s="416"/>
      <c r="T80" s="416"/>
      <c r="U80" s="416"/>
      <c r="V80" s="416"/>
    </row>
    <row r="81" spans="1:98">
      <c r="R81" s="416"/>
      <c r="S81" s="416"/>
      <c r="T81" s="416"/>
      <c r="U81" s="416"/>
      <c r="V81" s="416"/>
    </row>
    <row r="82" spans="1:98">
      <c r="R82" s="416"/>
      <c r="S82" s="416"/>
      <c r="T82" s="416"/>
      <c r="U82" s="416"/>
      <c r="V82" s="280"/>
      <c r="CT82" s="432"/>
    </row>
    <row r="83" spans="1:98">
      <c r="R83" s="280"/>
      <c r="S83" s="280"/>
      <c r="T83" s="280"/>
      <c r="U83" s="280"/>
    </row>
    <row r="89" spans="1:98" s="432" customFormat="1">
      <c r="A89" s="58"/>
      <c r="B89" s="5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8"/>
      <c r="BA89" s="58"/>
      <c r="BB89" s="58"/>
      <c r="BC89" s="58"/>
      <c r="BD89" s="58"/>
      <c r="BE89" s="58"/>
      <c r="BF89" s="58"/>
      <c r="BG89" s="58"/>
      <c r="BH89" s="58"/>
      <c r="BI89" s="58"/>
      <c r="BJ89" s="58"/>
      <c r="BK89" s="58"/>
      <c r="BL89" s="58"/>
      <c r="BM89" s="58"/>
      <c r="BN89" s="58"/>
      <c r="BO89" s="58"/>
      <c r="BP89" s="58"/>
      <c r="BQ89" s="58"/>
      <c r="BR89" s="58"/>
      <c r="BS89" s="58"/>
      <c r="BT89" s="58"/>
      <c r="BU89" s="58"/>
      <c r="BV89" s="58"/>
      <c r="BW89" s="58"/>
      <c r="BX89" s="58"/>
      <c r="BY89" s="58"/>
      <c r="BZ89" s="58"/>
      <c r="CA89" s="58"/>
      <c r="CB89" s="58"/>
      <c r="CC89" s="58"/>
      <c r="CD89" s="58"/>
      <c r="CE89" s="58"/>
      <c r="CF89" s="58"/>
      <c r="CG89" s="58"/>
      <c r="CH89" s="58"/>
      <c r="CI89" s="58"/>
      <c r="CJ89" s="58"/>
      <c r="CK89" s="58"/>
      <c r="CL89" s="58"/>
      <c r="CM89" s="58"/>
      <c r="CN89" s="58"/>
      <c r="CO89" s="58"/>
      <c r="CP89" s="58"/>
      <c r="CQ89" s="58"/>
      <c r="CR89" s="58"/>
      <c r="CS89" s="58"/>
      <c r="CT89" s="58"/>
    </row>
    <row r="119" spans="1:228" s="60" customFormat="1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8"/>
      <c r="BK119" s="58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58"/>
      <c r="BW119" s="58"/>
      <c r="BX119" s="58"/>
      <c r="BY119" s="58"/>
      <c r="BZ119" s="58"/>
      <c r="CA119" s="58"/>
      <c r="CB119" s="58"/>
      <c r="CC119" s="58"/>
      <c r="CD119" s="58"/>
      <c r="CE119" s="58"/>
      <c r="CF119" s="58"/>
      <c r="CG119" s="58"/>
      <c r="CH119" s="58"/>
      <c r="CI119" s="58"/>
      <c r="CJ119" s="58"/>
      <c r="CK119" s="58"/>
      <c r="CL119" s="58"/>
      <c r="CM119" s="58"/>
      <c r="CN119" s="58"/>
      <c r="CO119" s="58"/>
      <c r="CP119" s="58"/>
      <c r="CQ119" s="58"/>
      <c r="CR119" s="58"/>
      <c r="CS119" s="58"/>
      <c r="CT119" s="58"/>
      <c r="CU119" s="58"/>
      <c r="CV119" s="58"/>
      <c r="CW119" s="58"/>
      <c r="CX119" s="58"/>
      <c r="CY119" s="58"/>
      <c r="CZ119" s="58"/>
      <c r="DA119" s="58"/>
      <c r="DB119" s="58"/>
      <c r="DC119" s="58"/>
      <c r="DD119" s="58"/>
      <c r="DE119" s="58"/>
      <c r="DF119" s="58"/>
      <c r="DG119" s="58"/>
      <c r="DH119" s="58"/>
      <c r="DI119" s="58"/>
      <c r="DJ119" s="58"/>
      <c r="DK119" s="58"/>
      <c r="DL119" s="58"/>
      <c r="DM119" s="58"/>
      <c r="DN119" s="58"/>
      <c r="DO119" s="58"/>
      <c r="DP119" s="58"/>
      <c r="DQ119" s="58"/>
      <c r="DR119" s="58"/>
      <c r="DS119" s="58"/>
      <c r="DT119" s="58"/>
      <c r="DU119" s="58"/>
      <c r="DV119" s="58"/>
      <c r="DW119" s="58"/>
      <c r="DX119" s="58"/>
      <c r="DY119" s="58"/>
      <c r="DZ119" s="58"/>
      <c r="EA119" s="58"/>
      <c r="EB119" s="58"/>
      <c r="EC119" s="58"/>
      <c r="ED119" s="58"/>
      <c r="EE119" s="58"/>
      <c r="EF119" s="58"/>
      <c r="EG119" s="58"/>
      <c r="EH119" s="58"/>
      <c r="EI119" s="58"/>
      <c r="EJ119" s="58"/>
      <c r="EK119" s="58"/>
      <c r="EL119" s="58"/>
      <c r="EM119" s="58"/>
      <c r="EN119" s="58"/>
      <c r="EO119" s="58"/>
      <c r="EP119" s="58"/>
      <c r="EQ119" s="58"/>
      <c r="ER119" s="58"/>
      <c r="ES119" s="58"/>
      <c r="ET119" s="58"/>
      <c r="EU119" s="58"/>
      <c r="EV119" s="58"/>
      <c r="EW119" s="58"/>
      <c r="EX119" s="58"/>
      <c r="EY119" s="58"/>
      <c r="EZ119" s="58"/>
      <c r="FA119" s="58"/>
      <c r="FB119" s="58"/>
      <c r="FC119" s="58"/>
      <c r="FD119" s="58"/>
      <c r="FE119" s="58"/>
      <c r="FF119" s="58"/>
      <c r="FG119" s="58"/>
      <c r="FH119" s="58"/>
      <c r="FI119" s="58"/>
      <c r="FJ119" s="58"/>
      <c r="FK119" s="58"/>
      <c r="FL119" s="58"/>
      <c r="FM119" s="58"/>
      <c r="FN119" s="58"/>
      <c r="FO119" s="58"/>
      <c r="FP119" s="58"/>
      <c r="FQ119" s="58"/>
      <c r="FR119" s="58"/>
      <c r="FS119" s="58"/>
      <c r="FT119" s="58"/>
      <c r="FU119" s="58"/>
      <c r="FV119" s="58"/>
      <c r="FW119" s="58"/>
      <c r="FX119" s="58"/>
      <c r="FY119" s="58"/>
      <c r="FZ119" s="58"/>
      <c r="GA119" s="58"/>
      <c r="GB119" s="58"/>
      <c r="GC119" s="58"/>
      <c r="GD119" s="58"/>
      <c r="GE119" s="58"/>
      <c r="GF119" s="58"/>
      <c r="GG119" s="58"/>
      <c r="GH119" s="58"/>
      <c r="GI119" s="58"/>
      <c r="GJ119" s="58"/>
      <c r="GK119" s="58"/>
      <c r="GL119" s="58"/>
      <c r="GM119" s="58"/>
      <c r="GN119" s="58"/>
      <c r="GO119" s="58"/>
      <c r="GP119" s="58"/>
      <c r="GQ119" s="58"/>
      <c r="GR119" s="58"/>
      <c r="GS119" s="58"/>
      <c r="GT119" s="58"/>
      <c r="GU119" s="58"/>
      <c r="GV119" s="58"/>
      <c r="GW119" s="58"/>
      <c r="GX119" s="58"/>
      <c r="GY119" s="58"/>
      <c r="GZ119" s="58"/>
      <c r="HA119" s="58"/>
      <c r="HB119" s="58"/>
      <c r="HC119" s="58"/>
      <c r="HD119" s="58"/>
      <c r="HE119" s="58"/>
      <c r="HF119" s="58"/>
      <c r="HG119" s="58"/>
      <c r="HH119" s="58"/>
      <c r="HI119" s="58"/>
      <c r="HJ119" s="58"/>
      <c r="HK119" s="58"/>
      <c r="HL119" s="58"/>
      <c r="HM119" s="58"/>
      <c r="HN119" s="58"/>
      <c r="HO119" s="58"/>
      <c r="HP119" s="58"/>
      <c r="HQ119" s="58"/>
      <c r="HR119" s="58"/>
      <c r="HS119" s="58"/>
      <c r="HT119" s="58"/>
    </row>
  </sheetData>
  <conditionalFormatting sqref="D13:D30">
    <cfRule type="colorScale" priority="1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A5:A6 D12">
      <formula1>$A$5:$A$6</formula1>
    </dataValidation>
    <dataValidation type="list" allowBlank="1" showInputMessage="1" showErrorMessage="1" sqref="F12">
      <formula1>$B$5:$B$6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6"/>
  </sheetPr>
  <dimension ref="A1:CH121"/>
  <sheetViews>
    <sheetView showGridLines="0" topLeftCell="A7" zoomScaleNormal="100" workbookViewId="0">
      <pane xSplit="2" topLeftCell="AS1" activePane="topRight" state="frozen"/>
      <selection activeCell="A4" sqref="A4"/>
      <selection pane="topRight" activeCell="AJ15" sqref="AJ15"/>
    </sheetView>
  </sheetViews>
  <sheetFormatPr defaultRowHeight="12.75" outlineLevelCol="1"/>
  <cols>
    <col min="1" max="1" width="2.140625" style="58" customWidth="1"/>
    <col min="2" max="2" width="6.5703125" style="60" customWidth="1"/>
    <col min="3" max="3" width="23.5703125" style="60" customWidth="1"/>
    <col min="4" max="4" width="15.85546875" style="60" customWidth="1"/>
    <col min="5" max="7" width="10.42578125" style="60" customWidth="1"/>
    <col min="8" max="8" width="9.85546875" style="60" customWidth="1"/>
    <col min="9" max="9" width="11.7109375" style="60" bestFit="1" customWidth="1"/>
    <col min="10" max="10" width="8.7109375" style="60" customWidth="1" outlineLevel="1"/>
    <col min="11" max="11" width="8.7109375" style="61" customWidth="1" outlineLevel="1"/>
    <col min="12" max="16" width="8.7109375" style="60" customWidth="1" outlineLevel="1"/>
    <col min="17" max="19" width="10.140625" style="60" customWidth="1" outlineLevel="1"/>
    <col min="20" max="20" width="3.7109375" style="314" customWidth="1"/>
    <col min="21" max="23" width="9.140625" style="273" customWidth="1" outlineLevel="1"/>
    <col min="24" max="24" width="3.7109375" style="314" customWidth="1"/>
    <col min="25" max="26" width="9.140625" style="58" customWidth="1"/>
    <col min="27" max="42" width="9.140625" style="58" customWidth="1" outlineLevel="1"/>
    <col min="43" max="43" width="9.85546875" style="58" customWidth="1" outlineLevel="1"/>
    <col min="44" max="44" width="9.140625" style="58" customWidth="1" outlineLevel="1"/>
    <col min="45" max="45" width="3.7109375" style="314" customWidth="1"/>
    <col min="46" max="62" width="9.140625" style="58" customWidth="1" outlineLevel="1"/>
    <col min="63" max="63" width="9.140625" style="58" customWidth="1"/>
    <col min="64" max="64" width="9.140625" style="58" customWidth="1" outlineLevel="1"/>
    <col min="65" max="65" width="9.28515625" style="58" customWidth="1" outlineLevel="1"/>
    <col min="66" max="79" width="9.140625" style="58" customWidth="1" outlineLevel="1"/>
    <col min="80" max="81" width="9.140625" style="58" customWidth="1"/>
    <col min="82" max="82" width="7.28515625" style="58" customWidth="1"/>
    <col min="83" max="86" width="9.140625" style="58" customWidth="1"/>
    <col min="87" max="16384" width="9.140625" style="58"/>
  </cols>
  <sheetData>
    <row r="1" spans="2:86" s="33" customFormat="1" ht="32.25">
      <c r="B1" s="33" t="s">
        <v>261</v>
      </c>
      <c r="E1" s="49" t="s">
        <v>116</v>
      </c>
      <c r="F1" s="609">
        <v>2019</v>
      </c>
      <c r="G1" s="609"/>
      <c r="N1" s="321"/>
      <c r="T1" s="311"/>
      <c r="U1" s="276"/>
      <c r="V1" s="276"/>
      <c r="W1" s="277"/>
      <c r="X1" s="311"/>
      <c r="AS1" s="311"/>
    </row>
    <row r="2" spans="2:86" ht="13.5" customHeight="1"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610" t="s">
        <v>272</v>
      </c>
      <c r="U2" s="306"/>
      <c r="V2" s="306"/>
      <c r="W2" s="306"/>
      <c r="X2" s="610" t="s">
        <v>273</v>
      </c>
      <c r="AS2" s="610" t="s">
        <v>385</v>
      </c>
    </row>
    <row r="3" spans="2:86" ht="13.5" customHeight="1">
      <c r="B3" s="260"/>
      <c r="C3" s="12" t="s">
        <v>258</v>
      </c>
      <c r="D3" s="19" t="s">
        <v>50</v>
      </c>
      <c r="E3" s="12"/>
      <c r="F3" s="12"/>
      <c r="G3" s="12"/>
      <c r="H3" s="12"/>
      <c r="I3" s="261"/>
      <c r="J3" s="12" t="s">
        <v>264</v>
      </c>
      <c r="K3" s="19" t="s">
        <v>388</v>
      </c>
      <c r="L3" s="19" t="s">
        <v>50</v>
      </c>
      <c r="M3" s="12"/>
      <c r="N3" s="12"/>
      <c r="O3" s="261"/>
      <c r="P3" s="261"/>
      <c r="Q3" s="261"/>
      <c r="R3" s="58"/>
      <c r="S3" s="58"/>
      <c r="T3" s="610"/>
      <c r="U3" s="306"/>
      <c r="V3" s="306"/>
      <c r="W3" s="306"/>
      <c r="X3" s="610"/>
      <c r="AB3" s="12" t="s">
        <v>66</v>
      </c>
      <c r="AC3" s="9" t="s">
        <v>67</v>
      </c>
      <c r="AD3" s="9"/>
      <c r="AE3" s="9"/>
      <c r="AF3" s="9"/>
      <c r="AG3" s="9"/>
      <c r="AH3" s="268" t="s">
        <v>270</v>
      </c>
      <c r="AS3" s="610"/>
      <c r="AT3" s="19" t="s">
        <v>360</v>
      </c>
      <c r="AU3" s="19"/>
      <c r="AV3" s="19"/>
      <c r="AW3" s="19"/>
      <c r="AY3" s="268" t="s">
        <v>82</v>
      </c>
      <c r="AZ3" s="268" t="s">
        <v>82</v>
      </c>
      <c r="BA3" s="268"/>
      <c r="BB3" s="340" t="s">
        <v>253</v>
      </c>
      <c r="BC3" s="340" t="s">
        <v>396</v>
      </c>
      <c r="BD3" s="340" t="s">
        <v>397</v>
      </c>
      <c r="BE3" s="340" t="s">
        <v>395</v>
      </c>
      <c r="BF3" s="268" t="s">
        <v>268</v>
      </c>
    </row>
    <row r="4" spans="2:86" ht="13.5" customHeight="1">
      <c r="B4" s="260"/>
      <c r="C4" s="20">
        <v>8.7999999999999995E-2</v>
      </c>
      <c r="D4" s="10" t="s">
        <v>257</v>
      </c>
      <c r="E4" s="10"/>
      <c r="F4" s="10"/>
      <c r="G4" s="10"/>
      <c r="H4" s="10"/>
      <c r="I4" s="261"/>
      <c r="J4" s="10">
        <v>75</v>
      </c>
      <c r="K4" s="10" t="s">
        <v>389</v>
      </c>
      <c r="L4" s="10" t="s">
        <v>387</v>
      </c>
      <c r="M4" s="10"/>
      <c r="N4" s="10"/>
      <c r="O4" s="261"/>
      <c r="P4" s="261"/>
      <c r="Q4" s="261"/>
      <c r="R4" s="58"/>
      <c r="S4" s="58"/>
      <c r="T4" s="610"/>
      <c r="U4" s="306"/>
      <c r="V4" s="306"/>
      <c r="W4" s="306"/>
      <c r="X4" s="610"/>
      <c r="AB4" s="10">
        <v>1</v>
      </c>
      <c r="AC4" s="10" t="s">
        <v>69</v>
      </c>
      <c r="AD4" s="10"/>
      <c r="AE4" s="10"/>
      <c r="AF4" s="10"/>
      <c r="AG4" s="10"/>
      <c r="AH4" s="267" t="s">
        <v>494</v>
      </c>
      <c r="AS4" s="610"/>
      <c r="AT4" s="19" t="s">
        <v>361</v>
      </c>
      <c r="AU4" s="611" t="s">
        <v>362</v>
      </c>
      <c r="AV4" s="611"/>
      <c r="AW4" s="336">
        <v>1.8</v>
      </c>
      <c r="AY4" s="325">
        <v>90</v>
      </c>
      <c r="AZ4" s="325">
        <v>100</v>
      </c>
      <c r="BA4" s="325"/>
      <c r="BB4" s="327">
        <f>9.3/25</f>
        <v>0.37200000000000005</v>
      </c>
      <c r="BC4" s="327">
        <f>630/25</f>
        <v>25.2</v>
      </c>
      <c r="BD4" s="328">
        <v>15.7</v>
      </c>
      <c r="BE4" s="326">
        <v>770</v>
      </c>
      <c r="BF4" s="333">
        <f>$BG$5-(($BB$4*$BG$5-$BC$4)*(($BG$6-1400)/($BD$4*$BG$5-$BE$4))^1.31)</f>
        <v>69.918502211957843</v>
      </c>
    </row>
    <row r="5" spans="2:86" ht="13.5" customHeight="1" thickBot="1">
      <c r="B5" s="260"/>
      <c r="C5" s="319" t="s">
        <v>147</v>
      </c>
      <c r="D5" s="320" t="s">
        <v>256</v>
      </c>
      <c r="E5" s="320"/>
      <c r="F5" s="320"/>
      <c r="G5" s="320"/>
      <c r="H5" s="320"/>
      <c r="I5" s="261"/>
      <c r="J5" s="320">
        <v>100</v>
      </c>
      <c r="K5" s="320" t="s">
        <v>389</v>
      </c>
      <c r="L5" s="320" t="s">
        <v>410</v>
      </c>
      <c r="M5" s="320"/>
      <c r="N5" s="320"/>
      <c r="O5" s="261"/>
      <c r="P5" s="261"/>
      <c r="Q5" s="261"/>
      <c r="R5" s="58"/>
      <c r="S5" s="58"/>
      <c r="T5" s="610"/>
      <c r="U5" s="306"/>
      <c r="V5" s="306"/>
      <c r="W5" s="306"/>
      <c r="X5" s="610"/>
      <c r="AB5" s="11">
        <v>2</v>
      </c>
      <c r="AC5" s="11" t="s">
        <v>267</v>
      </c>
      <c r="AD5" s="11"/>
      <c r="AE5" s="11"/>
      <c r="AF5" s="11"/>
      <c r="AG5" s="11"/>
      <c r="AH5" s="317" t="s">
        <v>73</v>
      </c>
      <c r="AS5" s="610"/>
      <c r="AT5" s="337"/>
      <c r="AU5" s="611" t="s">
        <v>363</v>
      </c>
      <c r="AV5" s="611"/>
      <c r="AW5" s="336">
        <v>1.2</v>
      </c>
      <c r="AY5" s="325">
        <v>80</v>
      </c>
      <c r="AZ5" s="325">
        <f>AY4</f>
        <v>90</v>
      </c>
      <c r="BA5" s="325"/>
      <c r="BB5" s="327">
        <f>10.4/26</f>
        <v>0.4</v>
      </c>
      <c r="BC5" s="327">
        <f>696/26</f>
        <v>26.76923076923077</v>
      </c>
      <c r="BD5" s="328">
        <v>15.6</v>
      </c>
      <c r="BE5" s="326">
        <v>704</v>
      </c>
      <c r="BF5" s="333">
        <f>$BG$5-(($BB$5*$BG$5-$BC$5)*(($BG$6-1400)/($BD$5*$BG$5-$BE$5))^1.31)</f>
        <v>69.947259693600216</v>
      </c>
      <c r="BG5" s="281">
        <v>91</v>
      </c>
      <c r="BH5" s="334" t="s">
        <v>82</v>
      </c>
      <c r="BX5" s="281"/>
      <c r="BY5" s="334"/>
    </row>
    <row r="6" spans="2:86" ht="13.5" customHeight="1">
      <c r="B6" s="260"/>
      <c r="C6" s="58"/>
      <c r="D6" s="58"/>
      <c r="E6" s="58"/>
      <c r="F6" s="58"/>
      <c r="G6" s="58"/>
      <c r="H6" s="58"/>
      <c r="I6" s="261"/>
      <c r="O6" s="261"/>
      <c r="P6" s="261"/>
      <c r="Q6" s="261"/>
      <c r="R6" s="58"/>
      <c r="S6" s="58"/>
      <c r="T6" s="610"/>
      <c r="U6" s="306"/>
      <c r="V6" s="306"/>
      <c r="W6" s="306"/>
      <c r="X6" s="610"/>
      <c r="AB6" s="10">
        <v>3</v>
      </c>
      <c r="AC6" s="10" t="s">
        <v>266</v>
      </c>
      <c r="AD6" s="10"/>
      <c r="AE6" s="10"/>
      <c r="AF6" s="10"/>
      <c r="AG6" s="10"/>
      <c r="AH6" s="318" t="s">
        <v>73</v>
      </c>
      <c r="AS6" s="610"/>
      <c r="AT6" s="338" t="s">
        <v>364</v>
      </c>
      <c r="AU6" s="611" t="s">
        <v>365</v>
      </c>
      <c r="AV6" s="611"/>
      <c r="AW6" s="336">
        <v>0.6</v>
      </c>
      <c r="AY6" s="325">
        <v>70</v>
      </c>
      <c r="AZ6" s="325">
        <f>AY5</f>
        <v>80</v>
      </c>
      <c r="BA6" s="325"/>
      <c r="BB6" s="327">
        <f>11.1/27</f>
        <v>0.41111111111111109</v>
      </c>
      <c r="BC6" s="327">
        <f>728/27</f>
        <v>26.962962962962962</v>
      </c>
      <c r="BD6" s="328">
        <v>15.9</v>
      </c>
      <c r="BE6" s="326">
        <v>672</v>
      </c>
      <c r="BF6" s="333">
        <f>$BG$5-(($BB$6*$BG$5-$BC$6)*(($BG$6-1400)/($BD$6*$BG$5-$BE$6))^1.31)</f>
        <v>70.422467430536955</v>
      </c>
      <c r="BG6" s="58">
        <v>2700</v>
      </c>
      <c r="BH6" s="58" t="s">
        <v>373</v>
      </c>
    </row>
    <row r="7" spans="2:86" ht="13.5" customHeight="1" thickBot="1">
      <c r="B7" s="260"/>
      <c r="C7" s="54" t="s">
        <v>119</v>
      </c>
      <c r="D7" s="52"/>
      <c r="E7" s="52"/>
      <c r="F7" s="52"/>
      <c r="G7" s="52"/>
      <c r="H7" s="52"/>
      <c r="I7" s="261"/>
      <c r="O7" s="261"/>
      <c r="P7" s="261"/>
      <c r="Q7" s="261"/>
      <c r="R7" s="58"/>
      <c r="S7" s="58"/>
      <c r="T7" s="610"/>
      <c r="U7" s="306"/>
      <c r="V7" s="306"/>
      <c r="W7" s="306"/>
      <c r="X7" s="610"/>
      <c r="AB7" s="484">
        <v>4</v>
      </c>
      <c r="AC7" s="484" t="s">
        <v>255</v>
      </c>
      <c r="AD7" s="484"/>
      <c r="AE7" s="484"/>
      <c r="AF7" s="484"/>
      <c r="AG7" s="484"/>
      <c r="AH7" s="485" t="s">
        <v>495</v>
      </c>
      <c r="AS7" s="610"/>
      <c r="AT7" s="338"/>
      <c r="AU7" s="611" t="s">
        <v>145</v>
      </c>
      <c r="AV7" s="611"/>
      <c r="AW7" s="336">
        <v>1.8</v>
      </c>
      <c r="AY7" s="325"/>
      <c r="AZ7" s="325">
        <f>AY6</f>
        <v>70</v>
      </c>
      <c r="BA7" s="325"/>
      <c r="BB7" s="327">
        <f>3/28</f>
        <v>0.10714285714285714</v>
      </c>
      <c r="BC7" s="327">
        <f>75/14</f>
        <v>5.3571428571428568</v>
      </c>
      <c r="BD7" s="328">
        <v>25</v>
      </c>
      <c r="BE7" s="326">
        <v>1250</v>
      </c>
      <c r="BF7" s="333">
        <f>$BG$5-(($BB$7*$BG$5-$BC$7)*(($BG$6-1400)/($BD$7*$BG$5-$BE$7))^1.31)</f>
        <v>85.00257800642909</v>
      </c>
      <c r="BG7" s="335" t="b">
        <f>IF(BY14&lt;=1400,AZ14,
IF(AZ14&lt;=70,$BG$5-(($BB$7*$BG$5-$BC$7)*(($BG$6-1400)/($BD$7*$BG$5-$BE$7))^1.31),
IF(AZ14&lt;=80,$BG$5-(($BB$6*$BG$5-$BC$6)*(($BG$6-1400)/($BD$6*$BG$5-$BE$6))^1.31),
IF(AZ14&lt;=90,$BG$5-(($BB$5*$BG$5-$BC$5)*(($BG$6-1400)/($BD$5*$BG$5-$BE$5))^1.31),
IF(AZ14&lt;=100,$BG$5-(($BB$4*$BG$5-$BC$4)*(($BG$6-1400)/($BD$4*$BG$5-$BE$4))^1.31))))))</f>
        <v>0</v>
      </c>
      <c r="BH7" s="324" t="s">
        <v>268</v>
      </c>
      <c r="BX7" s="335"/>
      <c r="BY7" s="324"/>
    </row>
    <row r="8" spans="2:86" ht="13.5" customHeight="1">
      <c r="B8" s="260"/>
      <c r="C8" s="262" t="s">
        <v>80</v>
      </c>
      <c r="D8" s="53" t="s">
        <v>121</v>
      </c>
      <c r="E8" s="58"/>
      <c r="F8" s="51" t="s">
        <v>111</v>
      </c>
      <c r="G8" s="53" t="s">
        <v>118</v>
      </c>
      <c r="H8" s="58"/>
      <c r="I8" s="261"/>
      <c r="O8" s="261"/>
      <c r="P8" s="261"/>
      <c r="Q8" s="261"/>
      <c r="R8" s="58"/>
      <c r="S8" s="58"/>
      <c r="T8" s="610"/>
      <c r="U8" s="306"/>
      <c r="V8" s="306"/>
      <c r="W8" s="306"/>
      <c r="X8" s="610"/>
      <c r="AB8" s="10">
        <v>5</v>
      </c>
      <c r="AC8" s="10" t="s">
        <v>492</v>
      </c>
      <c r="AD8" s="10"/>
      <c r="AE8" s="10"/>
      <c r="AF8" s="10"/>
      <c r="AG8" s="10"/>
      <c r="AH8" s="318" t="s">
        <v>73</v>
      </c>
      <c r="AS8" s="610"/>
      <c r="AT8" s="339"/>
      <c r="AU8" s="611" t="s">
        <v>366</v>
      </c>
      <c r="AV8" s="611"/>
      <c r="AW8" s="336">
        <v>0</v>
      </c>
    </row>
    <row r="9" spans="2:86" s="261" customFormat="1" ht="13.5" customHeight="1">
      <c r="B9" s="260"/>
      <c r="C9" s="271" t="s">
        <v>80</v>
      </c>
      <c r="D9" s="53" t="s">
        <v>120</v>
      </c>
      <c r="E9" s="58"/>
      <c r="F9" s="42" t="s">
        <v>113</v>
      </c>
      <c r="G9" s="53" t="s">
        <v>112</v>
      </c>
      <c r="J9" s="349">
        <v>55</v>
      </c>
      <c r="K9" s="350" t="str">
        <f>CONCATENATE("/"&amp;100-J9)</f>
        <v>/45</v>
      </c>
      <c r="L9" s="347" t="s">
        <v>399</v>
      </c>
      <c r="M9" s="348"/>
      <c r="N9" s="348"/>
      <c r="R9" s="259"/>
      <c r="S9" s="259"/>
      <c r="T9" s="610"/>
      <c r="U9" s="306"/>
      <c r="V9" s="306"/>
      <c r="W9" s="306"/>
      <c r="X9" s="610"/>
      <c r="Y9" s="58"/>
      <c r="Z9" s="58"/>
      <c r="AA9" s="58"/>
      <c r="AB9" s="484">
        <v>6</v>
      </c>
      <c r="AC9" s="484" t="s">
        <v>493</v>
      </c>
      <c r="AD9" s="484"/>
      <c r="AE9" s="484"/>
      <c r="AF9" s="484"/>
      <c r="AG9" s="484"/>
      <c r="AH9" s="486" t="s">
        <v>73</v>
      </c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610"/>
      <c r="CG9" s="58"/>
    </row>
    <row r="10" spans="2:86">
      <c r="B10" s="59"/>
      <c r="C10" s="24" t="s">
        <v>111</v>
      </c>
      <c r="D10" s="53" t="s">
        <v>81</v>
      </c>
      <c r="E10" s="58"/>
      <c r="F10" s="272" t="s">
        <v>113</v>
      </c>
      <c r="G10" s="53" t="s">
        <v>271</v>
      </c>
      <c r="I10" s="261"/>
      <c r="J10" s="345">
        <v>2</v>
      </c>
      <c r="K10" s="351" t="s">
        <v>73</v>
      </c>
      <c r="L10" s="346" t="s">
        <v>86</v>
      </c>
      <c r="M10" s="346"/>
      <c r="N10" s="346"/>
      <c r="O10" s="261"/>
      <c r="P10" s="261"/>
      <c r="Q10" s="261"/>
      <c r="R10" s="261"/>
      <c r="S10" s="261"/>
      <c r="T10" s="610"/>
      <c r="U10" s="307"/>
      <c r="V10" s="307"/>
      <c r="W10" s="307"/>
      <c r="X10" s="610"/>
      <c r="Y10" s="261"/>
      <c r="Z10" s="436"/>
      <c r="AA10" s="261"/>
      <c r="AF10" s="261"/>
      <c r="AG10" s="261"/>
      <c r="AH10" s="261"/>
      <c r="AI10" s="261"/>
      <c r="AJ10" s="261"/>
      <c r="AK10" s="290"/>
      <c r="AL10" s="261"/>
      <c r="AM10" s="261"/>
      <c r="AN10" s="261"/>
      <c r="AO10" s="261"/>
      <c r="AP10" s="261"/>
      <c r="AQ10" s="261"/>
      <c r="AR10" s="261"/>
      <c r="AS10" s="610"/>
    </row>
    <row r="11" spans="2:86" ht="13.5" thickBot="1">
      <c r="B11" s="59"/>
      <c r="C11" s="261"/>
      <c r="D11" s="261"/>
      <c r="E11" s="261"/>
      <c r="F11" s="261"/>
      <c r="G11" s="261"/>
      <c r="H11" s="261"/>
      <c r="I11" s="261"/>
      <c r="J11" s="352">
        <v>40</v>
      </c>
      <c r="K11" s="353" t="s">
        <v>400</v>
      </c>
      <c r="L11" s="354" t="s">
        <v>401</v>
      </c>
      <c r="M11" s="355"/>
      <c r="N11" s="355"/>
      <c r="O11" s="261"/>
      <c r="P11" s="261"/>
      <c r="Q11" s="261"/>
      <c r="R11" s="261"/>
      <c r="S11" s="261"/>
      <c r="T11" s="610"/>
      <c r="U11" s="307"/>
      <c r="V11" s="307"/>
      <c r="W11" s="307"/>
      <c r="X11" s="610"/>
      <c r="Y11" s="258"/>
      <c r="Z11" s="258"/>
      <c r="AA11" s="258"/>
      <c r="AQ11" s="275"/>
      <c r="AS11" s="610"/>
      <c r="AT11" s="291"/>
      <c r="AU11" s="291"/>
      <c r="AV11" s="291"/>
      <c r="AW11" s="291" t="s">
        <v>255</v>
      </c>
      <c r="AX11" s="291"/>
      <c r="AY11" s="291"/>
      <c r="AZ11" s="291"/>
      <c r="BA11" s="291"/>
      <c r="BB11" s="291"/>
      <c r="BC11" s="291"/>
      <c r="BD11" s="291"/>
      <c r="BE11" s="291"/>
      <c r="BF11" s="291"/>
      <c r="BG11" s="291"/>
      <c r="BH11" s="291"/>
      <c r="BI11" s="291"/>
      <c r="BJ11" s="291"/>
      <c r="BK11" s="291"/>
      <c r="BL11" s="291"/>
      <c r="BM11" s="490"/>
      <c r="BN11" s="490"/>
      <c r="BO11" s="490"/>
      <c r="BP11" s="490"/>
      <c r="BQ11" s="490"/>
      <c r="BR11" s="490"/>
      <c r="BS11" s="490"/>
      <c r="BT11" s="490"/>
      <c r="BU11" s="490"/>
      <c r="BV11" s="490"/>
      <c r="BW11" s="490"/>
      <c r="BX11" s="490"/>
      <c r="BY11" s="490"/>
      <c r="BZ11" s="490"/>
      <c r="CA11" s="490"/>
      <c r="CB11" s="490"/>
      <c r="CC11" s="490"/>
      <c r="CD11" s="342"/>
      <c r="CE11" s="342"/>
      <c r="CF11" s="342"/>
      <c r="CH11" s="342"/>
    </row>
    <row r="12" spans="2:86">
      <c r="B12" s="59"/>
      <c r="C12" s="261"/>
      <c r="D12" s="261"/>
      <c r="E12" s="261"/>
      <c r="F12" s="261"/>
      <c r="G12" s="261"/>
      <c r="H12" s="261"/>
      <c r="I12" s="261"/>
      <c r="J12" s="261"/>
      <c r="K12" s="261"/>
      <c r="L12" s="261"/>
      <c r="M12" s="261"/>
      <c r="N12" s="261"/>
      <c r="O12" s="261"/>
      <c r="P12" s="261"/>
      <c r="Q12" s="261"/>
      <c r="R12" s="261"/>
      <c r="S12" s="261"/>
      <c r="T12" s="610"/>
      <c r="U12" s="307"/>
      <c r="V12" s="307"/>
      <c r="W12" s="307"/>
      <c r="X12" s="610"/>
      <c r="Y12" s="440"/>
      <c r="Z12" s="440"/>
      <c r="AA12" s="440"/>
      <c r="AG12" s="440"/>
      <c r="AH12" s="440"/>
      <c r="AI12" s="440"/>
      <c r="AJ12" s="440"/>
      <c r="AK12" s="440"/>
      <c r="AL12" s="440"/>
      <c r="AM12" s="440"/>
      <c r="AN12" s="440"/>
      <c r="AO12" s="440"/>
      <c r="AQ12" s="275"/>
      <c r="AR12" s="440"/>
      <c r="AS12" s="610"/>
    </row>
    <row r="13" spans="2:86" s="274" customFormat="1" ht="47.25" customHeight="1">
      <c r="B13" s="303" t="s">
        <v>673</v>
      </c>
      <c r="C13" s="303" t="s">
        <v>129</v>
      </c>
      <c r="D13" s="309" t="s">
        <v>130</v>
      </c>
      <c r="E13" s="303" t="s">
        <v>140</v>
      </c>
      <c r="F13" s="303" t="s">
        <v>141</v>
      </c>
      <c r="G13" s="303" t="s">
        <v>142</v>
      </c>
      <c r="H13" s="303" t="s">
        <v>131</v>
      </c>
      <c r="I13" s="303" t="s">
        <v>378</v>
      </c>
      <c r="J13" s="303" t="s">
        <v>132</v>
      </c>
      <c r="K13" s="303" t="s">
        <v>133</v>
      </c>
      <c r="L13" s="303" t="s">
        <v>134</v>
      </c>
      <c r="M13" s="303" t="s">
        <v>135</v>
      </c>
      <c r="N13" s="303" t="s">
        <v>136</v>
      </c>
      <c r="O13" s="303" t="s">
        <v>137</v>
      </c>
      <c r="P13" s="303" t="s">
        <v>138</v>
      </c>
      <c r="Q13" s="303" t="s">
        <v>139</v>
      </c>
      <c r="R13" s="303" t="s">
        <v>392</v>
      </c>
      <c r="S13" s="303" t="s">
        <v>393</v>
      </c>
      <c r="T13" s="312" t="s">
        <v>382</v>
      </c>
      <c r="U13" s="278" t="s">
        <v>262</v>
      </c>
      <c r="V13" s="278" t="s">
        <v>70</v>
      </c>
      <c r="W13" s="278" t="s">
        <v>71</v>
      </c>
      <c r="X13" s="312" t="s">
        <v>259</v>
      </c>
      <c r="Y13" s="296" t="s">
        <v>66</v>
      </c>
      <c r="Z13" s="296" t="s">
        <v>102</v>
      </c>
      <c r="AA13" s="298" t="s">
        <v>68</v>
      </c>
      <c r="AB13" s="298" t="s">
        <v>77</v>
      </c>
      <c r="AC13" s="299" t="s">
        <v>84</v>
      </c>
      <c r="AD13" s="299" t="s">
        <v>85</v>
      </c>
      <c r="AE13" s="270" t="s">
        <v>383</v>
      </c>
      <c r="AF13" s="270" t="s">
        <v>384</v>
      </c>
      <c r="AG13" s="300" t="s">
        <v>75</v>
      </c>
      <c r="AH13" s="301" t="s">
        <v>230</v>
      </c>
      <c r="AI13" s="301" t="s">
        <v>413</v>
      </c>
      <c r="AJ13" s="301" t="s">
        <v>420</v>
      </c>
      <c r="AK13" s="300" t="s">
        <v>76</v>
      </c>
      <c r="AL13" s="298" t="s">
        <v>90</v>
      </c>
      <c r="AM13" s="296" t="s">
        <v>398</v>
      </c>
      <c r="AN13" s="298" t="s">
        <v>86</v>
      </c>
      <c r="AO13" s="299" t="s">
        <v>117</v>
      </c>
      <c r="AP13" s="298" t="s">
        <v>72</v>
      </c>
      <c r="AQ13" s="298" t="s">
        <v>78</v>
      </c>
      <c r="AR13" s="296" t="s">
        <v>31</v>
      </c>
      <c r="AS13" s="315" t="s">
        <v>260</v>
      </c>
      <c r="AT13" s="302" t="s">
        <v>357</v>
      </c>
      <c r="AU13" s="302" t="s">
        <v>358</v>
      </c>
      <c r="AV13" s="302" t="s">
        <v>359</v>
      </c>
      <c r="AW13" s="302" t="s">
        <v>367</v>
      </c>
      <c r="AX13" s="302" t="s">
        <v>368</v>
      </c>
      <c r="AY13" s="302" t="s">
        <v>369</v>
      </c>
      <c r="AZ13" s="302" t="s">
        <v>370</v>
      </c>
      <c r="BA13" s="302" t="s">
        <v>371</v>
      </c>
      <c r="BB13" s="302" t="s">
        <v>419</v>
      </c>
      <c r="BC13" s="302" t="s">
        <v>372</v>
      </c>
      <c r="BD13" s="302" t="s">
        <v>269</v>
      </c>
      <c r="BE13" s="302" t="s">
        <v>642</v>
      </c>
      <c r="BF13" s="302" t="s">
        <v>106</v>
      </c>
      <c r="BG13" s="302" t="s">
        <v>268</v>
      </c>
      <c r="BH13" s="302" t="s">
        <v>374</v>
      </c>
      <c r="BI13" s="302" t="s">
        <v>375</v>
      </c>
      <c r="BJ13" s="302" t="s">
        <v>376</v>
      </c>
      <c r="BK13" s="302" t="s">
        <v>377</v>
      </c>
      <c r="BL13" s="586" t="s">
        <v>677</v>
      </c>
      <c r="BM13" s="586" t="s">
        <v>698</v>
      </c>
      <c r="BN13" s="586" t="s">
        <v>699</v>
      </c>
      <c r="BO13" s="586" t="s">
        <v>700</v>
      </c>
      <c r="BP13" s="302" t="s">
        <v>400</v>
      </c>
      <c r="BQ13" s="302" t="s">
        <v>504</v>
      </c>
      <c r="BR13" s="302" t="s">
        <v>503</v>
      </c>
      <c r="BS13" s="302" t="s">
        <v>502</v>
      </c>
      <c r="BT13" s="302" t="s">
        <v>505</v>
      </c>
      <c r="BU13" s="302" t="s">
        <v>506</v>
      </c>
      <c r="BV13" s="302" t="s">
        <v>507</v>
      </c>
      <c r="BW13" s="302" t="s">
        <v>508</v>
      </c>
      <c r="BX13" s="302" t="s">
        <v>509</v>
      </c>
      <c r="BY13" s="302" t="s">
        <v>510</v>
      </c>
      <c r="BZ13" s="302" t="s">
        <v>511</v>
      </c>
      <c r="CA13" s="302" t="s">
        <v>512</v>
      </c>
      <c r="CB13" s="302" t="s">
        <v>513</v>
      </c>
      <c r="CC13" s="302" t="s">
        <v>514</v>
      </c>
      <c r="CD13" s="302" t="s">
        <v>515</v>
      </c>
      <c r="CE13" s="302" t="s">
        <v>516</v>
      </c>
      <c r="CF13" s="302" t="s">
        <v>517</v>
      </c>
      <c r="CG13" s="58"/>
    </row>
    <row r="14" spans="2:86">
      <c r="B14" s="584">
        <v>-1</v>
      </c>
      <c r="C14" s="389"/>
      <c r="D14" s="384"/>
      <c r="E14" s="385">
        <v>0</v>
      </c>
      <c r="F14" s="385">
        <v>2100</v>
      </c>
      <c r="G14" s="534">
        <v>2100</v>
      </c>
      <c r="H14" s="383" t="str">
        <f>"Dupla"</f>
        <v>Dupla</v>
      </c>
      <c r="I14" s="383" t="s">
        <v>379</v>
      </c>
      <c r="J14" s="584">
        <v>1</v>
      </c>
      <c r="K14" s="530">
        <v>3.6</v>
      </c>
      <c r="L14" s="383" t="s">
        <v>143</v>
      </c>
      <c r="M14" s="530">
        <v>2</v>
      </c>
      <c r="N14" s="386">
        <v>0</v>
      </c>
      <c r="O14" s="383">
        <v>0</v>
      </c>
      <c r="P14" s="584" t="s">
        <v>366</v>
      </c>
      <c r="Q14" s="383" t="s">
        <v>144</v>
      </c>
      <c r="R14" s="585" t="s">
        <v>73</v>
      </c>
      <c r="S14" s="310">
        <v>0</v>
      </c>
      <c r="T14" s="313"/>
      <c r="U14" s="279"/>
      <c r="V14" s="541">
        <v>10013.241193618138</v>
      </c>
      <c r="W14" s="541">
        <v>3155.5016611464598</v>
      </c>
      <c r="X14" s="313"/>
      <c r="Y14" s="440">
        <f t="shared" ref="Y14" si="0">IF(OR(H14="Dupla",H14="Pista Dupla"),4,1)</f>
        <v>4</v>
      </c>
      <c r="Z14" s="292">
        <f ca="1">INDIRECT(CONCATENATE(IF(MULTILANE_HIGHWAY[[#This Row],[tipo]]=1,$AH$4,IF(MULTILANE_HIGHWAY[[#This Row],[tipo]]=2,$AH$5,IF(MULTILANE_HIGHWAY[[#This Row],[tipo]]=3,$AH$6,IF(MULTILANE_HIGHWAY[[#This Row],[tipo]]=4,$AH$7))))&amp;ROW()))</f>
        <v>0</v>
      </c>
      <c r="AA14" s="544" t="s">
        <v>411</v>
      </c>
      <c r="AB14" s="544" t="s">
        <v>381</v>
      </c>
      <c r="AC14" s="22">
        <f>MULTILANE_HIGHWAY[Largura das Faixas]</f>
        <v>3.6</v>
      </c>
      <c r="AD14" s="22">
        <f>MULTILANE_HIGHWAY[Largura Acost.]</f>
        <v>2</v>
      </c>
      <c r="AE14" s="323">
        <f>MULTILANE_HIGHWAY[passeio]</f>
        <v>10013.241193618138</v>
      </c>
      <c r="AF14" s="323">
        <f>MULTILANE_HIGHWAY[pesado]</f>
        <v>3155.5016611464598</v>
      </c>
      <c r="AG14" s="323">
        <f>MULTILANE_HIGHWAY[passeio'']+MULTILANE_HIGHWAY[pesado'']</f>
        <v>13168.742854764598</v>
      </c>
      <c r="AH14" s="435">
        <f>MULTILANE_HIGHWAY[pesado'']/MULTILANE_HIGHWAY[vdma]</f>
        <v>0.23962056940042414</v>
      </c>
      <c r="AI14" s="547">
        <f>3%</f>
        <v>0.03</v>
      </c>
      <c r="AJ14" s="435">
        <f t="shared" ref="AJ14" si="1">0.12</f>
        <v>0.12</v>
      </c>
      <c r="AK14" s="330">
        <f>IF(MULTILANE_HIGHWAY[[#This Row],[Pista]]="Pista Simples",MULTILANE_HIGHWAY[[#This Row],[vdma]]*MULTILANE_HIGHWAY[[#This Row],[fatK]],MULTILANE_HIGHWAY[[#This Row],[vdma]]*MULTILANE_HIGHWAY[[#This Row],[fatK]])</f>
        <v>1580.2491425717517</v>
      </c>
      <c r="AL14" s="580">
        <f>$J$9/100</f>
        <v>0.55000000000000004</v>
      </c>
      <c r="AM14" s="264">
        <f>MULTILANE_HIGHWAY[veic/h]*MULTILANE_HIGHWAY[distrib. direc.]</f>
        <v>869.13702841446354</v>
      </c>
      <c r="AN14" s="544">
        <v>2</v>
      </c>
      <c r="AO14" s="525">
        <f>0</f>
        <v>0</v>
      </c>
      <c r="AP14" s="544">
        <v>75</v>
      </c>
      <c r="AQ14" s="547">
        <v>0.4</v>
      </c>
      <c r="AR14" s="544">
        <v>0.88</v>
      </c>
      <c r="AS14" s="316"/>
      <c r="AT14" s="332">
        <f>VLOOKUP(MULTILANE_HIGHWAY[faixa (m)],'HCM2000'!$B$541:$C$547,2,TRUE)</f>
        <v>0</v>
      </c>
      <c r="AU14" s="332">
        <f>IF(MULTILANE_HIGHWAY[acost (m)]&gt;0,1.8,1.2)</f>
        <v>1.8</v>
      </c>
      <c r="AV14" s="332">
        <f>IF(MULTILANE_HIGHWAY[Separador]=$AU$6,$AW$6,IF(MULTILANE_HIGHWAY[Separador]=$AU$7,$AW$7,$AW$8))</f>
        <v>0</v>
      </c>
      <c r="AW14" s="332" t="str">
        <f>IF(MULTILANE_HIGHWAY[Número de Faixas]=2,VLOOKUP(MULTILANE_HIGHWAY[Lcr]+MULTILANE_HIGHWAY[Lcl],'HCM2000'!$B$551:$D$587,2,FALSE),IF(MULTILANE_HIGHWAY[Número de Faixas]&gt;=3,VLOOKUP(MULTILANE_HIGHWAY[Lcr]+MULTILANE_HIGHWAY[Lcl],'HCM2000'!$B$551:$D$587,3,FALSE),"Pista simples"))</f>
        <v>Pista simples</v>
      </c>
      <c r="AX14" s="332">
        <f>IF(MULTILANE_HIGHWAY[Separador]="Sinalização horizontal",'HCM2000'!$C$590,'HCM2000'!$C$591)</f>
        <v>2.6</v>
      </c>
      <c r="AY14" s="332">
        <f>MIN((2/3)*MULTILANE_HIGHWAY[[#This Row],[acessos/km]],16)</f>
        <v>1.3333333333333333</v>
      </c>
      <c r="AZ14" s="332" t="str">
        <f>IF(MULTILANE_HIGHWAY[fLC]="Pista simples","-",MULTILANE_HIGHWAY[BFFS]-MULTILANE_HIGHWAY[fLW]-MULTILANE_HIGHWAY[fLC]-MULTILANE_HIGHWAY[fM]-MULTILANE_HIGHWAY[fA2])</f>
        <v>-</v>
      </c>
      <c r="BA14" s="332">
        <f>IF(MULTILANE_HIGHWAY[plano/ondulado]="Montanhoso",MULTILANE_HIGHWAY[Para PT&lt;],VLOOKUP(MULTILANE_HIGHWAY[plano/ondulado],'HCM2000'!$B$606:$C$608,2,FALSE))</f>
        <v>2.5</v>
      </c>
      <c r="BB14" s="332">
        <f>IF(MULTILANE_HIGHWAY[[#This Row],[plano/ondulado]]="Montanhoso",MULTILANE_HIGHWAY[[#This Row],[Para PT&lt;]],VLOOKUP(MULTILANE_HIGHWAY[[#This Row],[plano/ondulado]],'HCM2000'!$E$606:$F$608,2,FALSE))</f>
        <v>2</v>
      </c>
      <c r="BC14" s="433">
        <f>1/(1+(MULTILANE_HIGHWAY[Pt]*(MULTILANE_HIGHWAY[Et2]-1))+(MULTILANE_HIGHWAY[PRv]*(MULTILANE_HIGHWAY[Er2]-1)))</f>
        <v>0.71971915482421711</v>
      </c>
      <c r="BD14" s="329">
        <f>MULTILANE_HIGHWAY[[#This Row],[Número de Faixas]]+IF(MULTILANE_HIGHWAY[[#This Row],[Num. Faixas Marg.]]="-",0,MULTILANE_HIGHWAY[[#This Row],[Num. Faixas Marg.]])</f>
        <v>1</v>
      </c>
      <c r="BE14" s="331">
        <f>MULTILANE_HIGHWAY[[#This Row],[Vzão]]/(MULTILANE_HIGHWAY[[#This Row],[PHF]]*MULTILANE_HIGHWAY[[#This Row],[N]]*MULTILANE_HIGHWAY[[#This Row],[fHV]])</f>
        <v>1372.2793224095421</v>
      </c>
      <c r="BF14" s="332" t="str">
        <f>IF(MULTILANE_HIGHWAY[fLC]="Pista simples","-",MULTILANE_HIGHWAY[vp3]/MULTILANE_HIGHWAY[S])</f>
        <v>-</v>
      </c>
      <c r="BG14" s="332" t="str">
        <f>IF(MULTILANE_HIGHWAY[vp3]&lt;=1400,MULTILANE_HIGHWAY[FFS2],
IF(MULTILANE_HIGHWAY[FFS2]&lt;=70,MULTILANE_HIGHWAY[FFS2]-(($BB$7*MULTILANE_HIGHWAY[FFS2]-$BC$7)*((MULTILANE_HIGHWAY[vp3]-1400)/($BD$7*MULTILANE_HIGHWAY[FFS2]-$BE$7))^1.31),
IF(MULTILANE_HIGHWAY[FFS2]&lt;=80,MULTILANE_HIGHWAY[FFS2]-(($BB$6*MULTILANE_HIGHWAY[FFS2]-$BC$6)*((MULTILANE_HIGHWAY[vp3]-1400)/($BD$6*MULTILANE_HIGHWAY[FFS2]-$BE$6))^1.31),
IF(MULTILANE_HIGHWAY[FFS2]&lt;=90,MULTILANE_HIGHWAY[FFS2]-(($BB$5*MULTILANE_HIGHWAY[FFS2]-$BC$5)*((MULTILANE_HIGHWAY[vp3]-1400)/($BD$5*MULTILANE_HIGHWAY[FFS2]-$BE$5))^1.31),
IF(MULTILANE_HIGHWAY[FFS2]&lt;=120,MULTILANE_HIGHWAY[FFS2]-(($BB$4*MULTILANE_HIGHWAY[FFS2]-$BC$4)*((MULTILANE_HIGHWAY[vp3]-1400)/($BD$4*MULTILANE_HIGHWAY[FFS2]-$BE$4))^1.31))))))</f>
        <v>-</v>
      </c>
      <c r="BH14" s="329">
        <f>IF(ISNA(IF(MULTILANE_HIGHWAY[[#This Row],[FFS2]]&gt;100,MATCH(MULTILANE_HIGHWAY[[#This Row],[vp3]],'HCM2000'!$L$659:$P$659,-1),IF(MULTILANE_HIGHWAY[[#This Row],[FFS2]]&gt;90,MATCH(MULTILANE_HIGHWAY[[#This Row],[vp3]],'HCM2000'!$L$664:$P$664,-1),IF(MULTILANE_HIGHWAY[[#This Row],[FFS2]]&gt;80,MATCH(MULTILANE_HIGHWAY[[#This Row],[vp3]],'HCM2000'!$L$669:$P$669,-1),MATCH(MULTILANE_HIGHWAY[[#This Row],[vp3]],'HCM2000'!$L$674:$P$674,-1))))),"F",IF(MULTILANE_HIGHWAY[[#This Row],[FFS2]]&gt;100,MATCH(MULTILANE_HIGHWAY[[#This Row],[vp3]],'HCM2000'!$L$659:$P$659,-1),IF(MULTILANE_HIGHWAY[[#This Row],[FFS2]]&gt;90,MATCH(MULTILANE_HIGHWAY[[#This Row],[vp3]],'HCM2000'!$L$664:$P$664,-1),IF(MULTILANE_HIGHWAY[[#This Row],[FFS2]]&gt;80,MATCH(MULTILANE_HIGHWAY[[#This Row],[vp3]],'HCM2000'!$L$669:$P$669,-1),MATCH(MULTILANE_HIGHWAY[[#This Row],[vp3]],'HCM2000'!$L$674:$P$674,-1)))))</f>
        <v>3</v>
      </c>
      <c r="BI14" s="308" t="str">
        <f>IF(MULTILANE_HIGHWAY[LOS_vp3]="F","F",VLOOKUP(MULTILANE_HIGHWAY[LOS_vp3],'HCM2000'!$R$655:$S$659,2))</f>
        <v>D</v>
      </c>
      <c r="BJ14" s="329" t="str">
        <f>IF(ISNA(IF(MULTILANE_HIGHWAY[[#This Row],[fLC]]="Pista simples","-",IF(MULTILANE_HIGHWAY[[#This Row],[FFS2]]&gt;100,MATCH(MULTILANE_HIGHWAY[[#This Row],[D]],'HCM2000'!$L$656:$P$656,-1),IF(MULTILANE_HIGHWAY[[#This Row],[FFS2]]&gt;90,MATCH(MULTILANE_HIGHWAY[[#This Row],[D]],'HCM2000'!$L$660:$P$660,-1),IF(MULTILANE_HIGHWAY[[#This Row],[FFS2]]&gt;80,MATCH(MULTILANE_HIGHWAY[[#This Row],[D]],'HCM2000'!$L$665:$P$665,-1),MATCH(MULTILANE_HIGHWAY[[#This Row],[D]],'HCM2000'!$L$670:$P$670,-1)))))),"F",IF(MULTILANE_HIGHWAY[[#This Row],[fLC]]="Pista simples","-",IF(MULTILANE_HIGHWAY[[#This Row],[FFS2]]&gt;100,MATCH(MULTILANE_HIGHWAY[[#This Row],[D]],'HCM2000'!$L$656:$P$656,-1),IF(MULTILANE_HIGHWAY[[#This Row],[FFS2]]&gt;90,MATCH(MULTILANE_HIGHWAY[[#This Row],[D]],'HCM2000'!$L$660:$P$660,-1),IF(MULTILANE_HIGHWAY[[#This Row],[FFS2]]&gt;80,MATCH(MULTILANE_HIGHWAY[[#This Row],[D]],'HCM2000'!$L$665:$P$665,-1),MATCH(MULTILANE_HIGHWAY[[#This Row],[D]],'HCM2000'!$L$670:$P$670,-1))))))</f>
        <v>-</v>
      </c>
      <c r="BK14" s="308" t="str">
        <f>IF(MULTILANE_HIGHWAY[[#This Row],[LOS_vp3]]="F","F",IF(MULTILANE_HIGHWAY[[#This Row],[fLC]]="Pista simples","-",VLOOKUP(MULTILANE_HIGHWAY[[#This Row],[LOS_D3]],'HCM2000'!$R$655:$S$659,2)))</f>
        <v>-</v>
      </c>
      <c r="BL14" s="280" t="e">
        <f>IF(OR(MULTILANE_HIGHWAY[[#This Row],[LOS_vp3]]="F",MULTILANE_HIGHWAY[[#This Row],[LOS_D3]]="F"),"F",IF(MULTILANE_HIGHWAY[[#This Row],[Pista]]="Pista Simples","-",VLOOKUP(MINA(MULTILANE_HIGHWAY[[#This Row],[LOS_vp]],MULTILANE_HIGHWAY[[#This Row],[LOS_D]]),'HCM2000'!$R$655:$S$659,2)))</f>
        <v>#N/A</v>
      </c>
      <c r="BM14" s="280">
        <f>MULTILANE_HIGHWAY[vp3]</f>
        <v>1372.2793224095421</v>
      </c>
      <c r="BN14" s="280" t="str">
        <f>MULTILANE_HIGHWAY[D]</f>
        <v>-</v>
      </c>
      <c r="BO14" s="280" t="str">
        <f>MULTILANE_HIGHWAY[S]</f>
        <v>-</v>
      </c>
      <c r="BP14" s="381">
        <f>8</f>
        <v>8</v>
      </c>
      <c r="BQ14" s="381">
        <v>1.3</v>
      </c>
      <c r="BR14" s="22">
        <f>INDEX('HCM2000'!$E$613:$M$642,IF(MULTILANE_HIGHWAY[[#This Row],[%]]&lt;5,MATCH(MULTILANE_HIGHWAY[[#This Row],[ext]],'HCM2000'!$D$613:$D$618,1),MATCH(MULTILANE_HIGHWAY[[#This Row],[ext]],'HCM2000'!$D$631:$D$636,1))-1+(MATCH(MULTILANE_HIGHWAY[[#This Row],[%]],'HCM2000'!$C$613:$C$642,1)-5),MATCH(MULTILANE_HIGHWAY[[#This Row],[Pt]]*100,'HCM2000'!$E$611:$M$611,1))</f>
        <v>3.5</v>
      </c>
      <c r="BS14" s="440">
        <f>INDEX('HCM2000'!$E$613:$M$642,IF(MULTILANE_HIGHWAY[[#This Row],[%]]&lt;5,MATCH(MULTILANE_HIGHWAY[[#This Row],[ext]],'HCM2000'!$D$613:$D$618,1),MATCH(MULTILANE_HIGHWAY[[#This Row],[ext]],'HCM2000'!$D$631:$D$636,1))-1+(MATCH(MULTILANE_HIGHWAY[[#This Row],[%]],'HCM2000'!$C$613:$C$642,1)-5),MATCH(MULTILANE_HIGHWAY[[#This Row],[Pt]]*100,'HCM2000'!$E$611:$M$611,1)+1)</f>
        <v>3.5</v>
      </c>
      <c r="BT14" s="22">
        <f>ABS(INDEX('HCM2000'!$E$611:$M$611,1,MATCH(MULTILANE_HIGHWAY[Pt]*100,'HCM2000'!$E$611:$M$611,1))-MULTILANE_HIGHWAY[Pt]*100)</f>
        <v>3.9620569400424159</v>
      </c>
      <c r="BU14" s="22">
        <f>INDEX('HCM2000'!$E$611:$M$611,1,MATCH(MULTILANE_HIGHWAY[[#This Row],[Pt]]*100,'HCM2000'!$E$611:$M$611,1)+1)-MULTILANE_HIGHWAY[[#This Row],[Pt]]*100</f>
        <v>1.0379430599575841</v>
      </c>
      <c r="BV14" s="22">
        <f>IFERROR(MULTILANE_HIGHWAY[[#This Row],[Ex 21-9 Pt &gt;]]+(MULTILANE_HIGHWAY[[#This Row],[Para PT&gt;]]/(MULTILANE_HIGHWAY[[#This Row],[Para PT&lt;]]+MULTILANE_HIGHWAY[[#This Row],[Para PT&gt;]])*ABS(MULTILANE_HIGHWAY[[#This Row],[Ex 21-9 Pt &lt;]]-MULTILANE_HIGHWAY[[#This Row],[Ex 21-9 Pt &gt;]])),MULTILANE_HIGHWAY[[#This Row],[Ex 21-9 Pt &lt;]])</f>
        <v>3.5</v>
      </c>
      <c r="BW14" s="440">
        <v>1.2</v>
      </c>
      <c r="BX14" s="433">
        <f>1/(1+(MULTILANE_HIGHWAY[Pt]*(MULTILANE_HIGHWAY[ETsu]-1))+(MULTILANE_HIGHWAY[PRv]*(MULTILANE_HIGHWAY[ERsu]-1)))</f>
        <v>0.62303299779562449</v>
      </c>
      <c r="BY14" s="331">
        <f>MULTILANE_HIGHWAY[Vzão]/(MULTILANE_HIGHWAY[PHF]*MULTILANE_HIGHWAY[N]*MULTILANE_HIGHWAY[fHVsu])</f>
        <v>1585.2382098569501</v>
      </c>
      <c r="BZ14" s="422" t="str">
        <f>IF(MULTILANE_HIGHWAY[fLC]="Pista simples","-",MULTILANE_HIGHWAY[vpsu]/MULTILANE_HIGHWAY[S])</f>
        <v>-</v>
      </c>
      <c r="CA14" s="422" t="b">
        <f>IF(MULTILANE_HIGHWAY[vpsu]&lt;=1400,MULTILANE_HIGHWAY[FFS2],
IF(MULTILANE_HIGHWAY[FFS2]&lt;=70,MULTILANE_HIGHWAY[FFS2]-(($BB$7*MULTILANE_HIGHWAY[FFS2]-$BC$7)*((MULTILANE_HIGHWAY[vpsu]-1400)/($BD$7*MULTILANE_HIGHWAY[FFS2]-$BE$7))^1.31),
IF(MULTILANE_HIGHWAY[FFS2]&lt;=80,MULTILANE_HIGHWAY[FFS2]-(($BB$6*MULTILANE_HIGHWAY[FFS2]-$BC$6)*((MULTILANE_HIGHWAY[vpsu]-1400)/($BD$6*MULTILANE_HIGHWAY[FFS2]-$BE$6))^1.31),
IF(MULTILANE_HIGHWAY[FFS2]&lt;=90,MULTILANE_HIGHWAY[FFS2]-(($BB$5*MULTILANE_HIGHWAY[FFS2]-$BC$5)*((MULTILANE_HIGHWAY[vpsu]-1400)/($BD$5*MULTILANE_HIGHWAY[FFS2]-$BE$5))^1.31),
IF(MULTILANE_HIGHWAY[FFS2]&lt;=120,MULTILANE_HIGHWAY[FFS2]-(($BB$4*MULTILANE_HIGHWAY[FFS2]-$BC$4)*((MULTILANE_HIGHWAY[vpsu]-1400)/($BD$4*MULTILANE_HIGHWAY[FFS2]-$BE$4))^1.31))))))</f>
        <v>0</v>
      </c>
      <c r="CB14" s="329">
        <f>IF(ISNA(IF(MULTILANE_HIGHWAY[[#This Row],[FFS2]]&gt;100,MATCH(MULTILANE_HIGHWAY[[#This Row],[vpsu]],'HCM2000'!$L$659:$P$659,-1),IF(MULTILANE_HIGHWAY[[#This Row],[FFS2]]&gt;90,MATCH(MULTILANE_HIGHWAY[[#This Row],[vpsu]],'HCM2000'!$L$664:$P$664,-1),IF(MULTILANE_HIGHWAY[[#This Row],[FFS2]]&gt;80,MATCH(MULTILANE_HIGHWAY[[#This Row],[vpsu]],'HCM2000'!$L$669:$P$669,-1),MATCH(MULTILANE_HIGHWAY[[#This Row],[vpsu]],'HCM2000'!$L$674:$P$674,-1))))),"F",IF(MULTILANE_HIGHWAY[[#This Row],[FFS2]]&gt;100,MATCH(MULTILANE_HIGHWAY[[#This Row],[vpsu]],'HCM2000'!$L$659:$P$659,-1),IF(MULTILANE_HIGHWAY[[#This Row],[FFS2]]&gt;90,MATCH(MULTILANE_HIGHWAY[[#This Row],[vpsu]],'HCM2000'!$L$664:$P$664,-1),IF(MULTILANE_HIGHWAY[[#This Row],[FFS2]]&gt;80,MATCH(MULTILANE_HIGHWAY[[#This Row],[vpsu]],'HCM2000'!$L$669:$P$669,-1),MATCH(MULTILANE_HIGHWAY[[#This Row],[vpsu]],'HCM2000'!$L$674:$P$674,-1)))))</f>
        <v>2</v>
      </c>
      <c r="CC14" s="308" t="str">
        <f>IF(MULTILANE_HIGHWAY[[#This Row],[LOS_vp3]]="F","F",VLOOKUP(MULTILANE_HIGHWAY[[#This Row],[LOS_vp3]],'HCM2000'!$R$655:$S$659,2))</f>
        <v>D</v>
      </c>
      <c r="CD14" s="329" t="str">
        <f>IF(ISNA(IF(MULTILANE_HIGHWAY[[#This Row],[fLC]]="Pista simples","-",IF(MULTILANE_HIGHWAY[[#This Row],[FFS2]]&gt;100,MATCH(MULTILANE_HIGHWAY[[#This Row],[Dsu]],'HCM2000'!$L$656:$P$656,-1),IF(MULTILANE_HIGHWAY[[#This Row],[FFS2]]&gt;90,MATCH(MULTILANE_HIGHWAY[[#This Row],[Dsu]],'HCM2000'!$L$660:$P$660,-1),IF(MULTILANE_HIGHWAY[[#This Row],[FFS2]]&gt;80,MATCH(MULTILANE_HIGHWAY[[#This Row],[Dsu]],'HCM2000'!$L$665:$P$665,-1),MATCH(MULTILANE_HIGHWAY[[#This Row],[Dsu]],'HCM2000'!$L$670:$P$670,-1)))))),"F",IF(MULTILANE_HIGHWAY[[#This Row],[fLC]]="Pista simples","-",IF(MULTILANE_HIGHWAY[[#This Row],[FFS2]]&gt;100,MATCH(MULTILANE_HIGHWAY[[#This Row],[Dsu]],'HCM2000'!$L$656:$P$656,-1),IF(MULTILANE_HIGHWAY[[#This Row],[FFS2]]&gt;90,MATCH(MULTILANE_HIGHWAY[[#This Row],[Dsu]],'HCM2000'!$L$660:$P$660,-1),IF(MULTILANE_HIGHWAY[[#This Row],[FFS2]]&gt;80,MATCH(MULTILANE_HIGHWAY[[#This Row],[Dsu]],'HCM2000'!$L$665:$P$665,-1),MATCH(MULTILANE_HIGHWAY[[#This Row],[Dsu]],'HCM2000'!$L$670:$P$670,-1))))))</f>
        <v>-</v>
      </c>
      <c r="CE14" s="308" t="str">
        <f>IF(MULTILANE_HIGHWAY[[#This Row],[LOS_vp3]]="F","F",IF(MULTILANE_HIGHWAY[[#This Row],[fLC]]="Pista simples","-",VLOOKUP(MULTILANE_HIGHWAY[[#This Row],[LOS_D3]],'HCM2000'!$R$655:$S$659,2)))</f>
        <v>-</v>
      </c>
      <c r="CF14" s="280" t="e">
        <f>IF(OR(MULTILANE_HIGHWAY[[#This Row],[LOS_vp3]]="F",MULTILANE_HIGHWAY[[#This Row],[LOS_D3]]="F"),"F",IF(MULTILANE_HIGHWAY[[#This Row],[Pista]]="Pista Simples","-",VLOOKUP(MINA(MULTILANE_HIGHWAY[LOS_vp3],MULTILANE_HIGHWAY[LOS_D3]),'HCM2000'!$R$655:$S$659,2)))</f>
        <v>#N/A</v>
      </c>
    </row>
    <row r="15" spans="2:86" s="294" customFormat="1">
      <c r="B15" s="60"/>
      <c r="C15" s="60"/>
      <c r="D15" s="60"/>
      <c r="E15" s="60"/>
      <c r="F15" s="60"/>
      <c r="G15" s="60"/>
      <c r="H15" s="60"/>
      <c r="I15" s="60"/>
      <c r="J15" s="60"/>
      <c r="K15" s="61"/>
      <c r="L15" s="60"/>
      <c r="M15" s="60"/>
      <c r="N15" s="60"/>
      <c r="O15" s="60"/>
      <c r="P15" s="60"/>
      <c r="Q15" s="60"/>
      <c r="R15" s="60"/>
      <c r="S15" s="60"/>
      <c r="T15" s="314"/>
      <c r="U15" s="273"/>
      <c r="V15" s="273"/>
      <c r="W15" s="273"/>
      <c r="X15" s="314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314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416"/>
      <c r="CG15" s="58"/>
    </row>
    <row r="16" spans="2:86" s="294" customFormat="1">
      <c r="B16" s="60"/>
      <c r="C16" s="60"/>
      <c r="D16" s="60"/>
      <c r="E16" s="60"/>
      <c r="F16" s="60"/>
      <c r="G16" s="60"/>
      <c r="H16" s="60"/>
      <c r="I16" s="60"/>
      <c r="J16" s="60"/>
      <c r="K16" s="61"/>
      <c r="L16" s="60"/>
      <c r="M16" s="60"/>
      <c r="N16" s="60"/>
      <c r="O16" s="60"/>
      <c r="P16" s="60"/>
      <c r="Q16" s="60"/>
      <c r="R16" s="60"/>
      <c r="S16" s="60"/>
      <c r="T16" s="314"/>
      <c r="U16" s="273"/>
      <c r="V16" s="273"/>
      <c r="W16" s="273"/>
      <c r="X16" s="314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314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416"/>
      <c r="CG16" s="416"/>
    </row>
    <row r="17" spans="2:84" s="294" customFormat="1">
      <c r="B17" s="60"/>
      <c r="C17" s="60"/>
      <c r="D17" s="60"/>
      <c r="E17" s="60"/>
      <c r="F17" s="60"/>
      <c r="G17" s="60"/>
      <c r="H17" s="60"/>
      <c r="I17" s="60"/>
      <c r="J17" s="60"/>
      <c r="K17" s="61"/>
      <c r="L17" s="60"/>
      <c r="M17" s="60"/>
      <c r="N17" s="60"/>
      <c r="O17" s="60"/>
      <c r="P17" s="60"/>
      <c r="Q17" s="60"/>
      <c r="R17" s="60"/>
      <c r="S17" s="60"/>
      <c r="T17" s="314"/>
      <c r="U17" s="273"/>
      <c r="V17" s="273"/>
      <c r="W17" s="273"/>
      <c r="X17" s="314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314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416"/>
    </row>
    <row r="18" spans="2:84" s="294" customFormat="1">
      <c r="B18" s="60"/>
      <c r="C18" s="60"/>
      <c r="D18" s="60"/>
      <c r="E18" s="60"/>
      <c r="F18" s="60"/>
      <c r="G18" s="60"/>
      <c r="H18" s="60"/>
      <c r="I18" s="60"/>
      <c r="J18" s="60"/>
      <c r="K18" s="61"/>
      <c r="L18" s="60"/>
      <c r="M18" s="60"/>
      <c r="N18" s="60"/>
      <c r="O18" s="60"/>
      <c r="P18" s="60"/>
      <c r="Q18" s="60"/>
      <c r="R18" s="60"/>
      <c r="S18" s="60"/>
      <c r="T18" s="314"/>
      <c r="U18" s="273"/>
      <c r="V18" s="273"/>
      <c r="W18" s="273"/>
      <c r="X18" s="314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314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416"/>
    </row>
    <row r="19" spans="2:84" s="294" customFormat="1">
      <c r="B19" s="60"/>
      <c r="C19" s="60"/>
      <c r="D19" s="60"/>
      <c r="E19" s="60"/>
      <c r="F19" s="60"/>
      <c r="G19" s="60"/>
      <c r="H19" s="60"/>
      <c r="I19" s="60"/>
      <c r="J19" s="60"/>
      <c r="K19" s="61"/>
      <c r="L19" s="60"/>
      <c r="M19" s="60"/>
      <c r="N19" s="60"/>
      <c r="O19" s="60"/>
      <c r="P19" s="60"/>
      <c r="Q19" s="60"/>
      <c r="R19" s="60"/>
      <c r="S19" s="60"/>
      <c r="T19" s="314"/>
      <c r="U19" s="273"/>
      <c r="V19" s="273"/>
      <c r="W19" s="273"/>
      <c r="X19" s="314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M19" s="58"/>
      <c r="AN19" s="58"/>
      <c r="AO19" s="58"/>
      <c r="AP19" s="58"/>
      <c r="AQ19" s="58"/>
      <c r="AR19" s="58"/>
      <c r="AS19" s="314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416"/>
      <c r="CE19" s="58"/>
      <c r="CF19" s="58"/>
    </row>
    <row r="20" spans="2:84" s="294" customFormat="1">
      <c r="B20" s="60"/>
      <c r="C20" s="60"/>
      <c r="D20" s="60"/>
      <c r="E20" s="60"/>
      <c r="F20" s="60"/>
      <c r="G20" s="60"/>
      <c r="H20" s="60"/>
      <c r="I20" s="60"/>
      <c r="J20" s="60"/>
      <c r="K20" s="61"/>
      <c r="L20" s="60"/>
      <c r="M20" s="60"/>
      <c r="N20" s="60"/>
      <c r="O20" s="60"/>
      <c r="P20" s="60"/>
      <c r="Q20" s="60"/>
      <c r="R20" s="60"/>
      <c r="S20" s="60"/>
      <c r="T20" s="314"/>
      <c r="U20" s="273"/>
      <c r="V20" s="273"/>
      <c r="W20" s="273"/>
      <c r="X20" s="314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M20" s="58"/>
      <c r="AN20" s="58"/>
      <c r="AO20" s="58"/>
      <c r="AP20" s="58"/>
      <c r="AQ20" s="58"/>
      <c r="AR20" s="58"/>
      <c r="AS20" s="314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8"/>
      <c r="BL20" s="58"/>
      <c r="BM20" s="58"/>
      <c r="BN20" s="58"/>
      <c r="BO20" s="58"/>
      <c r="BP20" s="58"/>
      <c r="BQ20" s="58"/>
      <c r="BR20" s="58"/>
      <c r="BS20" s="58"/>
      <c r="BT20" s="58"/>
      <c r="BU20" s="58"/>
      <c r="BV20" s="58"/>
      <c r="BW20" s="58"/>
      <c r="BX20" s="58"/>
      <c r="BY20" s="58"/>
      <c r="BZ20" s="58"/>
      <c r="CA20" s="58"/>
      <c r="CB20" s="58"/>
      <c r="CC20" s="58"/>
      <c r="CD20" s="416"/>
      <c r="CE20" s="416"/>
      <c r="CF20" s="58"/>
    </row>
    <row r="21" spans="2:84">
      <c r="CD21" s="416"/>
      <c r="CE21" s="416"/>
    </row>
    <row r="22" spans="2:84">
      <c r="CD22" s="416"/>
      <c r="CE22" s="416"/>
    </row>
    <row r="23" spans="2:84">
      <c r="CD23" s="416"/>
      <c r="CE23" s="416"/>
    </row>
    <row r="24" spans="2:84">
      <c r="CD24" s="416"/>
      <c r="CE24" s="416"/>
    </row>
    <row r="25" spans="2:84">
      <c r="CD25" s="416"/>
      <c r="CE25" s="416"/>
    </row>
    <row r="26" spans="2:84">
      <c r="CD26" s="416"/>
      <c r="CE26" s="416"/>
    </row>
    <row r="27" spans="2:84">
      <c r="CD27" s="416"/>
      <c r="CE27" s="416"/>
    </row>
    <row r="28" spans="2:84">
      <c r="CD28" s="416"/>
      <c r="CE28" s="416"/>
    </row>
    <row r="29" spans="2:84">
      <c r="CD29" s="416"/>
      <c r="CE29" s="416"/>
    </row>
    <row r="30" spans="2:84">
      <c r="CD30" s="416"/>
      <c r="CE30" s="416"/>
    </row>
    <row r="31" spans="2:84">
      <c r="CD31" s="416"/>
      <c r="CE31" s="416"/>
    </row>
    <row r="32" spans="2:84">
      <c r="CD32" s="416"/>
      <c r="CE32" s="416"/>
    </row>
    <row r="33" spans="82:83">
      <c r="CD33" s="416"/>
      <c r="CE33" s="416"/>
    </row>
    <row r="34" spans="82:83">
      <c r="CD34" s="416"/>
      <c r="CE34" s="416"/>
    </row>
    <row r="35" spans="82:83">
      <c r="CD35" s="416"/>
      <c r="CE35" s="416"/>
    </row>
    <row r="36" spans="82:83">
      <c r="CD36" s="416"/>
      <c r="CE36" s="416"/>
    </row>
    <row r="37" spans="82:83">
      <c r="CD37" s="416"/>
      <c r="CE37" s="416"/>
    </row>
    <row r="38" spans="82:83">
      <c r="CD38" s="416"/>
      <c r="CE38" s="416"/>
    </row>
    <row r="39" spans="82:83">
      <c r="CD39" s="416"/>
      <c r="CE39" s="416"/>
    </row>
    <row r="40" spans="82:83">
      <c r="CD40" s="416"/>
      <c r="CE40" s="416"/>
    </row>
    <row r="41" spans="82:83">
      <c r="CD41" s="416"/>
      <c r="CE41" s="416"/>
    </row>
    <row r="42" spans="82:83">
      <c r="CD42" s="416"/>
      <c r="CE42" s="416"/>
    </row>
    <row r="43" spans="82:83">
      <c r="CD43" s="416"/>
      <c r="CE43" s="416"/>
    </row>
    <row r="44" spans="82:83">
      <c r="CD44" s="416"/>
      <c r="CE44" s="416"/>
    </row>
    <row r="45" spans="82:83">
      <c r="CD45" s="416"/>
      <c r="CE45" s="416"/>
    </row>
    <row r="46" spans="82:83">
      <c r="CD46" s="416"/>
      <c r="CE46" s="416"/>
    </row>
    <row r="47" spans="82:83">
      <c r="CD47" s="416"/>
      <c r="CE47" s="416"/>
    </row>
    <row r="48" spans="82:83">
      <c r="CD48" s="416"/>
      <c r="CE48" s="416"/>
    </row>
    <row r="49" spans="82:83">
      <c r="CD49" s="416"/>
      <c r="CE49" s="416"/>
    </row>
    <row r="50" spans="82:83">
      <c r="CD50" s="416"/>
      <c r="CE50" s="416"/>
    </row>
    <row r="51" spans="82:83">
      <c r="CD51" s="416"/>
      <c r="CE51" s="416"/>
    </row>
    <row r="52" spans="82:83">
      <c r="CD52" s="416"/>
      <c r="CE52" s="416"/>
    </row>
    <row r="53" spans="82:83">
      <c r="CD53" s="416"/>
      <c r="CE53" s="416"/>
    </row>
    <row r="54" spans="82:83">
      <c r="CD54" s="416"/>
      <c r="CE54" s="416"/>
    </row>
    <row r="55" spans="82:83">
      <c r="CD55" s="416"/>
      <c r="CE55" s="416"/>
    </row>
    <row r="56" spans="82:83">
      <c r="CD56" s="416"/>
      <c r="CE56" s="416"/>
    </row>
    <row r="57" spans="82:83">
      <c r="CD57" s="416"/>
      <c r="CE57" s="416"/>
    </row>
    <row r="58" spans="82:83">
      <c r="CD58" s="416"/>
      <c r="CE58" s="416"/>
    </row>
    <row r="59" spans="82:83">
      <c r="CD59" s="416"/>
      <c r="CE59" s="416"/>
    </row>
    <row r="60" spans="82:83">
      <c r="CD60" s="416"/>
      <c r="CE60" s="416"/>
    </row>
    <row r="61" spans="82:83">
      <c r="CD61" s="416"/>
      <c r="CE61" s="416"/>
    </row>
    <row r="62" spans="82:83">
      <c r="CD62" s="416"/>
      <c r="CE62" s="416"/>
    </row>
    <row r="63" spans="82:83">
      <c r="CD63" s="416"/>
      <c r="CE63" s="416"/>
    </row>
    <row r="64" spans="82:83">
      <c r="CD64" s="416"/>
      <c r="CE64" s="416"/>
    </row>
    <row r="65" spans="82:84">
      <c r="CD65" s="416"/>
      <c r="CE65" s="416"/>
    </row>
    <row r="66" spans="82:84">
      <c r="CD66" s="416"/>
      <c r="CE66" s="416"/>
    </row>
    <row r="67" spans="82:84">
      <c r="CD67" s="416"/>
      <c r="CE67" s="416"/>
    </row>
    <row r="68" spans="82:84">
      <c r="CD68" s="416"/>
      <c r="CE68" s="416"/>
    </row>
    <row r="69" spans="82:84">
      <c r="CD69" s="416"/>
      <c r="CE69" s="416"/>
    </row>
    <row r="70" spans="82:84">
      <c r="CD70" s="416"/>
      <c r="CE70" s="416"/>
    </row>
    <row r="71" spans="82:84">
      <c r="CD71" s="416"/>
      <c r="CE71" s="416"/>
    </row>
    <row r="72" spans="82:84">
      <c r="CD72" s="416"/>
      <c r="CE72" s="416"/>
    </row>
    <row r="73" spans="82:84">
      <c r="CD73" s="416"/>
      <c r="CE73" s="416"/>
    </row>
    <row r="74" spans="82:84">
      <c r="CD74" s="416"/>
      <c r="CE74" s="416"/>
    </row>
    <row r="75" spans="82:84">
      <c r="CD75" s="416"/>
      <c r="CE75" s="416"/>
    </row>
    <row r="76" spans="82:84">
      <c r="CD76" s="416"/>
      <c r="CE76" s="416"/>
    </row>
    <row r="77" spans="82:84">
      <c r="CD77" s="416"/>
      <c r="CE77" s="416"/>
    </row>
    <row r="78" spans="82:84">
      <c r="CD78" s="416"/>
      <c r="CE78" s="416"/>
    </row>
    <row r="79" spans="82:84">
      <c r="CD79" s="526"/>
      <c r="CE79" s="526"/>
      <c r="CF79" s="569"/>
    </row>
    <row r="80" spans="82:84">
      <c r="CD80" s="416"/>
      <c r="CE80" s="416"/>
    </row>
    <row r="81" spans="2:84" s="569" customFormat="1">
      <c r="B81" s="60"/>
      <c r="C81" s="60"/>
      <c r="D81" s="60"/>
      <c r="E81" s="60"/>
      <c r="F81" s="60"/>
      <c r="G81" s="60"/>
      <c r="H81" s="60"/>
      <c r="I81" s="60"/>
      <c r="J81" s="60"/>
      <c r="K81" s="61"/>
      <c r="L81" s="60"/>
      <c r="M81" s="60"/>
      <c r="N81" s="60"/>
      <c r="O81" s="60"/>
      <c r="P81" s="60"/>
      <c r="Q81" s="60"/>
      <c r="R81" s="60"/>
      <c r="S81" s="60"/>
      <c r="T81" s="314"/>
      <c r="U81" s="273"/>
      <c r="V81" s="273"/>
      <c r="W81" s="273"/>
      <c r="X81" s="314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314"/>
      <c r="AT81" s="58"/>
      <c r="AU81" s="58"/>
      <c r="AV81" s="58"/>
      <c r="AW81" s="58"/>
      <c r="AX81" s="58"/>
      <c r="AY81" s="58"/>
      <c r="AZ81" s="58"/>
      <c r="BA81" s="58"/>
      <c r="BB81" s="58"/>
      <c r="BC81" s="58"/>
      <c r="BD81" s="58"/>
      <c r="BE81" s="58"/>
      <c r="BF81" s="58"/>
      <c r="BG81" s="58"/>
      <c r="BH81" s="58"/>
      <c r="BI81" s="58"/>
      <c r="BJ81" s="58"/>
      <c r="BK81" s="58"/>
      <c r="BL81" s="58"/>
      <c r="BM81" s="58"/>
      <c r="BN81" s="58"/>
      <c r="BO81" s="58"/>
      <c r="BP81" s="58"/>
      <c r="BQ81" s="58"/>
      <c r="BR81" s="58"/>
      <c r="BS81" s="58"/>
      <c r="BT81" s="58"/>
      <c r="BU81" s="58"/>
      <c r="BV81" s="58"/>
      <c r="BW81" s="58"/>
      <c r="BX81" s="58"/>
      <c r="BY81" s="58"/>
      <c r="BZ81" s="58"/>
      <c r="CA81" s="58"/>
      <c r="CB81" s="58"/>
      <c r="CC81" s="58"/>
      <c r="CD81" s="416"/>
      <c r="CE81" s="416"/>
      <c r="CF81" s="58"/>
    </row>
    <row r="82" spans="2:84">
      <c r="CD82" s="416"/>
      <c r="CE82" s="416"/>
    </row>
    <row r="83" spans="2:84">
      <c r="CD83" s="416"/>
      <c r="CE83" s="416"/>
    </row>
    <row r="84" spans="2:84">
      <c r="CD84" s="416"/>
      <c r="CE84" s="416"/>
    </row>
    <row r="85" spans="2:84">
      <c r="CD85" s="416"/>
      <c r="CE85" s="416"/>
    </row>
    <row r="86" spans="2:84">
      <c r="CD86" s="416"/>
      <c r="CE86" s="416"/>
    </row>
    <row r="87" spans="2:84">
      <c r="CD87" s="416"/>
      <c r="CE87" s="416"/>
    </row>
    <row r="88" spans="2:84">
      <c r="CD88" s="416"/>
      <c r="CE88" s="416"/>
    </row>
    <row r="89" spans="2:84">
      <c r="CD89" s="280"/>
      <c r="CE89" s="280"/>
      <c r="CF89" s="432"/>
    </row>
    <row r="91" spans="2:84" s="432" customFormat="1">
      <c r="B91" s="60"/>
      <c r="C91" s="60"/>
      <c r="D91" s="60"/>
      <c r="E91" s="60"/>
      <c r="F91" s="60"/>
      <c r="G91" s="60"/>
      <c r="H91" s="60"/>
      <c r="I91" s="60"/>
      <c r="J91" s="60"/>
      <c r="K91" s="61"/>
      <c r="L91" s="60"/>
      <c r="M91" s="60"/>
      <c r="N91" s="60"/>
      <c r="O91" s="60"/>
      <c r="P91" s="60"/>
      <c r="Q91" s="60"/>
      <c r="R91" s="60"/>
      <c r="S91" s="60"/>
      <c r="T91" s="314"/>
      <c r="U91" s="273"/>
      <c r="V91" s="273"/>
      <c r="W91" s="273"/>
      <c r="X91" s="314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314"/>
      <c r="AT91" s="58"/>
      <c r="AU91" s="58"/>
      <c r="AV91" s="58"/>
      <c r="AW91" s="58"/>
      <c r="AX91" s="58"/>
      <c r="AY91" s="58"/>
      <c r="AZ91" s="58"/>
      <c r="BA91" s="58"/>
      <c r="BB91" s="58"/>
      <c r="BC91" s="58"/>
      <c r="BD91" s="58"/>
      <c r="BE91" s="58"/>
      <c r="BF91" s="58"/>
      <c r="BG91" s="58"/>
      <c r="BH91" s="58"/>
      <c r="BI91" s="58"/>
      <c r="BJ91" s="58"/>
      <c r="BK91" s="58"/>
      <c r="BL91" s="58"/>
      <c r="BM91" s="58"/>
      <c r="BN91" s="58"/>
      <c r="BO91" s="58"/>
      <c r="BP91" s="58"/>
      <c r="BQ91" s="58"/>
      <c r="BR91" s="58"/>
      <c r="BS91" s="58"/>
      <c r="BT91" s="58"/>
      <c r="BU91" s="58"/>
      <c r="BV91" s="58"/>
      <c r="BW91" s="58"/>
      <c r="BX91" s="58"/>
      <c r="BY91" s="58"/>
      <c r="BZ91" s="58"/>
      <c r="CA91" s="58"/>
      <c r="CB91" s="58"/>
      <c r="CC91" s="58"/>
      <c r="CD91" s="58"/>
      <c r="CE91" s="58"/>
      <c r="CF91" s="58"/>
    </row>
    <row r="121" spans="1:1">
      <c r="A121" s="434"/>
    </row>
  </sheetData>
  <mergeCells count="9">
    <mergeCell ref="F1:G1"/>
    <mergeCell ref="T2:T12"/>
    <mergeCell ref="X2:X12"/>
    <mergeCell ref="AS2:AS12"/>
    <mergeCell ref="AU4:AV4"/>
    <mergeCell ref="AU5:AV5"/>
    <mergeCell ref="AU6:AV6"/>
    <mergeCell ref="AU7:AV7"/>
    <mergeCell ref="AU8:AV8"/>
  </mergeCells>
  <conditionalFormatting sqref="H1">
    <cfRule type="colorScale" priority="4">
      <colorScale>
        <cfvo type="min"/>
        <cfvo type="max"/>
        <color rgb="FFFCFCFF"/>
        <color rgb="FF63BE7B"/>
      </colorScale>
    </cfRule>
  </conditionalFormatting>
  <conditionalFormatting sqref="BF14:BG14">
    <cfRule type="cellIs" dxfId="4" priority="3" operator="lessThan">
      <formula>0</formula>
    </cfRule>
  </conditionalFormatting>
  <conditionalFormatting sqref="I15:I1048576 I10:I13 N1">
    <cfRule type="colorScale" priority="9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:F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">
    <cfRule type="colorScale" priority="74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6"/>
  </sheetPr>
  <dimension ref="A1:CG121"/>
  <sheetViews>
    <sheetView showGridLines="0" topLeftCell="A13" zoomScaleNormal="100" workbookViewId="0">
      <pane xSplit="2" topLeftCell="AS1" activePane="topRight" state="frozen"/>
      <selection activeCell="A4" sqref="A4"/>
      <selection pane="topRight" activeCell="BB35" sqref="BB35"/>
    </sheetView>
  </sheetViews>
  <sheetFormatPr defaultRowHeight="12.75" outlineLevelCol="1"/>
  <cols>
    <col min="1" max="1" width="2.140625" style="58" customWidth="1"/>
    <col min="2" max="2" width="6.5703125" style="60" customWidth="1"/>
    <col min="3" max="3" width="23.5703125" style="60" customWidth="1"/>
    <col min="4" max="4" width="15.85546875" style="60" customWidth="1"/>
    <col min="5" max="7" width="10.42578125" style="60" customWidth="1"/>
    <col min="8" max="8" width="9.85546875" style="60" customWidth="1"/>
    <col min="9" max="9" width="11.7109375" style="60" bestFit="1" customWidth="1"/>
    <col min="10" max="10" width="8.7109375" style="60" customWidth="1" outlineLevel="1"/>
    <col min="11" max="11" width="8.7109375" style="61" customWidth="1" outlineLevel="1"/>
    <col min="12" max="16" width="8.7109375" style="60" customWidth="1" outlineLevel="1"/>
    <col min="17" max="20" width="10.140625" style="60" customWidth="1" outlineLevel="1"/>
    <col min="21" max="24" width="9.140625" style="273" customWidth="1" outlineLevel="1"/>
    <col min="25" max="26" width="9.140625" style="58" customWidth="1"/>
    <col min="27" max="42" width="9.140625" style="58" customWidth="1" outlineLevel="1"/>
    <col min="43" max="43" width="9.85546875" style="58" customWidth="1" outlineLevel="1"/>
    <col min="44" max="55" width="9.140625" style="58" customWidth="1" outlineLevel="1"/>
    <col min="56" max="56" width="9.85546875" style="58" customWidth="1" outlineLevel="1"/>
    <col min="57" max="57" width="10.7109375" style="58" customWidth="1" outlineLevel="1"/>
    <col min="58" max="62" width="9.140625" style="58" customWidth="1" outlineLevel="1"/>
    <col min="63" max="63" width="9.140625" style="58" customWidth="1"/>
    <col min="64" max="64" width="9.140625" style="58" customWidth="1" outlineLevel="1"/>
    <col min="65" max="65" width="9.28515625" style="58" customWidth="1" outlineLevel="1"/>
    <col min="66" max="79" width="9.140625" style="58" customWidth="1" outlineLevel="1"/>
    <col min="80" max="81" width="9.140625" style="58" customWidth="1"/>
    <col min="82" max="82" width="7.28515625" style="58" customWidth="1"/>
    <col min="83" max="86" width="9.140625" style="58" customWidth="1"/>
    <col min="87" max="16384" width="9.140625" style="58"/>
  </cols>
  <sheetData>
    <row r="1" spans="2:85" s="33" customFormat="1" ht="32.25">
      <c r="B1" s="33" t="s">
        <v>261</v>
      </c>
      <c r="E1" s="49" t="s">
        <v>116</v>
      </c>
      <c r="F1" s="609">
        <v>2019</v>
      </c>
      <c r="G1" s="609"/>
      <c r="N1" s="321"/>
      <c r="U1" s="276"/>
      <c r="V1" s="276"/>
      <c r="W1" s="277"/>
      <c r="X1" s="276"/>
    </row>
    <row r="2" spans="2:85" ht="13.5" customHeight="1"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306"/>
      <c r="V2" s="306"/>
      <c r="W2" s="306"/>
      <c r="X2" s="306"/>
    </row>
    <row r="3" spans="2:85" ht="13.5" customHeight="1">
      <c r="B3" s="260"/>
      <c r="C3" s="12" t="s">
        <v>258</v>
      </c>
      <c r="D3" s="19" t="s">
        <v>50</v>
      </c>
      <c r="E3" s="12"/>
      <c r="F3" s="12"/>
      <c r="G3" s="12"/>
      <c r="H3" s="12"/>
      <c r="I3" s="261"/>
      <c r="J3" s="12" t="s">
        <v>264</v>
      </c>
      <c r="K3" s="19" t="s">
        <v>388</v>
      </c>
      <c r="L3" s="19" t="s">
        <v>50</v>
      </c>
      <c r="M3" s="12"/>
      <c r="N3" s="12"/>
      <c r="O3" s="261"/>
      <c r="P3" s="261"/>
      <c r="Q3" s="261"/>
      <c r="R3" s="58"/>
      <c r="S3" s="58"/>
      <c r="T3" s="58"/>
      <c r="U3" s="306"/>
      <c r="V3" s="306"/>
      <c r="W3" s="306"/>
      <c r="X3" s="306"/>
      <c r="AB3" s="12" t="s">
        <v>66</v>
      </c>
      <c r="AC3" s="9" t="s">
        <v>67</v>
      </c>
      <c r="AD3" s="9"/>
      <c r="AE3" s="9"/>
      <c r="AF3" s="9"/>
      <c r="AG3" s="9"/>
      <c r="AH3" s="268" t="s">
        <v>270</v>
      </c>
      <c r="AT3" s="19" t="s">
        <v>360</v>
      </c>
      <c r="AU3" s="19"/>
      <c r="AV3" s="19"/>
      <c r="AW3" s="19"/>
      <c r="AY3" s="268" t="s">
        <v>82</v>
      </c>
      <c r="AZ3" s="268" t="s">
        <v>82</v>
      </c>
      <c r="BA3" s="268"/>
      <c r="BB3" s="340" t="s">
        <v>253</v>
      </c>
      <c r="BC3" s="340" t="s">
        <v>396</v>
      </c>
      <c r="BD3" s="340" t="s">
        <v>397</v>
      </c>
      <c r="BE3" s="340" t="s">
        <v>395</v>
      </c>
      <c r="BF3" s="268" t="s">
        <v>268</v>
      </c>
    </row>
    <row r="4" spans="2:85" ht="13.5" customHeight="1">
      <c r="B4" s="260"/>
      <c r="C4" s="600">
        <v>8.7999999999999995E-2</v>
      </c>
      <c r="D4" s="10" t="s">
        <v>257</v>
      </c>
      <c r="E4" s="10"/>
      <c r="F4" s="10"/>
      <c r="G4" s="10"/>
      <c r="H4" s="10"/>
      <c r="I4" s="261"/>
      <c r="J4" s="10">
        <v>75</v>
      </c>
      <c r="K4" s="10" t="s">
        <v>389</v>
      </c>
      <c r="L4" s="10" t="s">
        <v>387</v>
      </c>
      <c r="M4" s="10"/>
      <c r="N4" s="10"/>
      <c r="O4" s="261"/>
      <c r="P4" s="261"/>
      <c r="Q4" s="261"/>
      <c r="R4" s="58"/>
      <c r="S4" s="58"/>
      <c r="T4" s="58"/>
      <c r="U4" s="306"/>
      <c r="V4" s="306"/>
      <c r="W4" s="306"/>
      <c r="X4" s="306"/>
      <c r="AB4" s="10">
        <v>1</v>
      </c>
      <c r="AC4" s="10" t="s">
        <v>69</v>
      </c>
      <c r="AD4" s="10"/>
      <c r="AE4" s="10"/>
      <c r="AF4" s="10"/>
      <c r="AG4" s="10"/>
      <c r="AH4" s="267" t="s">
        <v>494</v>
      </c>
      <c r="AT4" s="19" t="s">
        <v>361</v>
      </c>
      <c r="AU4" s="611" t="s">
        <v>362</v>
      </c>
      <c r="AV4" s="611"/>
      <c r="AW4" s="336">
        <v>1.8</v>
      </c>
      <c r="AY4" s="325">
        <v>90</v>
      </c>
      <c r="AZ4" s="325">
        <v>100</v>
      </c>
      <c r="BA4" s="325"/>
      <c r="BB4" s="327">
        <f>9.3/25</f>
        <v>0.37200000000000005</v>
      </c>
      <c r="BC4" s="327">
        <f>630/25</f>
        <v>25.2</v>
      </c>
      <c r="BD4" s="328">
        <v>15.7</v>
      </c>
      <c r="BE4" s="326">
        <v>770</v>
      </c>
      <c r="BF4" s="333">
        <f>$BG$5-(($BB$4*$BG$5-$BC$4)*(($BG$6-1400)/($BD$4*$BG$5-$BE$4))^1.31)</f>
        <v>69.918502211957843</v>
      </c>
    </row>
    <row r="5" spans="2:85" ht="13.5" customHeight="1" thickBot="1">
      <c r="B5" s="260"/>
      <c r="C5" s="319" t="s">
        <v>147</v>
      </c>
      <c r="D5" s="320" t="s">
        <v>256</v>
      </c>
      <c r="E5" s="320"/>
      <c r="F5" s="320"/>
      <c r="G5" s="320"/>
      <c r="H5" s="320"/>
      <c r="I5" s="261"/>
      <c r="J5" s="320">
        <v>100</v>
      </c>
      <c r="K5" s="320" t="s">
        <v>389</v>
      </c>
      <c r="L5" s="320" t="s">
        <v>410</v>
      </c>
      <c r="M5" s="320"/>
      <c r="N5" s="320"/>
      <c r="O5" s="261"/>
      <c r="P5" s="261"/>
      <c r="Q5" s="261"/>
      <c r="R5" s="58"/>
      <c r="S5" s="58"/>
      <c r="T5" s="58"/>
      <c r="U5" s="306"/>
      <c r="V5" s="306"/>
      <c r="W5" s="306"/>
      <c r="X5" s="306"/>
      <c r="AB5" s="11">
        <v>2</v>
      </c>
      <c r="AC5" s="11" t="s">
        <v>267</v>
      </c>
      <c r="AD5" s="11"/>
      <c r="AE5" s="11"/>
      <c r="AF5" s="11"/>
      <c r="AG5" s="11"/>
      <c r="AH5" s="317" t="s">
        <v>73</v>
      </c>
      <c r="AT5" s="337"/>
      <c r="AU5" s="611" t="s">
        <v>363</v>
      </c>
      <c r="AV5" s="611"/>
      <c r="AW5" s="336">
        <v>1.2</v>
      </c>
      <c r="AY5" s="325">
        <v>80</v>
      </c>
      <c r="AZ5" s="325">
        <f>AY4</f>
        <v>90</v>
      </c>
      <c r="BA5" s="325"/>
      <c r="BB5" s="327">
        <f>10.4/26</f>
        <v>0.4</v>
      </c>
      <c r="BC5" s="327">
        <f>696/26</f>
        <v>26.76923076923077</v>
      </c>
      <c r="BD5" s="328">
        <v>15.6</v>
      </c>
      <c r="BE5" s="326">
        <v>704</v>
      </c>
      <c r="BF5" s="333">
        <f>$BG$5-(($BB$5*$BG$5-$BC$5)*(($BG$6-1400)/($BD$5*$BG$5-$BE$5))^1.31)</f>
        <v>69.947259693600216</v>
      </c>
      <c r="BG5" s="281">
        <v>91</v>
      </c>
      <c r="BH5" s="334" t="s">
        <v>82</v>
      </c>
      <c r="BX5" s="281"/>
      <c r="BY5" s="334"/>
    </row>
    <row r="6" spans="2:85" ht="13.5" customHeight="1">
      <c r="B6" s="260"/>
      <c r="C6" s="58"/>
      <c r="D6" s="58"/>
      <c r="E6" s="58"/>
      <c r="F6" s="58"/>
      <c r="G6" s="58"/>
      <c r="H6" s="58"/>
      <c r="I6" s="261"/>
      <c r="O6" s="261"/>
      <c r="P6" s="261"/>
      <c r="Q6" s="261"/>
      <c r="R6" s="58"/>
      <c r="S6" s="58"/>
      <c r="T6" s="58"/>
      <c r="U6" s="306"/>
      <c r="V6" s="306"/>
      <c r="W6" s="306"/>
      <c r="X6" s="306"/>
      <c r="AB6" s="10">
        <v>3</v>
      </c>
      <c r="AC6" s="10" t="s">
        <v>266</v>
      </c>
      <c r="AD6" s="10"/>
      <c r="AE6" s="10"/>
      <c r="AF6" s="10"/>
      <c r="AG6" s="10"/>
      <c r="AH6" s="318" t="s">
        <v>73</v>
      </c>
      <c r="AT6" s="338" t="s">
        <v>364</v>
      </c>
      <c r="AU6" s="611" t="s">
        <v>365</v>
      </c>
      <c r="AV6" s="611"/>
      <c r="AW6" s="336">
        <v>0.6</v>
      </c>
      <c r="AY6" s="325">
        <v>70</v>
      </c>
      <c r="AZ6" s="325">
        <f>AY5</f>
        <v>80</v>
      </c>
      <c r="BA6" s="325"/>
      <c r="BB6" s="327">
        <f>11.1/27</f>
        <v>0.41111111111111109</v>
      </c>
      <c r="BC6" s="327">
        <f>728/27</f>
        <v>26.962962962962962</v>
      </c>
      <c r="BD6" s="328">
        <v>15.9</v>
      </c>
      <c r="BE6" s="326">
        <v>672</v>
      </c>
      <c r="BF6" s="333">
        <f>$BG$5-(($BB$6*$BG$5-$BC$6)*(($BG$6-1400)/($BD$6*$BG$5-$BE$6))^1.31)</f>
        <v>70.422467430536955</v>
      </c>
      <c r="BG6" s="58">
        <v>2700</v>
      </c>
      <c r="BH6" s="58" t="s">
        <v>373</v>
      </c>
    </row>
    <row r="7" spans="2:85" ht="13.5" customHeight="1" thickBot="1">
      <c r="B7" s="260"/>
      <c r="C7" s="54" t="s">
        <v>119</v>
      </c>
      <c r="D7" s="52"/>
      <c r="E7" s="52"/>
      <c r="F7" s="52"/>
      <c r="G7" s="52"/>
      <c r="H7" s="52"/>
      <c r="I7" s="261"/>
      <c r="O7" s="261"/>
      <c r="P7" s="261"/>
      <c r="Q7" s="261"/>
      <c r="R7" s="58"/>
      <c r="S7" s="58"/>
      <c r="T7" s="58"/>
      <c r="U7" s="306"/>
      <c r="V7" s="306"/>
      <c r="W7" s="306"/>
      <c r="X7" s="306"/>
      <c r="AB7" s="484">
        <v>4</v>
      </c>
      <c r="AC7" s="484" t="s">
        <v>255</v>
      </c>
      <c r="AD7" s="484"/>
      <c r="AE7" s="484"/>
      <c r="AF7" s="484"/>
      <c r="AG7" s="484"/>
      <c r="AH7" s="485" t="s">
        <v>495</v>
      </c>
      <c r="AT7" s="338"/>
      <c r="AU7" s="611" t="s">
        <v>145</v>
      </c>
      <c r="AV7" s="611"/>
      <c r="AW7" s="336">
        <v>1.8</v>
      </c>
      <c r="AY7" s="325"/>
      <c r="AZ7" s="325">
        <f>AY6</f>
        <v>70</v>
      </c>
      <c r="BA7" s="325"/>
      <c r="BB7" s="327">
        <f>3/28</f>
        <v>0.10714285714285714</v>
      </c>
      <c r="BC7" s="327">
        <f>75/14</f>
        <v>5.3571428571428568</v>
      </c>
      <c r="BD7" s="328">
        <v>25</v>
      </c>
      <c r="BE7" s="326">
        <v>1250</v>
      </c>
      <c r="BF7" s="333">
        <f>$BG$5-(($BB$7*$BG$5-$BC$7)*(($BG$6-1400)/($BD$7*$BG$5-$BE$7))^1.31)</f>
        <v>85.00257800642909</v>
      </c>
      <c r="BG7" s="335">
        <f>IF(BD14&lt;=1400,AJ14,
IF(AJ14&lt;=70,$BG$5-(($BB$7*$BG$5-$BC$7)*(($BG$6-1400)/($BD$7*$BG$5-$BE$7))^1.31),
IF(AJ14&lt;=80,$BG$5-(($BB$6*$BG$5-$BC$6)*(($BG$6-1400)/($BD$6*$BG$5-$BE$6))^1.31),
IF(AJ14&lt;=90,$BG$5-(($BB$5*$BG$5-$BC$5)*(($BG$6-1400)/($BD$5*$BG$5-$BE$5))^1.31),
IF(AJ14&lt;=100,$BG$5-(($BB$4*$BG$5-$BC$4)*(($BG$6-1400)/($BD$4*$BG$5-$BE$4))^1.31))))))</f>
        <v>68.966666666666683</v>
      </c>
      <c r="BH7" s="324" t="s">
        <v>268</v>
      </c>
      <c r="BX7" s="335"/>
      <c r="BY7" s="324"/>
    </row>
    <row r="8" spans="2:85" ht="13.5" customHeight="1">
      <c r="B8" s="260"/>
      <c r="C8" s="262" t="s">
        <v>80</v>
      </c>
      <c r="D8" s="53" t="s">
        <v>121</v>
      </c>
      <c r="E8" s="58"/>
      <c r="F8" s="51" t="s">
        <v>111</v>
      </c>
      <c r="G8" s="53" t="s">
        <v>118</v>
      </c>
      <c r="H8" s="58"/>
      <c r="I8" s="261"/>
      <c r="O8" s="261"/>
      <c r="P8" s="261"/>
      <c r="Q8" s="261"/>
      <c r="R8" s="58"/>
      <c r="S8" s="58"/>
      <c r="T8" s="58"/>
      <c r="U8" s="306"/>
      <c r="V8" s="306"/>
      <c r="W8" s="306"/>
      <c r="X8" s="306"/>
      <c r="AB8" s="10">
        <v>5</v>
      </c>
      <c r="AC8" s="10" t="s">
        <v>492</v>
      </c>
      <c r="AD8" s="10"/>
      <c r="AE8" s="10"/>
      <c r="AF8" s="10"/>
      <c r="AG8" s="10"/>
      <c r="AH8" s="318" t="s">
        <v>73</v>
      </c>
      <c r="AT8" s="339"/>
      <c r="AU8" s="611" t="s">
        <v>366</v>
      </c>
      <c r="AV8" s="611"/>
      <c r="AW8" s="336">
        <v>0</v>
      </c>
    </row>
    <row r="9" spans="2:85" s="261" customFormat="1" ht="13.5" customHeight="1">
      <c r="B9" s="260"/>
      <c r="C9" s="271" t="s">
        <v>80</v>
      </c>
      <c r="D9" s="53" t="s">
        <v>120</v>
      </c>
      <c r="E9" s="58"/>
      <c r="F9" s="42" t="s">
        <v>113</v>
      </c>
      <c r="G9" s="53" t="s">
        <v>112</v>
      </c>
      <c r="J9" s="349">
        <v>55</v>
      </c>
      <c r="K9" s="350" t="str">
        <f>CONCATENATE("/"&amp;100-J9)</f>
        <v>/45</v>
      </c>
      <c r="L9" s="347" t="s">
        <v>399</v>
      </c>
      <c r="M9" s="348"/>
      <c r="N9" s="348"/>
      <c r="R9" s="259"/>
      <c r="S9" s="259"/>
      <c r="T9" s="259"/>
      <c r="U9" s="306"/>
      <c r="V9" s="306"/>
      <c r="W9" s="306"/>
      <c r="X9" s="306"/>
      <c r="Y9" s="58"/>
      <c r="Z9" s="58"/>
      <c r="AA9" s="58"/>
      <c r="AB9" s="484">
        <v>6</v>
      </c>
      <c r="AC9" s="484" t="s">
        <v>493</v>
      </c>
      <c r="AD9" s="484"/>
      <c r="AE9" s="484"/>
      <c r="AF9" s="484"/>
      <c r="AG9" s="484"/>
      <c r="AH9" s="486" t="s">
        <v>73</v>
      </c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CG9" s="58"/>
    </row>
    <row r="10" spans="2:85">
      <c r="B10" s="59"/>
      <c r="C10" s="24" t="s">
        <v>111</v>
      </c>
      <c r="D10" s="53" t="s">
        <v>81</v>
      </c>
      <c r="E10" s="58"/>
      <c r="F10" s="272" t="s">
        <v>113</v>
      </c>
      <c r="G10" s="53" t="s">
        <v>271</v>
      </c>
      <c r="I10" s="261"/>
      <c r="J10" s="345">
        <v>2</v>
      </c>
      <c r="K10" s="351" t="s">
        <v>73</v>
      </c>
      <c r="L10" s="346" t="s">
        <v>86</v>
      </c>
      <c r="M10" s="346"/>
      <c r="N10" s="346"/>
      <c r="O10" s="261"/>
      <c r="P10" s="261"/>
      <c r="Q10" s="261"/>
      <c r="R10" s="261"/>
      <c r="S10" s="261"/>
      <c r="T10" s="261"/>
      <c r="U10" s="307"/>
      <c r="V10" s="307"/>
      <c r="W10" s="307"/>
      <c r="X10" s="307"/>
      <c r="Y10" s="261"/>
      <c r="Z10" s="436"/>
      <c r="AA10" s="261"/>
      <c r="AF10" s="261"/>
      <c r="AG10" s="261"/>
      <c r="AH10" s="261"/>
      <c r="AI10" s="261"/>
      <c r="AJ10" s="261"/>
      <c r="AK10" s="290"/>
      <c r="AL10" s="261"/>
      <c r="AM10" s="261"/>
      <c r="AN10" s="261"/>
      <c r="AO10" s="261"/>
      <c r="AP10" s="261"/>
      <c r="AQ10" s="261"/>
      <c r="AR10" s="261"/>
      <c r="AS10" s="261"/>
    </row>
    <row r="11" spans="2:85" ht="13.5" thickBot="1">
      <c r="B11" s="59"/>
      <c r="C11" s="261"/>
      <c r="D11" s="261"/>
      <c r="E11" s="261"/>
      <c r="F11" s="261"/>
      <c r="G11" s="261"/>
      <c r="H11" s="261"/>
      <c r="I11" s="261"/>
      <c r="J11" s="352">
        <v>40</v>
      </c>
      <c r="K11" s="353" t="s">
        <v>400</v>
      </c>
      <c r="L11" s="354" t="s">
        <v>401</v>
      </c>
      <c r="M11" s="355"/>
      <c r="N11" s="355"/>
      <c r="O11" s="261"/>
      <c r="P11" s="261"/>
      <c r="Q11" s="261"/>
      <c r="R11" s="261"/>
      <c r="S11" s="261"/>
      <c r="T11" s="261"/>
      <c r="U11" s="307"/>
      <c r="V11" s="307"/>
      <c r="W11" s="307"/>
      <c r="X11" s="307"/>
      <c r="Y11" s="258"/>
      <c r="Z11" s="258"/>
      <c r="AA11" s="258"/>
      <c r="AQ11" s="275"/>
      <c r="AT11" s="342"/>
      <c r="AU11" s="342"/>
      <c r="AV11" s="342"/>
      <c r="AW11" s="342"/>
      <c r="AY11" s="342"/>
    </row>
    <row r="12" spans="2:85">
      <c r="B12" s="59"/>
      <c r="C12" s="261"/>
      <c r="D12" s="261"/>
      <c r="E12" s="261"/>
      <c r="F12" s="261"/>
      <c r="G12" s="261"/>
      <c r="H12" s="261"/>
      <c r="I12" s="261"/>
      <c r="J12" s="261"/>
      <c r="K12" s="261"/>
      <c r="L12" s="261"/>
      <c r="M12" s="261"/>
      <c r="N12" s="261"/>
      <c r="O12" s="261"/>
      <c r="P12" s="261"/>
      <c r="Q12" s="261"/>
      <c r="R12" s="261"/>
      <c r="S12" s="261"/>
      <c r="T12" s="261"/>
      <c r="U12" s="307"/>
      <c r="V12" s="307"/>
      <c r="W12" s="307"/>
      <c r="X12" s="307"/>
      <c r="Y12" s="440"/>
      <c r="Z12" s="440"/>
      <c r="AA12" s="440"/>
      <c r="AF12" s="569"/>
      <c r="AG12" s="440"/>
      <c r="AH12" s="440"/>
      <c r="AI12" s="440"/>
      <c r="AJ12" s="440"/>
      <c r="AK12" s="440"/>
      <c r="AL12" s="440"/>
      <c r="AM12" s="440"/>
      <c r="AN12" s="440"/>
      <c r="AO12" s="440"/>
      <c r="AQ12" s="275"/>
      <c r="AR12" s="440"/>
      <c r="AS12" s="440"/>
    </row>
    <row r="13" spans="2:85" s="274" customFormat="1" ht="47.25" customHeight="1">
      <c r="B13" s="590" t="s">
        <v>673</v>
      </c>
      <c r="C13" s="590" t="s">
        <v>142</v>
      </c>
      <c r="D13" s="590" t="s">
        <v>131</v>
      </c>
      <c r="E13" s="590" t="s">
        <v>535</v>
      </c>
      <c r="F13" s="590" t="s">
        <v>578</v>
      </c>
      <c r="G13" s="590" t="s">
        <v>132</v>
      </c>
      <c r="H13" s="590" t="s">
        <v>133</v>
      </c>
      <c r="I13" s="590" t="s">
        <v>135</v>
      </c>
      <c r="J13" s="590" t="s">
        <v>138</v>
      </c>
      <c r="K13" s="590" t="s">
        <v>392</v>
      </c>
      <c r="L13" s="589" t="s">
        <v>68</v>
      </c>
      <c r="M13" s="589" t="s">
        <v>77</v>
      </c>
      <c r="N13" s="589" t="s">
        <v>84</v>
      </c>
      <c r="O13" s="589" t="s">
        <v>85</v>
      </c>
      <c r="P13" s="589" t="s">
        <v>70</v>
      </c>
      <c r="Q13" s="589" t="s">
        <v>71</v>
      </c>
      <c r="R13" s="589" t="s">
        <v>75</v>
      </c>
      <c r="S13" s="589" t="s">
        <v>230</v>
      </c>
      <c r="T13" s="589" t="s">
        <v>413</v>
      </c>
      <c r="U13" s="589" t="s">
        <v>420</v>
      </c>
      <c r="V13" s="589" t="s">
        <v>76</v>
      </c>
      <c r="W13" s="589" t="s">
        <v>90</v>
      </c>
      <c r="X13" s="589" t="s">
        <v>398</v>
      </c>
      <c r="Y13" s="589" t="s">
        <v>86</v>
      </c>
      <c r="Z13" s="589" t="s">
        <v>117</v>
      </c>
      <c r="AA13" s="589" t="s">
        <v>72</v>
      </c>
      <c r="AB13" s="589" t="s">
        <v>78</v>
      </c>
      <c r="AC13" s="589" t="s">
        <v>31</v>
      </c>
      <c r="AD13" s="302" t="s">
        <v>357</v>
      </c>
      <c r="AE13" s="302" t="s">
        <v>358</v>
      </c>
      <c r="AF13" s="302" t="s">
        <v>359</v>
      </c>
      <c r="AG13" s="302" t="s">
        <v>367</v>
      </c>
      <c r="AH13" s="302" t="s">
        <v>368</v>
      </c>
      <c r="AI13" s="302" t="s">
        <v>369</v>
      </c>
      <c r="AJ13" s="302" t="s">
        <v>370</v>
      </c>
      <c r="AK13" s="302" t="s">
        <v>371</v>
      </c>
      <c r="AL13" s="302" t="s">
        <v>419</v>
      </c>
      <c r="AM13" s="302" t="s">
        <v>372</v>
      </c>
      <c r="AN13" s="302" t="s">
        <v>269</v>
      </c>
      <c r="AO13" s="302" t="s">
        <v>642</v>
      </c>
      <c r="AP13" s="302" t="s">
        <v>106</v>
      </c>
      <c r="AQ13" s="302" t="s">
        <v>268</v>
      </c>
      <c r="AR13" s="302" t="s">
        <v>374</v>
      </c>
      <c r="AS13" s="302" t="s">
        <v>375</v>
      </c>
      <c r="AT13" s="302" t="s">
        <v>376</v>
      </c>
      <c r="AU13" s="302" t="s">
        <v>377</v>
      </c>
      <c r="AV13" s="302" t="s">
        <v>380</v>
      </c>
      <c r="AW13" s="596" t="s">
        <v>681</v>
      </c>
      <c r="AX13" s="596" t="s">
        <v>682</v>
      </c>
      <c r="AY13" s="597" t="s">
        <v>683</v>
      </c>
      <c r="AZ13" s="597" t="s">
        <v>684</v>
      </c>
      <c r="BA13" s="527" t="s">
        <v>679</v>
      </c>
      <c r="BB13" s="527" t="s">
        <v>534</v>
      </c>
      <c r="BC13" s="527" t="s">
        <v>680</v>
      </c>
      <c r="BD13" s="527" t="s">
        <v>685</v>
      </c>
      <c r="BE13" s="527" t="s">
        <v>686</v>
      </c>
      <c r="BF13" s="527" t="s">
        <v>687</v>
      </c>
      <c r="BG13" s="527" t="s">
        <v>513</v>
      </c>
      <c r="BH13" s="527" t="s">
        <v>514</v>
      </c>
      <c r="BI13" s="527" t="s">
        <v>515</v>
      </c>
      <c r="BJ13" s="527" t="s">
        <v>516</v>
      </c>
      <c r="BK13" s="586" t="s">
        <v>677</v>
      </c>
      <c r="BL13" s="586" t="s">
        <v>698</v>
      </c>
      <c r="BM13" s="586" t="s">
        <v>699</v>
      </c>
      <c r="BN13" s="586" t="s">
        <v>700</v>
      </c>
    </row>
    <row r="14" spans="2:85">
      <c r="B14" s="591">
        <v>-1</v>
      </c>
      <c r="C14" s="592">
        <v>2.1</v>
      </c>
      <c r="D14" s="593" t="str">
        <f>"Dupla"</f>
        <v>Dupla</v>
      </c>
      <c r="E14" s="591">
        <v>3</v>
      </c>
      <c r="F14" s="591" t="s">
        <v>579</v>
      </c>
      <c r="G14" s="591">
        <v>2</v>
      </c>
      <c r="H14" s="594">
        <v>3.6</v>
      </c>
      <c r="I14" s="594">
        <v>2</v>
      </c>
      <c r="J14" s="591" t="s">
        <v>366</v>
      </c>
      <c r="K14" s="595" t="s">
        <v>73</v>
      </c>
      <c r="L14" s="544" t="s">
        <v>411</v>
      </c>
      <c r="M14" s="544" t="s">
        <v>381</v>
      </c>
      <c r="N14" s="22">
        <f>MULTILANE_HIGHWAY_SPECIAL_GRADE[Largura das Faixas]</f>
        <v>3.6</v>
      </c>
      <c r="O14" s="22">
        <f>MULTILANE_HIGHWAY_SPECIAL_GRADE[Largura Acost.]</f>
        <v>2</v>
      </c>
      <c r="P14" s="541">
        <v>1800</v>
      </c>
      <c r="Q14" s="541">
        <v>2600</v>
      </c>
      <c r="R14" s="323">
        <f>MULTILANE_HIGHWAY_SPECIAL_GRADE[passeio]+MULTILANE_HIGHWAY_SPECIAL_GRADE[pesado]</f>
        <v>4400</v>
      </c>
      <c r="S14" s="435">
        <f>MULTILANE_HIGHWAY_SPECIAL_GRADE[pesado]/MULTILANE_HIGHWAY_SPECIAL_GRADE[vdma]</f>
        <v>0.59090909090909094</v>
      </c>
      <c r="T14" s="547">
        <f>3%</f>
        <v>0.03</v>
      </c>
      <c r="U14" s="548">
        <f>0.12</f>
        <v>0.12</v>
      </c>
      <c r="V14" s="33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528</v>
      </c>
      <c r="W14" s="441">
        <f t="shared" ref="W14" si="0">$J$9/100</f>
        <v>0.55000000000000004</v>
      </c>
      <c r="X14" s="264">
        <f>MULTILANE_HIGHWAY_SPECIAL_GRADE[veic/h]*MULTILANE_HIGHWAY_SPECIAL_GRADE[distrib. direc.]</f>
        <v>290.40000000000003</v>
      </c>
      <c r="Y14" s="552">
        <v>2</v>
      </c>
      <c r="Z14" s="525">
        <f>0</f>
        <v>0</v>
      </c>
      <c r="AA14" s="544">
        <v>75</v>
      </c>
      <c r="AB14" s="547">
        <v>0.4</v>
      </c>
      <c r="AC14" s="544">
        <v>0.88</v>
      </c>
      <c r="AD14" s="332">
        <f>VLOOKUP(MULTILANE_HIGHWAY_SPECIAL_GRADE[faixa (m)],'HCM2000'!$B$541:$C$547,2,TRUE)</f>
        <v>0</v>
      </c>
      <c r="AE14" s="332">
        <f>IF(MULTILANE_HIGHWAY_SPECIAL_GRADE[acost (m)]&gt;0,1.8,1.2)</f>
        <v>1.8</v>
      </c>
      <c r="AF14" s="332">
        <f>IF(MULTILANE_HIGHWAY_SPECIAL_GRADE[Separador]=$AU$6,$AW$6,IF(MULTILANE_HIGHWAY_SPECIAL_GRADE[Separador]=$AU$7,$AW$7,$AW$8))</f>
        <v>0</v>
      </c>
      <c r="AG14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2.1</v>
      </c>
      <c r="AH14" s="332">
        <f>IF(MULTILANE_HIGHWAY_SPECIAL_GRADE[Separador]="Sinalização horizontal",'HCM2000'!$C$590,'HCM2000'!$C$591)</f>
        <v>2.6</v>
      </c>
      <c r="AI14" s="332">
        <f>MIN((2/3)*MULTILANE_HIGHWAY_SPECIAL_GRADE[acessos/km],16)</f>
        <v>1.3333333333333333</v>
      </c>
      <c r="AJ14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68.966666666666683</v>
      </c>
      <c r="AK14" s="332">
        <f>IF(MULTILANE_HIGHWAY_SPECIAL_GRADE[plano/ondulado]="Montanhoso",#REF!,VLOOKUP(MULTILANE_HIGHWAY_SPECIAL_GRADE[plano/ondulado],'HCM2000'!$B$606:$C$608,2,FALSE))</f>
        <v>2.5</v>
      </c>
      <c r="AL14" s="332">
        <f>IF(MULTILANE_HIGHWAY_SPECIAL_GRADE[[#This Row],[plano/ondulado]]="Montanhoso",#REF!,VLOOKUP(MULTILANE_HIGHWAY_SPECIAL_GRADE[[#This Row],[plano/ondulado]],'HCM2000'!$E$606:$F$608,2,FALSE))</f>
        <v>2</v>
      </c>
      <c r="AM14" s="433">
        <f>1/(1+(MULTILANE_HIGHWAY_SPECIAL_GRADE[Pt]*(MULTILANE_HIGHWAY_SPECIAL_GRADE[Et2]-1))+(MULTILANE_HIGHWAY_SPECIAL_GRADE[PRv]*(MULTILANE_HIGHWAY_SPECIAL_GRADE[Er2]-1)))</f>
        <v>0.52182163187855779</v>
      </c>
      <c r="AN14" s="329">
        <f>MULTILANE_HIGHWAY_SPECIAL_GRADE[[#This Row],[Número de Faixas]]+IF(MULTILANE_HIGHWAY_SPECIAL_GRADE[[#This Row],[Num. Faixas Marg.]]="-",0,MULTILANE_HIGHWAY_SPECIAL_GRADE[[#This Row],[Num. Faixas Marg.]])</f>
        <v>2</v>
      </c>
      <c r="AO14" s="331">
        <f>MULTILANE_HIGHWAY_SPECIAL_GRADE[[#This Row],[Vzão]]/(MULTILANE_HIGHWAY_SPECIAL_GRADE[[#This Row],[PHF]]*MULTILANE_HIGHWAY_SPECIAL_GRADE[[#This Row],[N]]*MULTILANE_HIGHWAY_SPECIAL_GRADE[[#This Row],[fHV]])</f>
        <v>316.2000000000001</v>
      </c>
      <c r="AP14" s="332">
        <f>IF(MULTILANE_HIGHWAY_SPECIAL_GRADE[fLC]="Pista simples","-",MULTILANE_HIGHWAY_SPECIAL_GRADE[vp3]/MULTILANE_HIGHWAY_SPECIAL_GRADE[S])</f>
        <v>4.5848235862735622</v>
      </c>
      <c r="AQ14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68.966666666666683</v>
      </c>
      <c r="AR14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5</v>
      </c>
      <c r="AS14" s="308" t="str">
        <f>IF(MULTILANE_HIGHWAY_SPECIAL_GRADE[LOS_vp3]="F","F",VLOOKUP(MULTILANE_HIGHWAY_SPECIAL_GRADE[LOS_vp3],'HCM2000'!$R$655:$S$659,2))</f>
        <v>A</v>
      </c>
      <c r="AT14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14" s="308" t="str">
        <f>IF(MULTILANE_HIGHWAY_SPECIAL_GRADE[[#This Row],[LOS_vp3]]="F","F",IF(MULTILANE_HIGHWAY_SPECIAL_GRADE[[#This Row],[fLC]]="Pista simples","-",VLOOKUP(MULTILANE_HIGHWAY_SPECIAL_GRADE[[#This Row],[LOS_D3]],'HCM2000'!$R$655:$S$659,2)))</f>
        <v>A</v>
      </c>
      <c r="AV14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14" s="22">
        <v>2.000000000000917</v>
      </c>
      <c r="AX14" s="22">
        <v>1.2000000000001325</v>
      </c>
      <c r="AY14" s="22">
        <v>1.5</v>
      </c>
      <c r="AZ14" s="22">
        <f>1.2</f>
        <v>1.2</v>
      </c>
      <c r="BA14" s="463">
        <f>IF(MULTILANE_HIGHWAY_SPECIAL_GRADE[Direction analysed ?]="up",MULTILANE_HIGHWAY_SPECIAL_GRADE[ET_UP],MULTILANE_HIGHWAY_SPECIAL_GRADE[ET_DOWN])</f>
        <v>2.000000000000917</v>
      </c>
      <c r="BB14" s="463">
        <f>IF(MULTILANE_HIGHWAY_SPECIAL_GRADE[Direction analysed ?]="up",MULTILANE_HIGHWAY_SPECIAL_GRADE[ER_UP],MULTILANE_HIGHWAY_SPECIAL_GRADE[ER_DOWN])</f>
        <v>1.2000000000001325</v>
      </c>
      <c r="BC14" s="433">
        <f>1/(1+(MULTILANE_HIGHWAY_SPECIAL_GRADE[Pt]*(MULTILANE_HIGHWAY_SPECIAL_GRADE[ET]-1))+(MULTILANE_HIGHWAY_SPECIAL_GRADE[PRv]*(MULTILANE_HIGHWAY_SPECIAL_GRADE[ER]-1)))</f>
        <v>0.62620972332894453</v>
      </c>
      <c r="BD14" s="331">
        <f>MULTILANE_HIGHWAY_SPECIAL_GRADE[Vzão]/(MULTILANE_HIGHWAY_SPECIAL_GRADE[PHF]*MULTILANE_HIGHWAY_SPECIAL_GRADE[N]*MULTILANE_HIGHWAY_SPECIAL_GRADE[fHV_SG])</f>
        <v>263.49000000009011</v>
      </c>
      <c r="BE14" s="422">
        <f>IF(MULTILANE_HIGHWAY_SPECIAL_GRADE[fLC]="Pista simples","-",MULTILANE_HIGHWAY_SPECIAL_GRADE[VP_SG]/MULTILANE_HIGHWAY_SPECIAL_GRADE[S])</f>
        <v>3.820541324312567</v>
      </c>
      <c r="BF14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68.966666666666683</v>
      </c>
      <c r="BG14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5</v>
      </c>
      <c r="BH14" s="308" t="str">
        <f>IF(MULTILANE_HIGHWAY_SPECIAL_GRADE[[#This Row],[LOS_vp3]]="F","F",VLOOKUP(MULTILANE_HIGHWAY_SPECIAL_GRADE[[#This Row],[LOS_vp3]],'HCM2000'!$R$655:$S$659,2))</f>
        <v>A</v>
      </c>
      <c r="BI14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5</v>
      </c>
      <c r="BJ14" s="308" t="str">
        <f>IF(MULTILANE_HIGHWAY_SPECIAL_GRADE[[#This Row],[LOS_vp3]]="F","F",IF(MULTILANE_HIGHWAY_SPECIAL_GRADE[[#This Row],[fLC]]="Pista simples","-",VLOOKUP(MULTILANE_HIGHWAY_SPECIAL_GRADE[[#This Row],[LOS_D3]],'HCM2000'!$R$655:$S$659,2)))</f>
        <v>A</v>
      </c>
      <c r="BK14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14" s="440">
        <f>MULTILANE_HIGHWAY_SPECIAL_GRADE[VP_SG]</f>
        <v>263.49000000009011</v>
      </c>
      <c r="BM14" s="440">
        <f>MULTILANE_HIGHWAY_SPECIAL_GRADE[D_SG]</f>
        <v>3.820541324312567</v>
      </c>
      <c r="BN14" s="440">
        <f>MULTILANE_HIGHWAY_SPECIAL_GRADE[S_SG]</f>
        <v>68.966666666666683</v>
      </c>
    </row>
    <row r="15" spans="2:85" s="294" customFormat="1">
      <c r="B15" s="685">
        <v>2</v>
      </c>
      <c r="C15" s="686">
        <v>300</v>
      </c>
      <c r="D15" s="687" t="str">
        <f>"Dupla"</f>
        <v>Dupla</v>
      </c>
      <c r="E15" s="688">
        <v>4</v>
      </c>
      <c r="F15" s="689" t="s">
        <v>579</v>
      </c>
      <c r="G15" s="686">
        <v>2</v>
      </c>
      <c r="H15" s="689">
        <v>3.6</v>
      </c>
      <c r="I15" s="689">
        <v>3.6</v>
      </c>
      <c r="J15" s="689" t="s">
        <v>145</v>
      </c>
      <c r="K15" s="690"/>
      <c r="L15" s="544" t="s">
        <v>644</v>
      </c>
      <c r="M15" s="544" t="s">
        <v>654</v>
      </c>
      <c r="N15" s="22">
        <f>MULTILANE_HIGHWAY_SPECIAL_GRADE[Largura das Faixas]</f>
        <v>3.6</v>
      </c>
      <c r="O15" s="22">
        <f>MULTILANE_HIGHWAY_SPECIAL_GRADE[Largura Acost.]</f>
        <v>3.6</v>
      </c>
      <c r="P15" s="541">
        <v>4072.6955736086575</v>
      </c>
      <c r="Q15" s="541">
        <v>6097.7589718458885</v>
      </c>
      <c r="R15" s="399">
        <f>MULTILANE_HIGHWAY_SPECIAL_GRADE[passeio]+MULTILANE_HIGHWAY_SPECIAL_GRADE[pesado]</f>
        <v>10170.454545454546</v>
      </c>
      <c r="S15" s="435">
        <f>MULTILANE_HIGHWAY_SPECIAL_GRADE[pesado]/MULTILANE_HIGHWAY_SPECIAL_GRADE[vdma]</f>
        <v>0.59955618941054545</v>
      </c>
      <c r="T15" s="547">
        <v>0.03</v>
      </c>
      <c r="U15" s="547">
        <f>0.12</f>
        <v>0.12</v>
      </c>
      <c r="V15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1220.4545454545455</v>
      </c>
      <c r="W15" s="691">
        <v>0.55000000000000004</v>
      </c>
      <c r="X15" s="264">
        <f>MULTILANE_HIGHWAY_SPECIAL_GRADE[veic/h]*MULTILANE_HIGHWAY_SPECIAL_GRADE[distrib. direc.]</f>
        <v>671.25000000000011</v>
      </c>
      <c r="Y15" s="552">
        <v>2</v>
      </c>
      <c r="Z15" s="525">
        <f>0</f>
        <v>0</v>
      </c>
      <c r="AA15" s="544">
        <v>100</v>
      </c>
      <c r="AB15" s="547"/>
      <c r="AC15" s="551">
        <v>0.88</v>
      </c>
      <c r="AD15" s="332">
        <f>VLOOKUP(MULTILANE_HIGHWAY_SPECIAL_GRADE[faixa (m)],'HCM2000'!$B$541:$C$547,2,TRUE)</f>
        <v>0</v>
      </c>
      <c r="AE15" s="332">
        <f>IF(MULTILANE_HIGHWAY_SPECIAL_GRADE[acost (m)]&gt;0,1.8,1.2)</f>
        <v>1.8</v>
      </c>
      <c r="AF15" s="332">
        <f>IF(MULTILANE_HIGHWAY_SPECIAL_GRADE[Separador]=$AU$6,$AW$6,IF(MULTILANE_HIGHWAY_SPECIAL_GRADE[Separador]=$AU$7,$AW$7,$AW$8))</f>
        <v>1.8</v>
      </c>
      <c r="AG15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15" s="332">
        <f>IF(MULTILANE_HIGHWAY_SPECIAL_GRADE[Separador]="Sinalização horizontal",'HCM2000'!$C$590,'HCM2000'!$C$591)</f>
        <v>0</v>
      </c>
      <c r="AI15" s="332">
        <f>MIN((2/3)*MULTILANE_HIGHWAY_SPECIAL_GRADE[acessos/km],16)</f>
        <v>1.3333333333333333</v>
      </c>
      <c r="AJ15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15" s="332">
        <f>IF(MULTILANE_HIGHWAY_SPECIAL_GRADE[plano/ondulado]="Montanhoso",#REF!,VLOOKUP(MULTILANE_HIGHWAY_SPECIAL_GRADE[plano/ondulado],'HCM2000'!$B$606:$C$608,2,FALSE))</f>
        <v>1.5</v>
      </c>
      <c r="AL15" s="684">
        <f>IF(MULTILANE_HIGHWAY_SPECIAL_GRADE[[#This Row],[plano/ondulado]]="Montanhoso",#REF!,VLOOKUP(MULTILANE_HIGHWAY_SPECIAL_GRADE[[#This Row],[plano/ondulado]],'HCM2000'!$E$606:$F$608,2,FALSE))</f>
        <v>1.2</v>
      </c>
      <c r="AM15" s="433">
        <f>1/(1+(MULTILANE_HIGHWAY_SPECIAL_GRADE[Pt]*(MULTILANE_HIGHWAY_SPECIAL_GRADE[Et2]-1))+(MULTILANE_HIGHWAY_SPECIAL_GRADE[PRv]*(MULTILANE_HIGHWAY_SPECIAL_GRADE[Er2]-1)))</f>
        <v>0.76582690738559989</v>
      </c>
      <c r="AN15" s="329">
        <f>MULTILANE_HIGHWAY_SPECIAL_GRADE[[#This Row],[Número de Faixas]]+IF(MULTILANE_HIGHWAY_SPECIAL_GRADE[[#This Row],[Num. Faixas Marg.]]="-",0,MULTILANE_HIGHWAY_SPECIAL_GRADE[[#This Row],[Num. Faixas Marg.]])</f>
        <v>2</v>
      </c>
      <c r="AO15" s="329">
        <f>MULTILANE_HIGHWAY_SPECIAL_GRADE[[#This Row],[Vzão]]/(MULTILANE_HIGHWAY_SPECIAL_GRADE[[#This Row],[PHF]]*MULTILANE_HIGHWAY_SPECIAL_GRADE[[#This Row],[N]]*MULTILANE_HIGHWAY_SPECIAL_GRADE[[#This Row],[fHV]])</f>
        <v>498.01337844938325</v>
      </c>
      <c r="AP15" s="332">
        <f>IF(MULTILANE_HIGHWAY_SPECIAL_GRADE[fLC]="Pista simples","-",MULTILANE_HIGHWAY_SPECIAL_GRADE[vp3]/MULTILANE_HIGHWAY_SPECIAL_GRADE[S])</f>
        <v>5.0474328896896949</v>
      </c>
      <c r="AQ15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15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5</v>
      </c>
      <c r="AS15" s="308" t="str">
        <f>IF(MULTILANE_HIGHWAY_SPECIAL_GRADE[LOS_vp3]="F","F",VLOOKUP(MULTILANE_HIGHWAY_SPECIAL_GRADE[LOS_vp3],'HCM2000'!$R$655:$S$659,2))</f>
        <v>C</v>
      </c>
      <c r="AT15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15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15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15" s="22">
        <v>4.5</v>
      </c>
      <c r="AX15" s="22">
        <v>2.0999999999996639</v>
      </c>
      <c r="AY15" s="22">
        <v>1.4999999999999991</v>
      </c>
      <c r="AZ15" s="22">
        <f>1.2</f>
        <v>1.2</v>
      </c>
      <c r="BA15" s="463">
        <f>IF(MULTILANE_HIGHWAY_SPECIAL_GRADE[Direction analysed ?]="up",MULTILANE_HIGHWAY_SPECIAL_GRADE[ET_UP],MULTILANE_HIGHWAY_SPECIAL_GRADE[ET_DOWN])</f>
        <v>4.5</v>
      </c>
      <c r="BB15" s="463">
        <f>IF(MULTILANE_HIGHWAY_SPECIAL_GRADE[Direction analysed ?]="up",MULTILANE_HIGHWAY_SPECIAL_GRADE[ER_UP],MULTILANE_HIGHWAY_SPECIAL_GRADE[ER_DOWN])</f>
        <v>2.0999999999996639</v>
      </c>
      <c r="BC15" s="433">
        <f>1/(1+(MULTILANE_HIGHWAY_SPECIAL_GRADE[Pt]*(MULTILANE_HIGHWAY_SPECIAL_GRADE[ET]-1))+(MULTILANE_HIGHWAY_SPECIAL_GRADE[PRv]*(MULTILANE_HIGHWAY_SPECIAL_GRADE[ER]-1)))</f>
        <v>0.31934122073218618</v>
      </c>
      <c r="BD15" s="331">
        <f>MULTILANE_HIGHWAY_SPECIAL_GRADE[Vzão]/(MULTILANE_HIGHWAY_SPECIAL_GRADE[PHF]*MULTILANE_HIGHWAY_SPECIAL_GRADE[N]*MULTILANE_HIGHWAY_SPECIAL_GRADE[fHV_SG])</f>
        <v>1194.3088480093145</v>
      </c>
      <c r="BE15" s="422">
        <f>IF(MULTILANE_HIGHWAY_SPECIAL_GRADE[fLC]="Pista simples","-",MULTILANE_HIGHWAY_SPECIAL_GRADE[VP_SG]/MULTILANE_HIGHWAY_SPECIAL_GRADE[S])</f>
        <v>12.104481567661971</v>
      </c>
      <c r="BF15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98.666666666666671</v>
      </c>
      <c r="BG15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15" s="308" t="str">
        <f>IF(MULTILANE_HIGHWAY_SPECIAL_GRADE[[#This Row],[LOS_vp3]]="F","F",VLOOKUP(MULTILANE_HIGHWAY_SPECIAL_GRADE[[#This Row],[LOS_vp3]],'HCM2000'!$R$655:$S$659,2))</f>
        <v>C</v>
      </c>
      <c r="BI15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15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15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15" s="440">
        <f>MULTILANE_HIGHWAY_SPECIAL_GRADE[VP_SG]</f>
        <v>1194.3088480093145</v>
      </c>
      <c r="BM15" s="440">
        <f>MULTILANE_HIGHWAY_SPECIAL_GRADE[D_SG]</f>
        <v>12.104481567661971</v>
      </c>
      <c r="BN15" s="440">
        <f>MULTILANE_HIGHWAY_SPECIAL_GRADE[S_SG]</f>
        <v>98.666666666666671</v>
      </c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</row>
    <row r="16" spans="2:85" s="294" customFormat="1">
      <c r="B16" s="685">
        <v>3</v>
      </c>
      <c r="C16" s="686">
        <v>300</v>
      </c>
      <c r="D16" s="687" t="str">
        <f>"Dupla"</f>
        <v>Dupla</v>
      </c>
      <c r="E16" s="688">
        <v>4</v>
      </c>
      <c r="F16" s="689" t="s">
        <v>579</v>
      </c>
      <c r="G16" s="686">
        <v>2</v>
      </c>
      <c r="H16" s="689">
        <v>3.6</v>
      </c>
      <c r="I16" s="689">
        <v>3.6</v>
      </c>
      <c r="J16" s="689" t="s">
        <v>145</v>
      </c>
      <c r="K16" s="690"/>
      <c r="L16" s="544" t="s">
        <v>644</v>
      </c>
      <c r="M16" s="544" t="s">
        <v>654</v>
      </c>
      <c r="N16" s="22">
        <f>MULTILANE_HIGHWAY_SPECIAL_GRADE[Largura das Faixas]</f>
        <v>3.6</v>
      </c>
      <c r="O16" s="22">
        <f>MULTILANE_HIGHWAY_SPECIAL_GRADE[Largura Acost.]</f>
        <v>3.6</v>
      </c>
      <c r="P16" s="541">
        <v>4539.1357132319354</v>
      </c>
      <c r="Q16" s="541">
        <v>5392.6824685862466</v>
      </c>
      <c r="R16" s="399">
        <f>MULTILANE_HIGHWAY_SPECIAL_GRADE[passeio]+MULTILANE_HIGHWAY_SPECIAL_GRADE[pesado]</f>
        <v>9931.818181818182</v>
      </c>
      <c r="S16" s="435">
        <f>MULTILANE_HIGHWAY_SPECIAL_GRADE[pesado]/MULTILANE_HIGHWAY_SPECIAL_GRADE[vdma]</f>
        <v>0.54297031720319189</v>
      </c>
      <c r="T16" s="547">
        <v>0.03</v>
      </c>
      <c r="U16" s="547">
        <f>0.12</f>
        <v>0.12</v>
      </c>
      <c r="V16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1191.8181818181818</v>
      </c>
      <c r="W16" s="691">
        <v>0.55000000000000004</v>
      </c>
      <c r="X16" s="264">
        <f>MULTILANE_HIGHWAY_SPECIAL_GRADE[veic/h]*MULTILANE_HIGHWAY_SPECIAL_GRADE[distrib. direc.]</f>
        <v>655.5</v>
      </c>
      <c r="Y16" s="552">
        <v>2</v>
      </c>
      <c r="Z16" s="525">
        <f>0</f>
        <v>0</v>
      </c>
      <c r="AA16" s="544">
        <v>100</v>
      </c>
      <c r="AB16" s="547"/>
      <c r="AC16" s="551">
        <v>0.88</v>
      </c>
      <c r="AD16" s="332">
        <f>VLOOKUP(MULTILANE_HIGHWAY_SPECIAL_GRADE[faixa (m)],'HCM2000'!$B$541:$C$547,2,TRUE)</f>
        <v>0</v>
      </c>
      <c r="AE16" s="332">
        <f>IF(MULTILANE_HIGHWAY_SPECIAL_GRADE[acost (m)]&gt;0,1.8,1.2)</f>
        <v>1.8</v>
      </c>
      <c r="AF16" s="332">
        <f>IF(MULTILANE_HIGHWAY_SPECIAL_GRADE[Separador]=$AU$6,$AW$6,IF(MULTILANE_HIGHWAY_SPECIAL_GRADE[Separador]=$AU$7,$AW$7,$AW$8))</f>
        <v>1.8</v>
      </c>
      <c r="AG16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16" s="332">
        <f>IF(MULTILANE_HIGHWAY_SPECIAL_GRADE[Separador]="Sinalização horizontal",'HCM2000'!$C$590,'HCM2000'!$C$591)</f>
        <v>0</v>
      </c>
      <c r="AI16" s="332">
        <f>MIN((2/3)*MULTILANE_HIGHWAY_SPECIAL_GRADE[acessos/km],16)</f>
        <v>1.3333333333333333</v>
      </c>
      <c r="AJ16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16" s="332">
        <f>IF(MULTILANE_HIGHWAY_SPECIAL_GRADE[plano/ondulado]="Montanhoso",#REF!,VLOOKUP(MULTILANE_HIGHWAY_SPECIAL_GRADE[plano/ondulado],'HCM2000'!$B$606:$C$608,2,FALSE))</f>
        <v>1.5</v>
      </c>
      <c r="AL16" s="684">
        <f>IF(MULTILANE_HIGHWAY_SPECIAL_GRADE[[#This Row],[plano/ondulado]]="Montanhoso",#REF!,VLOOKUP(MULTILANE_HIGHWAY_SPECIAL_GRADE[[#This Row],[plano/ondulado]],'HCM2000'!$E$606:$F$608,2,FALSE))</f>
        <v>1.2</v>
      </c>
      <c r="AM16" s="433">
        <f>1/(1+(MULTILANE_HIGHWAY_SPECIAL_GRADE[Pt]*(MULTILANE_HIGHWAY_SPECIAL_GRADE[Et2]-1))+(MULTILANE_HIGHWAY_SPECIAL_GRADE[PRv]*(MULTILANE_HIGHWAY_SPECIAL_GRADE[Er2]-1)))</f>
        <v>0.78278795903558973</v>
      </c>
      <c r="AN16" s="329">
        <f>MULTILANE_HIGHWAY_SPECIAL_GRADE[[#This Row],[Número de Faixas]]+IF(MULTILANE_HIGHWAY_SPECIAL_GRADE[[#This Row],[Num. Faixas Marg.]]="-",0,MULTILANE_HIGHWAY_SPECIAL_GRADE[[#This Row],[Num. Faixas Marg.]])</f>
        <v>2</v>
      </c>
      <c r="AO16" s="329">
        <f>MULTILANE_HIGHWAY_SPECIAL_GRADE[[#This Row],[Vzão]]/(MULTILANE_HIGHWAY_SPECIAL_GRADE[[#This Row],[PHF]]*MULTILANE_HIGHWAY_SPECIAL_GRADE[[#This Row],[N]]*MULTILANE_HIGHWAY_SPECIAL_GRADE[[#This Row],[fHV]])</f>
        <v>475.79063719508304</v>
      </c>
      <c r="AP16" s="332">
        <f>IF(MULTILANE_HIGHWAY_SPECIAL_GRADE[fLC]="Pista simples","-",MULTILANE_HIGHWAY_SPECIAL_GRADE[vp3]/MULTILANE_HIGHWAY_SPECIAL_GRADE[S])</f>
        <v>4.8222024040042193</v>
      </c>
      <c r="AQ16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16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5</v>
      </c>
      <c r="AS16" s="308" t="str">
        <f>IF(MULTILANE_HIGHWAY_SPECIAL_GRADE[LOS_vp3]="F","F",VLOOKUP(MULTILANE_HIGHWAY_SPECIAL_GRADE[LOS_vp3],'HCM2000'!$R$655:$S$659,2))</f>
        <v>C</v>
      </c>
      <c r="AT16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16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16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16" s="22">
        <v>4.5</v>
      </c>
      <c r="AX16" s="22">
        <v>2.099999999999679</v>
      </c>
      <c r="AY16" s="22">
        <v>1.4999999999999991</v>
      </c>
      <c r="AZ16" s="22">
        <f>1.2</f>
        <v>1.2</v>
      </c>
      <c r="BA16" s="463">
        <f>IF(MULTILANE_HIGHWAY_SPECIAL_GRADE[Direction analysed ?]="up",MULTILANE_HIGHWAY_SPECIAL_GRADE[ET_UP],MULTILANE_HIGHWAY_SPECIAL_GRADE[ET_DOWN])</f>
        <v>4.5</v>
      </c>
      <c r="BB16" s="463">
        <f>IF(MULTILANE_HIGHWAY_SPECIAL_GRADE[Direction analysed ?]="up",MULTILANE_HIGHWAY_SPECIAL_GRADE[ER_UP],MULTILANE_HIGHWAY_SPECIAL_GRADE[ER_DOWN])</f>
        <v>2.099999999999679</v>
      </c>
      <c r="BC16" s="433">
        <f>1/(1+(MULTILANE_HIGHWAY_SPECIAL_GRADE[Pt]*(MULTILANE_HIGHWAY_SPECIAL_GRADE[ET]-1))+(MULTILANE_HIGHWAY_SPECIAL_GRADE[PRv]*(MULTILANE_HIGHWAY_SPECIAL_GRADE[ER]-1)))</f>
        <v>0.34090179519874475</v>
      </c>
      <c r="BD16" s="331">
        <f>MULTILANE_HIGHWAY_SPECIAL_GRADE[Vzão]/(MULTILANE_HIGHWAY_SPECIAL_GRADE[PHF]*MULTILANE_HIGHWAY_SPECIAL_GRADE[N]*MULTILANE_HIGHWAY_SPECIAL_GRADE[fHV_SG])</f>
        <v>1092.5233808201231</v>
      </c>
      <c r="BE16" s="422">
        <f>IF(MULTILANE_HIGHWAY_SPECIAL_GRADE[fLC]="Pista simples","-",MULTILANE_HIGHWAY_SPECIAL_GRADE[VP_SG]/MULTILANE_HIGHWAY_SPECIAL_GRADE[S])</f>
        <v>11.072872102906652</v>
      </c>
      <c r="BF16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98.666666666666671</v>
      </c>
      <c r="BG16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16" s="308" t="str">
        <f>IF(MULTILANE_HIGHWAY_SPECIAL_GRADE[[#This Row],[LOS_vp3]]="F","F",VLOOKUP(MULTILANE_HIGHWAY_SPECIAL_GRADE[[#This Row],[LOS_vp3]],'HCM2000'!$R$655:$S$659,2))</f>
        <v>C</v>
      </c>
      <c r="BI16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16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16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16" s="440">
        <f>MULTILANE_HIGHWAY_SPECIAL_GRADE[VP_SG]</f>
        <v>1092.5233808201231</v>
      </c>
      <c r="BM16" s="440">
        <f>MULTILANE_HIGHWAY_SPECIAL_GRADE[D_SG]</f>
        <v>11.072872102906652</v>
      </c>
      <c r="BN16" s="440">
        <f>MULTILANE_HIGHWAY_SPECIAL_GRADE[S_SG]</f>
        <v>98.666666666666671</v>
      </c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416"/>
    </row>
    <row r="17" spans="2:83" s="294" customFormat="1">
      <c r="B17" s="685">
        <v>4</v>
      </c>
      <c r="C17" s="686">
        <v>300</v>
      </c>
      <c r="D17" s="687" t="str">
        <f>"Dupla"</f>
        <v>Dupla</v>
      </c>
      <c r="E17" s="688">
        <v>4</v>
      </c>
      <c r="F17" s="689" t="s">
        <v>579</v>
      </c>
      <c r="G17" s="686">
        <v>2</v>
      </c>
      <c r="H17" s="689">
        <v>3.6</v>
      </c>
      <c r="I17" s="689">
        <v>3.6</v>
      </c>
      <c r="J17" s="689" t="s">
        <v>145</v>
      </c>
      <c r="K17" s="690"/>
      <c r="L17" s="544" t="s">
        <v>644</v>
      </c>
      <c r="M17" s="544" t="s">
        <v>654</v>
      </c>
      <c r="N17" s="22">
        <f>MULTILANE_HIGHWAY_SPECIAL_GRADE[Largura das Faixas]</f>
        <v>3.6</v>
      </c>
      <c r="O17" s="22">
        <f>MULTILANE_HIGHWAY_SPECIAL_GRADE[Largura Acost.]</f>
        <v>3.6</v>
      </c>
      <c r="P17" s="541">
        <v>2779.3821896163226</v>
      </c>
      <c r="Q17" s="541">
        <v>5925.1632649291332</v>
      </c>
      <c r="R17" s="399">
        <f>MULTILANE_HIGHWAY_SPECIAL_GRADE[passeio]+MULTILANE_HIGHWAY_SPECIAL_GRADE[pesado]</f>
        <v>8704.5454545454559</v>
      </c>
      <c r="S17" s="435">
        <f>MULTILANE_HIGHWAY_SPECIAL_GRADE[pesado]/MULTILANE_HIGHWAY_SPECIAL_GRADE[vdma]</f>
        <v>0.68069760745922148</v>
      </c>
      <c r="T17" s="547">
        <v>0.03</v>
      </c>
      <c r="U17" s="547">
        <f>0.12</f>
        <v>0.12</v>
      </c>
      <c r="V17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1044.5454545454547</v>
      </c>
      <c r="W17" s="691">
        <v>0.55000000000000004</v>
      </c>
      <c r="X17" s="264">
        <f>MULTILANE_HIGHWAY_SPECIAL_GRADE[veic/h]*MULTILANE_HIGHWAY_SPECIAL_GRADE[distrib. direc.]</f>
        <v>574.50000000000011</v>
      </c>
      <c r="Y17" s="552">
        <v>2</v>
      </c>
      <c r="Z17" s="525">
        <f>0</f>
        <v>0</v>
      </c>
      <c r="AA17" s="544">
        <v>100</v>
      </c>
      <c r="AB17" s="547"/>
      <c r="AC17" s="551">
        <v>0.88</v>
      </c>
      <c r="AD17" s="332">
        <f>VLOOKUP(MULTILANE_HIGHWAY_SPECIAL_GRADE[faixa (m)],'HCM2000'!$B$541:$C$547,2,TRUE)</f>
        <v>0</v>
      </c>
      <c r="AE17" s="332">
        <f>IF(MULTILANE_HIGHWAY_SPECIAL_GRADE[acost (m)]&gt;0,1.8,1.2)</f>
        <v>1.8</v>
      </c>
      <c r="AF17" s="332">
        <f>IF(MULTILANE_HIGHWAY_SPECIAL_GRADE[Separador]=$AU$6,$AW$6,IF(MULTILANE_HIGHWAY_SPECIAL_GRADE[Separador]=$AU$7,$AW$7,$AW$8))</f>
        <v>1.8</v>
      </c>
      <c r="AG17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17" s="332">
        <f>IF(MULTILANE_HIGHWAY_SPECIAL_GRADE[Separador]="Sinalização horizontal",'HCM2000'!$C$590,'HCM2000'!$C$591)</f>
        <v>0</v>
      </c>
      <c r="AI17" s="332">
        <f>MIN((2/3)*MULTILANE_HIGHWAY_SPECIAL_GRADE[acessos/km],16)</f>
        <v>1.3333333333333333</v>
      </c>
      <c r="AJ17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17" s="332">
        <f>IF(MULTILANE_HIGHWAY_SPECIAL_GRADE[plano/ondulado]="Montanhoso",#REF!,VLOOKUP(MULTILANE_HIGHWAY_SPECIAL_GRADE[plano/ondulado],'HCM2000'!$B$606:$C$608,2,FALSE))</f>
        <v>1.5</v>
      </c>
      <c r="AL17" s="684">
        <f>IF(MULTILANE_HIGHWAY_SPECIAL_GRADE[[#This Row],[plano/ondulado]]="Montanhoso",#REF!,VLOOKUP(MULTILANE_HIGHWAY_SPECIAL_GRADE[[#This Row],[plano/ondulado]],'HCM2000'!$E$606:$F$608,2,FALSE))</f>
        <v>1.2</v>
      </c>
      <c r="AM17" s="433">
        <f>1/(1+(MULTILANE_HIGHWAY_SPECIAL_GRADE[Pt]*(MULTILANE_HIGHWAY_SPECIAL_GRADE[Et2]-1))+(MULTILANE_HIGHWAY_SPECIAL_GRADE[PRv]*(MULTILANE_HIGHWAY_SPECIAL_GRADE[Er2]-1)))</f>
        <v>0.74274957368390215</v>
      </c>
      <c r="AN17" s="329">
        <f>MULTILANE_HIGHWAY_SPECIAL_GRADE[[#This Row],[Número de Faixas]]+IF(MULTILANE_HIGHWAY_SPECIAL_GRADE[[#This Row],[Num. Faixas Marg.]]="-",0,MULTILANE_HIGHWAY_SPECIAL_GRADE[[#This Row],[Num. Faixas Marg.]])</f>
        <v>2</v>
      </c>
      <c r="AO17" s="329">
        <f>MULTILANE_HIGHWAY_SPECIAL_GRADE[[#This Row],[Vzão]]/(MULTILANE_HIGHWAY_SPECIAL_GRADE[[#This Row],[PHF]]*MULTILANE_HIGHWAY_SPECIAL_GRADE[[#This Row],[N]]*MULTILANE_HIGHWAY_SPECIAL_GRADE[[#This Row],[fHV]])</f>
        <v>439.4757884901486</v>
      </c>
      <c r="AP17" s="332">
        <f>IF(MULTILANE_HIGHWAY_SPECIAL_GRADE[fLC]="Pista simples","-",MULTILANE_HIGHWAY_SPECIAL_GRADE[vp3]/MULTILANE_HIGHWAY_SPECIAL_GRADE[S])</f>
        <v>4.4541465049677225</v>
      </c>
      <c r="AQ17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17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5</v>
      </c>
      <c r="AS17" s="308" t="str">
        <f>IF(MULTILANE_HIGHWAY_SPECIAL_GRADE[LOS_vp3]="F","F",VLOOKUP(MULTILANE_HIGHWAY_SPECIAL_GRADE[LOS_vp3],'HCM2000'!$R$655:$S$659,2))</f>
        <v>C</v>
      </c>
      <c r="AT17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17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17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17" s="22">
        <v>4.5</v>
      </c>
      <c r="AX17" s="22">
        <v>2.0999999999996426</v>
      </c>
      <c r="AY17" s="22">
        <v>1.4999999999999991</v>
      </c>
      <c r="AZ17" s="22">
        <f>1.2</f>
        <v>1.2</v>
      </c>
      <c r="BA17" s="463">
        <f>IF(MULTILANE_HIGHWAY_SPECIAL_GRADE[Direction analysed ?]="up",MULTILANE_HIGHWAY_SPECIAL_GRADE[ET_UP],MULTILANE_HIGHWAY_SPECIAL_GRADE[ET_DOWN])</f>
        <v>4.5</v>
      </c>
      <c r="BB17" s="463">
        <f>IF(MULTILANE_HIGHWAY_SPECIAL_GRADE[Direction analysed ?]="up",MULTILANE_HIGHWAY_SPECIAL_GRADE[ER_UP],MULTILANE_HIGHWAY_SPECIAL_GRADE[ER_DOWN])</f>
        <v>2.0999999999996426</v>
      </c>
      <c r="BC17" s="433">
        <f>1/(1+(MULTILANE_HIGHWAY_SPECIAL_GRADE[Pt]*(MULTILANE_HIGHWAY_SPECIAL_GRADE[ET]-1))+(MULTILANE_HIGHWAY_SPECIAL_GRADE[PRv]*(MULTILANE_HIGHWAY_SPECIAL_GRADE[ER]-1)))</f>
        <v>0.29278790548083405</v>
      </c>
      <c r="BD17" s="331">
        <f>MULTILANE_HIGHWAY_SPECIAL_GRADE[Vzão]/(MULTILANE_HIGHWAY_SPECIAL_GRADE[PHF]*MULTILANE_HIGHWAY_SPECIAL_GRADE[N]*MULTILANE_HIGHWAY_SPECIAL_GRADE[fHV_SG])</f>
        <v>1114.8700080674</v>
      </c>
      <c r="BE17" s="422">
        <f>IF(MULTILANE_HIGHWAY_SPECIAL_GRADE[fLC]="Pista simples","-",MULTILANE_HIGHWAY_SPECIAL_GRADE[VP_SG]/MULTILANE_HIGHWAY_SPECIAL_GRADE[S])</f>
        <v>11.299358189872297</v>
      </c>
      <c r="BF17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98.666666666666671</v>
      </c>
      <c r="BG17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17" s="308" t="str">
        <f>IF(MULTILANE_HIGHWAY_SPECIAL_GRADE[[#This Row],[LOS_vp3]]="F","F",VLOOKUP(MULTILANE_HIGHWAY_SPECIAL_GRADE[[#This Row],[LOS_vp3]],'HCM2000'!$R$655:$S$659,2))</f>
        <v>C</v>
      </c>
      <c r="BI17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17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17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17" s="440">
        <f>MULTILANE_HIGHWAY_SPECIAL_GRADE[VP_SG]</f>
        <v>1114.8700080674</v>
      </c>
      <c r="BM17" s="440">
        <f>MULTILANE_HIGHWAY_SPECIAL_GRADE[D_SG]</f>
        <v>11.299358189872297</v>
      </c>
      <c r="BN17" s="440">
        <f>MULTILANE_HIGHWAY_SPECIAL_GRADE[S_SG]</f>
        <v>98.666666666666671</v>
      </c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416"/>
    </row>
    <row r="18" spans="2:83" s="294" customFormat="1">
      <c r="B18" s="685">
        <v>5</v>
      </c>
      <c r="C18" s="686">
        <v>300</v>
      </c>
      <c r="D18" s="687" t="str">
        <f>"Dupla"</f>
        <v>Dupla</v>
      </c>
      <c r="E18" s="688">
        <v>4</v>
      </c>
      <c r="F18" s="689" t="s">
        <v>579</v>
      </c>
      <c r="G18" s="686">
        <v>2</v>
      </c>
      <c r="H18" s="689">
        <v>3.6</v>
      </c>
      <c r="I18" s="689">
        <v>3.6</v>
      </c>
      <c r="J18" s="689" t="s">
        <v>145</v>
      </c>
      <c r="K18" s="690"/>
      <c r="L18" s="544" t="s">
        <v>644</v>
      </c>
      <c r="M18" s="544" t="s">
        <v>654</v>
      </c>
      <c r="N18" s="22">
        <f>MULTILANE_HIGHWAY_SPECIAL_GRADE[Largura das Faixas]</f>
        <v>3.6</v>
      </c>
      <c r="O18" s="22">
        <f>MULTILANE_HIGHWAY_SPECIAL_GRADE[Largura Acost.]</f>
        <v>3.6</v>
      </c>
      <c r="P18" s="541">
        <v>4438.8993316112565</v>
      </c>
      <c r="Q18" s="541">
        <v>5436.1006683887435</v>
      </c>
      <c r="R18" s="399">
        <f>MULTILANE_HIGHWAY_SPECIAL_GRADE[passeio]+MULTILANE_HIGHWAY_SPECIAL_GRADE[pesado]</f>
        <v>9875</v>
      </c>
      <c r="S18" s="435">
        <f>MULTILANE_HIGHWAY_SPECIAL_GRADE[pesado]/MULTILANE_HIGHWAY_SPECIAL_GRADE[vdma]</f>
        <v>0.5504912069254424</v>
      </c>
      <c r="T18" s="547">
        <v>0.03</v>
      </c>
      <c r="U18" s="547">
        <f>0.12</f>
        <v>0.12</v>
      </c>
      <c r="V18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1185</v>
      </c>
      <c r="W18" s="691">
        <v>0.55000000000000004</v>
      </c>
      <c r="X18" s="264">
        <f>MULTILANE_HIGHWAY_SPECIAL_GRADE[veic/h]*MULTILANE_HIGHWAY_SPECIAL_GRADE[distrib. direc.]</f>
        <v>651.75</v>
      </c>
      <c r="Y18" s="552">
        <v>2</v>
      </c>
      <c r="Z18" s="525">
        <f>0</f>
        <v>0</v>
      </c>
      <c r="AA18" s="544">
        <v>100</v>
      </c>
      <c r="AB18" s="547"/>
      <c r="AC18" s="551">
        <v>0.88</v>
      </c>
      <c r="AD18" s="332">
        <f>VLOOKUP(MULTILANE_HIGHWAY_SPECIAL_GRADE[faixa (m)],'HCM2000'!$B$541:$C$547,2,TRUE)</f>
        <v>0</v>
      </c>
      <c r="AE18" s="332">
        <f>IF(MULTILANE_HIGHWAY_SPECIAL_GRADE[acost (m)]&gt;0,1.8,1.2)</f>
        <v>1.8</v>
      </c>
      <c r="AF18" s="332">
        <f>IF(MULTILANE_HIGHWAY_SPECIAL_GRADE[Separador]=$AU$6,$AW$6,IF(MULTILANE_HIGHWAY_SPECIAL_GRADE[Separador]=$AU$7,$AW$7,$AW$8))</f>
        <v>1.8</v>
      </c>
      <c r="AG18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18" s="332">
        <f>IF(MULTILANE_HIGHWAY_SPECIAL_GRADE[Separador]="Sinalização horizontal",'HCM2000'!$C$590,'HCM2000'!$C$591)</f>
        <v>0</v>
      </c>
      <c r="AI18" s="332">
        <f>MIN((2/3)*MULTILANE_HIGHWAY_SPECIAL_GRADE[acessos/km],16)</f>
        <v>1.3333333333333333</v>
      </c>
      <c r="AJ18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18" s="332">
        <f>IF(MULTILANE_HIGHWAY_SPECIAL_GRADE[plano/ondulado]="Montanhoso",#REF!,VLOOKUP(MULTILANE_HIGHWAY_SPECIAL_GRADE[plano/ondulado],'HCM2000'!$B$606:$C$608,2,FALSE))</f>
        <v>1.5</v>
      </c>
      <c r="AL18" s="684">
        <f>IF(MULTILANE_HIGHWAY_SPECIAL_GRADE[[#This Row],[plano/ondulado]]="Montanhoso",#REF!,VLOOKUP(MULTILANE_HIGHWAY_SPECIAL_GRADE[[#This Row],[plano/ondulado]],'HCM2000'!$E$606:$F$608,2,FALSE))</f>
        <v>1.2</v>
      </c>
      <c r="AM18" s="433">
        <f>1/(1+(MULTILANE_HIGHWAY_SPECIAL_GRADE[Pt]*(MULTILANE_HIGHWAY_SPECIAL_GRADE[Et2]-1))+(MULTILANE_HIGHWAY_SPECIAL_GRADE[PRv]*(MULTILANE_HIGHWAY_SPECIAL_GRADE[Er2]-1)))</f>
        <v>0.78049048308722324</v>
      </c>
      <c r="AN18" s="329">
        <f>MULTILANE_HIGHWAY_SPECIAL_GRADE[[#This Row],[Número de Faixas]]+IF(MULTILANE_HIGHWAY_SPECIAL_GRADE[[#This Row],[Num. Faixas Marg.]]="-",0,MULTILANE_HIGHWAY_SPECIAL_GRADE[[#This Row],[Num. Faixas Marg.]])</f>
        <v>2</v>
      </c>
      <c r="AO18" s="329">
        <f>MULTILANE_HIGHWAY_SPECIAL_GRADE[[#This Row],[Vzão]]/(MULTILANE_HIGHWAY_SPECIAL_GRADE[[#This Row],[PHF]]*MULTILANE_HIGHWAY_SPECIAL_GRADE[[#This Row],[N]]*MULTILANE_HIGHWAY_SPECIAL_GRADE[[#This Row],[fHV]])</f>
        <v>474.46126253228891</v>
      </c>
      <c r="AP18" s="332">
        <f>IF(MULTILANE_HIGHWAY_SPECIAL_GRADE[fLC]="Pista simples","-",MULTILANE_HIGHWAY_SPECIAL_GRADE[vp3]/MULTILANE_HIGHWAY_SPECIAL_GRADE[S])</f>
        <v>4.8087290121515762</v>
      </c>
      <c r="AQ18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18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5</v>
      </c>
      <c r="AS18" s="308" t="str">
        <f>IF(MULTILANE_HIGHWAY_SPECIAL_GRADE[LOS_vp3]="F","F",VLOOKUP(MULTILANE_HIGHWAY_SPECIAL_GRADE[LOS_vp3],'HCM2000'!$R$655:$S$659,2))</f>
        <v>C</v>
      </c>
      <c r="AT18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18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18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18" s="22">
        <v>4.5</v>
      </c>
      <c r="AX18" s="22">
        <v>2.0999999999996772</v>
      </c>
      <c r="AY18" s="22">
        <v>1.4999999999999991</v>
      </c>
      <c r="AZ18" s="22">
        <f>1.2</f>
        <v>1.2</v>
      </c>
      <c r="BA18" s="463">
        <f>IF(MULTILANE_HIGHWAY_SPECIAL_GRADE[Direction analysed ?]="up",MULTILANE_HIGHWAY_SPECIAL_GRADE[ET_UP],MULTILANE_HIGHWAY_SPECIAL_GRADE[ET_DOWN])</f>
        <v>4.5</v>
      </c>
      <c r="BB18" s="463">
        <f>IF(MULTILANE_HIGHWAY_SPECIAL_GRADE[Direction analysed ?]="up",MULTILANE_HIGHWAY_SPECIAL_GRADE[ER_UP],MULTILANE_HIGHWAY_SPECIAL_GRADE[ER_DOWN])</f>
        <v>2.0999999999996772</v>
      </c>
      <c r="BC18" s="433">
        <f>1/(1+(MULTILANE_HIGHWAY_SPECIAL_GRADE[Pt]*(MULTILANE_HIGHWAY_SPECIAL_GRADE[ET]-1))+(MULTILANE_HIGHWAY_SPECIAL_GRADE[PRv]*(MULTILANE_HIGHWAY_SPECIAL_GRADE[ER]-1)))</f>
        <v>0.33786988705224424</v>
      </c>
      <c r="BD18" s="331">
        <f>MULTILANE_HIGHWAY_SPECIAL_GRADE[Vzão]/(MULTILANE_HIGHWAY_SPECIAL_GRADE[PHF]*MULTILANE_HIGHWAY_SPECIAL_GRADE[N]*MULTILANE_HIGHWAY_SPECIAL_GRADE[fHV_SG])</f>
        <v>1096.021025226019</v>
      </c>
      <c r="BE18" s="422">
        <f>IF(MULTILANE_HIGHWAY_SPECIAL_GRADE[fLC]="Pista simples","-",MULTILANE_HIGHWAY_SPECIAL_GRADE[VP_SG]/MULTILANE_HIGHWAY_SPECIAL_GRADE[S])</f>
        <v>11.108321201615057</v>
      </c>
      <c r="BF18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98.666666666666671</v>
      </c>
      <c r="BG18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18" s="308" t="str">
        <f>IF(MULTILANE_HIGHWAY_SPECIAL_GRADE[[#This Row],[LOS_vp3]]="F","F",VLOOKUP(MULTILANE_HIGHWAY_SPECIAL_GRADE[[#This Row],[LOS_vp3]],'HCM2000'!$R$655:$S$659,2))</f>
        <v>C</v>
      </c>
      <c r="BI18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18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18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18" s="440">
        <f>MULTILANE_HIGHWAY_SPECIAL_GRADE[VP_SG]</f>
        <v>1096.021025226019</v>
      </c>
      <c r="BM18" s="440">
        <f>MULTILANE_HIGHWAY_SPECIAL_GRADE[D_SG]</f>
        <v>11.108321201615057</v>
      </c>
      <c r="BN18" s="440">
        <f>MULTILANE_HIGHWAY_SPECIAL_GRADE[S_SG]</f>
        <v>98.666666666666671</v>
      </c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416"/>
    </row>
    <row r="19" spans="2:83" s="294" customFormat="1">
      <c r="B19" s="685">
        <v>6</v>
      </c>
      <c r="C19" s="686">
        <v>300</v>
      </c>
      <c r="D19" s="687" t="str">
        <f>"Dupla"</f>
        <v>Dupla</v>
      </c>
      <c r="E19" s="688">
        <v>4</v>
      </c>
      <c r="F19" s="689" t="s">
        <v>579</v>
      </c>
      <c r="G19" s="686">
        <v>2</v>
      </c>
      <c r="H19" s="689">
        <v>3.6</v>
      </c>
      <c r="I19" s="689">
        <v>3.6</v>
      </c>
      <c r="J19" s="689" t="s">
        <v>145</v>
      </c>
      <c r="K19" s="690"/>
      <c r="L19" s="544" t="s">
        <v>644</v>
      </c>
      <c r="M19" s="544" t="s">
        <v>654</v>
      </c>
      <c r="N19" s="22">
        <f>MULTILANE_HIGHWAY_SPECIAL_GRADE[Largura das Faixas]</f>
        <v>3.6</v>
      </c>
      <c r="O19" s="22">
        <f>MULTILANE_HIGHWAY_SPECIAL_GRADE[Largura Acost.]</f>
        <v>3.6</v>
      </c>
      <c r="P19" s="541">
        <v>4721.5238614356895</v>
      </c>
      <c r="Q19" s="541">
        <v>5448.9306840188565</v>
      </c>
      <c r="R19" s="399">
        <f>MULTILANE_HIGHWAY_SPECIAL_GRADE[passeio]+MULTILANE_HIGHWAY_SPECIAL_GRADE[pesado]</f>
        <v>10170.454545454546</v>
      </c>
      <c r="S19" s="435">
        <f>MULTILANE_HIGHWAY_SPECIAL_GRADE[pesado]/MULTILANE_HIGHWAY_SPECIAL_GRADE[vdma]</f>
        <v>0.53576078233928415</v>
      </c>
      <c r="T19" s="547">
        <v>0.03</v>
      </c>
      <c r="U19" s="547">
        <f>0.12</f>
        <v>0.12</v>
      </c>
      <c r="V19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1220.4545454545455</v>
      </c>
      <c r="W19" s="691">
        <v>0.55000000000000004</v>
      </c>
      <c r="X19" s="264">
        <f>MULTILANE_HIGHWAY_SPECIAL_GRADE[veic/h]*MULTILANE_HIGHWAY_SPECIAL_GRADE[distrib. direc.]</f>
        <v>671.25000000000011</v>
      </c>
      <c r="Y19" s="552">
        <v>2</v>
      </c>
      <c r="Z19" s="525">
        <f>0</f>
        <v>0</v>
      </c>
      <c r="AA19" s="544">
        <v>100</v>
      </c>
      <c r="AB19" s="547"/>
      <c r="AC19" s="551">
        <v>0.88</v>
      </c>
      <c r="AD19" s="332">
        <f>VLOOKUP(MULTILANE_HIGHWAY_SPECIAL_GRADE[faixa (m)],'HCM2000'!$B$541:$C$547,2,TRUE)</f>
        <v>0</v>
      </c>
      <c r="AE19" s="332">
        <f>IF(MULTILANE_HIGHWAY_SPECIAL_GRADE[acost (m)]&gt;0,1.8,1.2)</f>
        <v>1.8</v>
      </c>
      <c r="AF19" s="332">
        <f>IF(MULTILANE_HIGHWAY_SPECIAL_GRADE[Separador]=$AU$6,$AW$6,IF(MULTILANE_HIGHWAY_SPECIAL_GRADE[Separador]=$AU$7,$AW$7,$AW$8))</f>
        <v>1.8</v>
      </c>
      <c r="AG19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19" s="332">
        <f>IF(MULTILANE_HIGHWAY_SPECIAL_GRADE[Separador]="Sinalização horizontal",'HCM2000'!$C$590,'HCM2000'!$C$591)</f>
        <v>0</v>
      </c>
      <c r="AI19" s="332">
        <f>MIN((2/3)*MULTILANE_HIGHWAY_SPECIAL_GRADE[acessos/km],16)</f>
        <v>1.3333333333333333</v>
      </c>
      <c r="AJ19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19" s="332">
        <f>IF(MULTILANE_HIGHWAY_SPECIAL_GRADE[plano/ondulado]="Montanhoso",#REF!,VLOOKUP(MULTILANE_HIGHWAY_SPECIAL_GRADE[plano/ondulado],'HCM2000'!$B$606:$C$608,2,FALSE))</f>
        <v>1.5</v>
      </c>
      <c r="AL19" s="684">
        <f>IF(MULTILANE_HIGHWAY_SPECIAL_GRADE[[#This Row],[plano/ondulado]]="Montanhoso",#REF!,VLOOKUP(MULTILANE_HIGHWAY_SPECIAL_GRADE[[#This Row],[plano/ondulado]],'HCM2000'!$E$606:$F$608,2,FALSE))</f>
        <v>1.2</v>
      </c>
      <c r="AM19" s="433">
        <f>1/(1+(MULTILANE_HIGHWAY_SPECIAL_GRADE[Pt]*(MULTILANE_HIGHWAY_SPECIAL_GRADE[Et2]-1))+(MULTILANE_HIGHWAY_SPECIAL_GRADE[PRv]*(MULTILANE_HIGHWAY_SPECIAL_GRADE[Er2]-1)))</f>
        <v>0.78500305596338393</v>
      </c>
      <c r="AN19" s="329">
        <f>MULTILANE_HIGHWAY_SPECIAL_GRADE[[#This Row],[Número de Faixas]]+IF(MULTILANE_HIGHWAY_SPECIAL_GRADE[[#This Row],[Num. Faixas Marg.]]="-",0,MULTILANE_HIGHWAY_SPECIAL_GRADE[[#This Row],[Num. Faixas Marg.]])</f>
        <v>2</v>
      </c>
      <c r="AO19" s="329">
        <f>MULTILANE_HIGHWAY_SPECIAL_GRADE[[#This Row],[Vzão]]/(MULTILANE_HIGHWAY_SPECIAL_GRADE[[#This Row],[PHF]]*MULTILANE_HIGHWAY_SPECIAL_GRADE[[#This Row],[N]]*MULTILANE_HIGHWAY_SPECIAL_GRADE[[#This Row],[fHV]])</f>
        <v>485.84784805262638</v>
      </c>
      <c r="AP19" s="332">
        <f>IF(MULTILANE_HIGHWAY_SPECIAL_GRADE[fLC]="Pista simples","-",MULTILANE_HIGHWAY_SPECIAL_GRADE[vp3]/MULTILANE_HIGHWAY_SPECIAL_GRADE[S])</f>
        <v>4.9241335951279694</v>
      </c>
      <c r="AQ19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19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5</v>
      </c>
      <c r="AS19" s="308" t="str">
        <f>IF(MULTILANE_HIGHWAY_SPECIAL_GRADE[LOS_vp3]="F","F",VLOOKUP(MULTILANE_HIGHWAY_SPECIAL_GRADE[LOS_vp3],'HCM2000'!$R$655:$S$659,2))</f>
        <v>C</v>
      </c>
      <c r="AT19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19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19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19" s="22">
        <v>4.5</v>
      </c>
      <c r="AX19" s="22">
        <v>2.0999999999996812</v>
      </c>
      <c r="AY19" s="22">
        <v>1.4999999999999991</v>
      </c>
      <c r="AZ19" s="22">
        <f>1.2</f>
        <v>1.2</v>
      </c>
      <c r="BA19" s="463">
        <f>IF(MULTILANE_HIGHWAY_SPECIAL_GRADE[Direction analysed ?]="up",MULTILANE_HIGHWAY_SPECIAL_GRADE[ET_UP],MULTILANE_HIGHWAY_SPECIAL_GRADE[ET_DOWN])</f>
        <v>4.5</v>
      </c>
      <c r="BB19" s="463">
        <f>IF(MULTILANE_HIGHWAY_SPECIAL_GRADE[Direction analysed ?]="up",MULTILANE_HIGHWAY_SPECIAL_GRADE[ER_UP],MULTILANE_HIGHWAY_SPECIAL_GRADE[ER_DOWN])</f>
        <v>2.0999999999996812</v>
      </c>
      <c r="BC19" s="433">
        <f>1/(1+(MULTILANE_HIGHWAY_SPECIAL_GRADE[Pt]*(MULTILANE_HIGHWAY_SPECIAL_GRADE[ET]-1))+(MULTILANE_HIGHWAY_SPECIAL_GRADE[PRv]*(MULTILANE_HIGHWAY_SPECIAL_GRADE[ER]-1)))</f>
        <v>0.34385971144904043</v>
      </c>
      <c r="BD19" s="331">
        <f>MULTILANE_HIGHWAY_SPECIAL_GRADE[Vzão]/(MULTILANE_HIGHWAY_SPECIAL_GRADE[PHF]*MULTILANE_HIGHWAY_SPECIAL_GRADE[N]*MULTILANE_HIGHWAY_SPECIAL_GRADE[fHV_SG])</f>
        <v>1109.150135232017</v>
      </c>
      <c r="BE19" s="422">
        <f>IF(MULTILANE_HIGHWAY_SPECIAL_GRADE[fLC]="Pista simples","-",MULTILANE_HIGHWAY_SPECIAL_GRADE[VP_SG]/MULTILANE_HIGHWAY_SPECIAL_GRADE[S])</f>
        <v>11.241386505729901</v>
      </c>
      <c r="BF19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98.666666666666671</v>
      </c>
      <c r="BG19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19" s="308" t="str">
        <f>IF(MULTILANE_HIGHWAY_SPECIAL_GRADE[[#This Row],[LOS_vp3]]="F","F",VLOOKUP(MULTILANE_HIGHWAY_SPECIAL_GRADE[[#This Row],[LOS_vp3]],'HCM2000'!$R$655:$S$659,2))</f>
        <v>C</v>
      </c>
      <c r="BI19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19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19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19" s="440">
        <f>MULTILANE_HIGHWAY_SPECIAL_GRADE[VP_SG]</f>
        <v>1109.150135232017</v>
      </c>
      <c r="BM19" s="440">
        <f>MULTILANE_HIGHWAY_SPECIAL_GRADE[D_SG]</f>
        <v>11.241386505729901</v>
      </c>
      <c r="BN19" s="440">
        <f>MULTILANE_HIGHWAY_SPECIAL_GRADE[S_SG]</f>
        <v>98.666666666666671</v>
      </c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416"/>
    </row>
    <row r="20" spans="2:83" s="294" customFormat="1">
      <c r="B20" s="685">
        <v>7</v>
      </c>
      <c r="C20" s="686">
        <v>300</v>
      </c>
      <c r="D20" s="687" t="str">
        <f>"Dupla"</f>
        <v>Dupla</v>
      </c>
      <c r="E20" s="688">
        <v>4</v>
      </c>
      <c r="F20" s="689" t="s">
        <v>579</v>
      </c>
      <c r="G20" s="686">
        <v>2</v>
      </c>
      <c r="H20" s="689">
        <v>3.6</v>
      </c>
      <c r="I20" s="689">
        <v>3.6</v>
      </c>
      <c r="J20" s="689" t="s">
        <v>145</v>
      </c>
      <c r="K20" s="690"/>
      <c r="L20" s="544" t="s">
        <v>644</v>
      </c>
      <c r="M20" s="544" t="s">
        <v>654</v>
      </c>
      <c r="N20" s="22">
        <f>MULTILANE_HIGHWAY_SPECIAL_GRADE[Largura das Faixas]</f>
        <v>3.6</v>
      </c>
      <c r="O20" s="22">
        <f>MULTILANE_HIGHWAY_SPECIAL_GRADE[Largura Acost.]</f>
        <v>3.6</v>
      </c>
      <c r="P20" s="541">
        <v>4721.5238614356895</v>
      </c>
      <c r="Q20" s="541">
        <v>5448.9306840188565</v>
      </c>
      <c r="R20" s="399">
        <f>MULTILANE_HIGHWAY_SPECIAL_GRADE[passeio]+MULTILANE_HIGHWAY_SPECIAL_GRADE[pesado]</f>
        <v>10170.454545454546</v>
      </c>
      <c r="S20" s="435">
        <f>MULTILANE_HIGHWAY_SPECIAL_GRADE[pesado]/MULTILANE_HIGHWAY_SPECIAL_GRADE[vdma]</f>
        <v>0.53576078233928415</v>
      </c>
      <c r="T20" s="547">
        <v>0.03</v>
      </c>
      <c r="U20" s="547">
        <f>0.12</f>
        <v>0.12</v>
      </c>
      <c r="V20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1220.4545454545455</v>
      </c>
      <c r="W20" s="691">
        <v>0.55000000000000004</v>
      </c>
      <c r="X20" s="264">
        <f>MULTILANE_HIGHWAY_SPECIAL_GRADE[veic/h]*MULTILANE_HIGHWAY_SPECIAL_GRADE[distrib. direc.]</f>
        <v>671.25000000000011</v>
      </c>
      <c r="Y20" s="552">
        <v>1</v>
      </c>
      <c r="Z20" s="525">
        <f>0</f>
        <v>0</v>
      </c>
      <c r="AA20" s="544">
        <v>100</v>
      </c>
      <c r="AB20" s="547"/>
      <c r="AC20" s="551">
        <v>0.88</v>
      </c>
      <c r="AD20" s="332">
        <f>VLOOKUP(MULTILANE_HIGHWAY_SPECIAL_GRADE[faixa (m)],'HCM2000'!$B$541:$C$547,2,TRUE)</f>
        <v>0</v>
      </c>
      <c r="AE20" s="332">
        <f>IF(MULTILANE_HIGHWAY_SPECIAL_GRADE[acost (m)]&gt;0,1.8,1.2)</f>
        <v>1.8</v>
      </c>
      <c r="AF20" s="332">
        <f>IF(MULTILANE_HIGHWAY_SPECIAL_GRADE[Separador]=$AU$6,$AW$6,IF(MULTILANE_HIGHWAY_SPECIAL_GRADE[Separador]=$AU$7,$AW$7,$AW$8))</f>
        <v>1.8</v>
      </c>
      <c r="AG20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20" s="332">
        <f>IF(MULTILANE_HIGHWAY_SPECIAL_GRADE[Separador]="Sinalização horizontal",'HCM2000'!$C$590,'HCM2000'!$C$591)</f>
        <v>0</v>
      </c>
      <c r="AI20" s="332">
        <f>MIN((2/3)*MULTILANE_HIGHWAY_SPECIAL_GRADE[acessos/km],16)</f>
        <v>0.66666666666666663</v>
      </c>
      <c r="AJ20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99.333333333333329</v>
      </c>
      <c r="AK20" s="332">
        <f>IF(MULTILANE_HIGHWAY_SPECIAL_GRADE[plano/ondulado]="Montanhoso",#REF!,VLOOKUP(MULTILANE_HIGHWAY_SPECIAL_GRADE[plano/ondulado],'HCM2000'!$B$606:$C$608,2,FALSE))</f>
        <v>1.5</v>
      </c>
      <c r="AL20" s="684">
        <f>IF(MULTILANE_HIGHWAY_SPECIAL_GRADE[[#This Row],[plano/ondulado]]="Montanhoso",#REF!,VLOOKUP(MULTILANE_HIGHWAY_SPECIAL_GRADE[[#This Row],[plano/ondulado]],'HCM2000'!$E$606:$F$608,2,FALSE))</f>
        <v>1.2</v>
      </c>
      <c r="AM20" s="433">
        <f>1/(1+(MULTILANE_HIGHWAY_SPECIAL_GRADE[Pt]*(MULTILANE_HIGHWAY_SPECIAL_GRADE[Et2]-1))+(MULTILANE_HIGHWAY_SPECIAL_GRADE[PRv]*(MULTILANE_HIGHWAY_SPECIAL_GRADE[Er2]-1)))</f>
        <v>0.78500305596338393</v>
      </c>
      <c r="AN20" s="329">
        <f>MULTILANE_HIGHWAY_SPECIAL_GRADE[[#This Row],[Número de Faixas]]+IF(MULTILANE_HIGHWAY_SPECIAL_GRADE[[#This Row],[Num. Faixas Marg.]]="-",0,MULTILANE_HIGHWAY_SPECIAL_GRADE[[#This Row],[Num. Faixas Marg.]])</f>
        <v>2</v>
      </c>
      <c r="AO20" s="329">
        <f>MULTILANE_HIGHWAY_SPECIAL_GRADE[[#This Row],[Vzão]]/(MULTILANE_HIGHWAY_SPECIAL_GRADE[[#This Row],[PHF]]*MULTILANE_HIGHWAY_SPECIAL_GRADE[[#This Row],[N]]*MULTILANE_HIGHWAY_SPECIAL_GRADE[[#This Row],[fHV]])</f>
        <v>485.84784805262638</v>
      </c>
      <c r="AP20" s="332">
        <f>IF(MULTILANE_HIGHWAY_SPECIAL_GRADE[fLC]="Pista simples","-",MULTILANE_HIGHWAY_SPECIAL_GRADE[vp3]/MULTILANE_HIGHWAY_SPECIAL_GRADE[S])</f>
        <v>4.8910857186506016</v>
      </c>
      <c r="AQ20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99.333333333333329</v>
      </c>
      <c r="AR20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5</v>
      </c>
      <c r="AS20" s="308" t="str">
        <f>IF(MULTILANE_HIGHWAY_SPECIAL_GRADE[LOS_vp3]="F","F",VLOOKUP(MULTILANE_HIGHWAY_SPECIAL_GRADE[LOS_vp3],'HCM2000'!$R$655:$S$659,2))</f>
        <v>C</v>
      </c>
      <c r="AT20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20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20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20" s="22">
        <v>4.5</v>
      </c>
      <c r="AX20" s="22">
        <v>2.0999999999996812</v>
      </c>
      <c r="AY20" s="22">
        <v>1.4999999999999991</v>
      </c>
      <c r="AZ20" s="22">
        <f>1.2</f>
        <v>1.2</v>
      </c>
      <c r="BA20" s="463">
        <f>IF(MULTILANE_HIGHWAY_SPECIAL_GRADE[Direction analysed ?]="up",MULTILANE_HIGHWAY_SPECIAL_GRADE[ET_UP],MULTILANE_HIGHWAY_SPECIAL_GRADE[ET_DOWN])</f>
        <v>4.5</v>
      </c>
      <c r="BB20" s="463">
        <f>IF(MULTILANE_HIGHWAY_SPECIAL_GRADE[Direction analysed ?]="up",MULTILANE_HIGHWAY_SPECIAL_GRADE[ER_UP],MULTILANE_HIGHWAY_SPECIAL_GRADE[ER_DOWN])</f>
        <v>2.0999999999996812</v>
      </c>
      <c r="BC20" s="433">
        <f>1/(1+(MULTILANE_HIGHWAY_SPECIAL_GRADE[Pt]*(MULTILANE_HIGHWAY_SPECIAL_GRADE[ET]-1))+(MULTILANE_HIGHWAY_SPECIAL_GRADE[PRv]*(MULTILANE_HIGHWAY_SPECIAL_GRADE[ER]-1)))</f>
        <v>0.34385971144904043</v>
      </c>
      <c r="BD20" s="331">
        <f>MULTILANE_HIGHWAY_SPECIAL_GRADE[Vzão]/(MULTILANE_HIGHWAY_SPECIAL_GRADE[PHF]*MULTILANE_HIGHWAY_SPECIAL_GRADE[N]*MULTILANE_HIGHWAY_SPECIAL_GRADE[fHV_SG])</f>
        <v>1109.150135232017</v>
      </c>
      <c r="BE20" s="422">
        <f>IF(MULTILANE_HIGHWAY_SPECIAL_GRADE[fLC]="Pista simples","-",MULTILANE_HIGHWAY_SPECIAL_GRADE[VP_SG]/MULTILANE_HIGHWAY_SPECIAL_GRADE[S])</f>
        <v>11.16594095871158</v>
      </c>
      <c r="BF20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99.333333333333329</v>
      </c>
      <c r="BG20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20" s="308" t="str">
        <f>IF(MULTILANE_HIGHWAY_SPECIAL_GRADE[[#This Row],[LOS_vp3]]="F","F",VLOOKUP(MULTILANE_HIGHWAY_SPECIAL_GRADE[[#This Row],[LOS_vp3]],'HCM2000'!$R$655:$S$659,2))</f>
        <v>C</v>
      </c>
      <c r="BI20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20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20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20" s="440">
        <f>MULTILANE_HIGHWAY_SPECIAL_GRADE[VP_SG]</f>
        <v>1109.150135232017</v>
      </c>
      <c r="BM20" s="440">
        <f>MULTILANE_HIGHWAY_SPECIAL_GRADE[D_SG]</f>
        <v>11.16594095871158</v>
      </c>
      <c r="BN20" s="440">
        <f>MULTILANE_HIGHWAY_SPECIAL_GRADE[S_SG]</f>
        <v>99.333333333333329</v>
      </c>
      <c r="BO20" s="58"/>
      <c r="BP20" s="58"/>
      <c r="BQ20" s="58"/>
      <c r="BR20" s="58"/>
      <c r="BS20" s="58"/>
      <c r="BT20" s="58"/>
      <c r="BU20" s="58"/>
      <c r="BV20" s="58"/>
      <c r="BW20" s="58"/>
      <c r="BX20" s="58"/>
      <c r="BY20" s="58"/>
      <c r="BZ20" s="58"/>
      <c r="CA20" s="58"/>
      <c r="CB20" s="58"/>
      <c r="CC20" s="58"/>
      <c r="CD20" s="416"/>
    </row>
    <row r="21" spans="2:83">
      <c r="B21" s="685">
        <v>8</v>
      </c>
      <c r="C21" s="686">
        <v>300</v>
      </c>
      <c r="D21" s="687" t="str">
        <f>"Dupla"</f>
        <v>Dupla</v>
      </c>
      <c r="E21" s="688">
        <v>4</v>
      </c>
      <c r="F21" s="689" t="s">
        <v>579</v>
      </c>
      <c r="G21" s="686">
        <v>2</v>
      </c>
      <c r="H21" s="689">
        <v>3.6</v>
      </c>
      <c r="I21" s="689">
        <v>3.6</v>
      </c>
      <c r="J21" s="689" t="s">
        <v>145</v>
      </c>
      <c r="K21" s="690"/>
      <c r="L21" s="544" t="s">
        <v>644</v>
      </c>
      <c r="M21" s="544" t="s">
        <v>654</v>
      </c>
      <c r="N21" s="22">
        <f>MULTILANE_HIGHWAY_SPECIAL_GRADE[Largura das Faixas]</f>
        <v>3.6</v>
      </c>
      <c r="O21" s="22">
        <f>MULTILANE_HIGHWAY_SPECIAL_GRADE[Largura Acost.]</f>
        <v>3.6</v>
      </c>
      <c r="P21" s="541">
        <v>2833.5389842038903</v>
      </c>
      <c r="Q21" s="541">
        <v>5780.0973794324736</v>
      </c>
      <c r="R21" s="399">
        <f>MULTILANE_HIGHWAY_SPECIAL_GRADE[passeio]+MULTILANE_HIGHWAY_SPECIAL_GRADE[pesado]</f>
        <v>8613.636363636364</v>
      </c>
      <c r="S21" s="435">
        <f>MULTILANE_HIGHWAY_SPECIAL_GRADE[pesado]/MULTILANE_HIGHWAY_SPECIAL_GRADE[vdma]</f>
        <v>0.67104032901063015</v>
      </c>
      <c r="T21" s="547">
        <v>0.03</v>
      </c>
      <c r="U21" s="547">
        <f>0.12</f>
        <v>0.12</v>
      </c>
      <c r="V21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1033.6363636363637</v>
      </c>
      <c r="W21" s="691">
        <v>0.55000000000000004</v>
      </c>
      <c r="X21" s="264">
        <f>MULTILANE_HIGHWAY_SPECIAL_GRADE[veic/h]*MULTILANE_HIGHWAY_SPECIAL_GRADE[distrib. direc.]</f>
        <v>568.50000000000011</v>
      </c>
      <c r="Y21" s="552">
        <v>2</v>
      </c>
      <c r="Z21" s="525">
        <f>0</f>
        <v>0</v>
      </c>
      <c r="AA21" s="544">
        <v>100</v>
      </c>
      <c r="AB21" s="547"/>
      <c r="AC21" s="551">
        <v>0.88</v>
      </c>
      <c r="AD21" s="332">
        <f>VLOOKUP(MULTILANE_HIGHWAY_SPECIAL_GRADE[faixa (m)],'HCM2000'!$B$541:$C$547,2,TRUE)</f>
        <v>0</v>
      </c>
      <c r="AE21" s="332">
        <f>IF(MULTILANE_HIGHWAY_SPECIAL_GRADE[acost (m)]&gt;0,1.8,1.2)</f>
        <v>1.8</v>
      </c>
      <c r="AF21" s="332">
        <f>IF(MULTILANE_HIGHWAY_SPECIAL_GRADE[Separador]=$AU$6,$AW$6,IF(MULTILANE_HIGHWAY_SPECIAL_GRADE[Separador]=$AU$7,$AW$7,$AW$8))</f>
        <v>1.8</v>
      </c>
      <c r="AG21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21" s="332">
        <f>IF(MULTILANE_HIGHWAY_SPECIAL_GRADE[Separador]="Sinalização horizontal",'HCM2000'!$C$590,'HCM2000'!$C$591)</f>
        <v>0</v>
      </c>
      <c r="AI21" s="332">
        <f>MIN((2/3)*MULTILANE_HIGHWAY_SPECIAL_GRADE[acessos/km],16)</f>
        <v>1.3333333333333333</v>
      </c>
      <c r="AJ21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21" s="332">
        <f>IF(MULTILANE_HIGHWAY_SPECIAL_GRADE[plano/ondulado]="Montanhoso",#REF!,VLOOKUP(MULTILANE_HIGHWAY_SPECIAL_GRADE[plano/ondulado],'HCM2000'!$B$606:$C$608,2,FALSE))</f>
        <v>1.5</v>
      </c>
      <c r="AL21" s="684">
        <f>IF(MULTILANE_HIGHWAY_SPECIAL_GRADE[[#This Row],[plano/ondulado]]="Montanhoso",#REF!,VLOOKUP(MULTILANE_HIGHWAY_SPECIAL_GRADE[[#This Row],[plano/ondulado]],'HCM2000'!$E$606:$F$608,2,FALSE))</f>
        <v>1.2</v>
      </c>
      <c r="AM21" s="433">
        <f>1/(1+(MULTILANE_HIGHWAY_SPECIAL_GRADE[Pt]*(MULTILANE_HIGHWAY_SPECIAL_GRADE[Et2]-1))+(MULTILANE_HIGHWAY_SPECIAL_GRADE[PRv]*(MULTILANE_HIGHWAY_SPECIAL_GRADE[Er2]-1)))</f>
        <v>0.74542301074449346</v>
      </c>
      <c r="AN21" s="329">
        <f>MULTILANE_HIGHWAY_SPECIAL_GRADE[[#This Row],[Número de Faixas]]+IF(MULTILANE_HIGHWAY_SPECIAL_GRADE[[#This Row],[Num. Faixas Marg.]]="-",0,MULTILANE_HIGHWAY_SPECIAL_GRADE[[#This Row],[Num. Faixas Marg.]])</f>
        <v>2</v>
      </c>
      <c r="AO21" s="329">
        <f>MULTILANE_HIGHWAY_SPECIAL_GRADE[[#This Row],[Vzão]]/(MULTILANE_HIGHWAY_SPECIAL_GRADE[[#This Row],[PHF]]*MULTILANE_HIGHWAY_SPECIAL_GRADE[[#This Row],[N]]*MULTILANE_HIGHWAY_SPECIAL_GRADE[[#This Row],[fHV]])</f>
        <v>433.32625768254076</v>
      </c>
      <c r="AP21" s="332">
        <f>IF(MULTILANE_HIGHWAY_SPECIAL_GRADE[fLC]="Pista simples","-",MULTILANE_HIGHWAY_SPECIAL_GRADE[vp3]/MULTILANE_HIGHWAY_SPECIAL_GRADE[S])</f>
        <v>4.3918201792149398</v>
      </c>
      <c r="AQ21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21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5</v>
      </c>
      <c r="AS21" s="308" t="str">
        <f>IF(MULTILANE_HIGHWAY_SPECIAL_GRADE[LOS_vp3]="F","F",VLOOKUP(MULTILANE_HIGHWAY_SPECIAL_GRADE[LOS_vp3],'HCM2000'!$R$655:$S$659,2))</f>
        <v>C</v>
      </c>
      <c r="AT21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21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21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21" s="22">
        <v>4.5</v>
      </c>
      <c r="AX21" s="22">
        <v>2.0999999999996448</v>
      </c>
      <c r="AY21" s="22">
        <v>1.4999999999999991</v>
      </c>
      <c r="AZ21" s="22">
        <f>1.2</f>
        <v>1.2</v>
      </c>
      <c r="BA21" s="463">
        <f>IF(MULTILANE_HIGHWAY_SPECIAL_GRADE[Direction analysed ?]="up",MULTILANE_HIGHWAY_SPECIAL_GRADE[ET_UP],MULTILANE_HIGHWAY_SPECIAL_GRADE[ET_DOWN])</f>
        <v>4.5</v>
      </c>
      <c r="BB21" s="463">
        <f>IF(MULTILANE_HIGHWAY_SPECIAL_GRADE[Direction analysed ?]="up",MULTILANE_HIGHWAY_SPECIAL_GRADE[ER_UP],MULTILANE_HIGHWAY_SPECIAL_GRADE[ER_DOWN])</f>
        <v>2.0999999999996448</v>
      </c>
      <c r="BC21" s="433">
        <f>1/(1+(MULTILANE_HIGHWAY_SPECIAL_GRADE[Pt]*(MULTILANE_HIGHWAY_SPECIAL_GRADE[ET]-1))+(MULTILANE_HIGHWAY_SPECIAL_GRADE[PRv]*(MULTILANE_HIGHWAY_SPECIAL_GRADE[ER]-1)))</f>
        <v>0.29571440468940041</v>
      </c>
      <c r="BD21" s="331">
        <f>MULTILANE_HIGHWAY_SPECIAL_GRADE[Vzão]/(MULTILANE_HIGHWAY_SPECIAL_GRADE[PHF]*MULTILANE_HIGHWAY_SPECIAL_GRADE[N]*MULTILANE_HIGHWAY_SPECIAL_GRADE[fHV_SG])</f>
        <v>1092.3085196868724</v>
      </c>
      <c r="BE21" s="422">
        <f>IF(MULTILANE_HIGHWAY_SPECIAL_GRADE[fLC]="Pista simples","-",MULTILANE_HIGHWAY_SPECIAL_GRADE[VP_SG]/MULTILANE_HIGHWAY_SPECIAL_GRADE[S])</f>
        <v>11.070694456285869</v>
      </c>
      <c r="BF21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98.666666666666671</v>
      </c>
      <c r="BG21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21" s="308" t="str">
        <f>IF(MULTILANE_HIGHWAY_SPECIAL_GRADE[[#This Row],[LOS_vp3]]="F","F",VLOOKUP(MULTILANE_HIGHWAY_SPECIAL_GRADE[[#This Row],[LOS_vp3]],'HCM2000'!$R$655:$S$659,2))</f>
        <v>C</v>
      </c>
      <c r="BI21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21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21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21" s="440">
        <f>MULTILANE_HIGHWAY_SPECIAL_GRADE[VP_SG]</f>
        <v>1092.3085196868724</v>
      </c>
      <c r="BM21" s="440">
        <f>MULTILANE_HIGHWAY_SPECIAL_GRADE[D_SG]</f>
        <v>11.070694456285869</v>
      </c>
      <c r="BN21" s="440">
        <f>MULTILANE_HIGHWAY_SPECIAL_GRADE[S_SG]</f>
        <v>98.666666666666671</v>
      </c>
      <c r="CD21" s="416"/>
    </row>
    <row r="22" spans="2:83">
      <c r="B22" s="685">
        <v>9</v>
      </c>
      <c r="C22" s="686">
        <v>300</v>
      </c>
      <c r="D22" s="687" t="str">
        <f>"Dupla"</f>
        <v>Dupla</v>
      </c>
      <c r="E22" s="688">
        <v>4</v>
      </c>
      <c r="F22" s="689" t="s">
        <v>579</v>
      </c>
      <c r="G22" s="686">
        <v>2</v>
      </c>
      <c r="H22" s="689">
        <v>3.6</v>
      </c>
      <c r="I22" s="689">
        <v>3.6</v>
      </c>
      <c r="J22" s="689" t="s">
        <v>145</v>
      </c>
      <c r="K22" s="690"/>
      <c r="L22" s="544" t="s">
        <v>644</v>
      </c>
      <c r="M22" s="544" t="s">
        <v>654</v>
      </c>
      <c r="N22" s="22">
        <f>MULTILANE_HIGHWAY_SPECIAL_GRADE[Largura das Faixas]</f>
        <v>3.6</v>
      </c>
      <c r="O22" s="22">
        <f>MULTILANE_HIGHWAY_SPECIAL_GRADE[Largura Acost.]</f>
        <v>3.6</v>
      </c>
      <c r="P22" s="541">
        <v>4081.1071056079159</v>
      </c>
      <c r="Q22" s="541">
        <v>5612.0747125739017</v>
      </c>
      <c r="R22" s="399">
        <f>MULTILANE_HIGHWAY_SPECIAL_GRADE[passeio]+MULTILANE_HIGHWAY_SPECIAL_GRADE[pesado]</f>
        <v>9693.181818181818</v>
      </c>
      <c r="S22" s="435">
        <f>MULTILANE_HIGHWAY_SPECIAL_GRADE[pesado]/MULTILANE_HIGHWAY_SPECIAL_GRADE[vdma]</f>
        <v>0.57897136542380234</v>
      </c>
      <c r="T22" s="547">
        <v>0.03</v>
      </c>
      <c r="U22" s="547">
        <f>0.12</f>
        <v>0.12</v>
      </c>
      <c r="V22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1163.181818181818</v>
      </c>
      <c r="W22" s="691">
        <v>0.55000000000000004</v>
      </c>
      <c r="X22" s="264">
        <f>MULTILANE_HIGHWAY_SPECIAL_GRADE[veic/h]*MULTILANE_HIGHWAY_SPECIAL_GRADE[distrib. direc.]</f>
        <v>639.75</v>
      </c>
      <c r="Y22" s="552">
        <v>2</v>
      </c>
      <c r="Z22" s="525">
        <f>0</f>
        <v>0</v>
      </c>
      <c r="AA22" s="544">
        <v>100</v>
      </c>
      <c r="AB22" s="547"/>
      <c r="AC22" s="551">
        <v>0.88</v>
      </c>
      <c r="AD22" s="332">
        <f>VLOOKUP(MULTILANE_HIGHWAY_SPECIAL_GRADE[faixa (m)],'HCM2000'!$B$541:$C$547,2,TRUE)</f>
        <v>0</v>
      </c>
      <c r="AE22" s="332">
        <f>IF(MULTILANE_HIGHWAY_SPECIAL_GRADE[acost (m)]&gt;0,1.8,1.2)</f>
        <v>1.8</v>
      </c>
      <c r="AF22" s="332">
        <f>IF(MULTILANE_HIGHWAY_SPECIAL_GRADE[Separador]=$AU$6,$AW$6,IF(MULTILANE_HIGHWAY_SPECIAL_GRADE[Separador]=$AU$7,$AW$7,$AW$8))</f>
        <v>1.8</v>
      </c>
      <c r="AG22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22" s="332">
        <f>IF(MULTILANE_HIGHWAY_SPECIAL_GRADE[Separador]="Sinalização horizontal",'HCM2000'!$C$590,'HCM2000'!$C$591)</f>
        <v>0</v>
      </c>
      <c r="AI22" s="332">
        <f>MIN((2/3)*MULTILANE_HIGHWAY_SPECIAL_GRADE[acessos/km],16)</f>
        <v>1.3333333333333333</v>
      </c>
      <c r="AJ22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22" s="332">
        <f>IF(MULTILANE_HIGHWAY_SPECIAL_GRADE[plano/ondulado]="Montanhoso",#REF!,VLOOKUP(MULTILANE_HIGHWAY_SPECIAL_GRADE[plano/ondulado],'HCM2000'!$B$606:$C$608,2,FALSE))</f>
        <v>1.5</v>
      </c>
      <c r="AL22" s="684">
        <f>IF(MULTILANE_HIGHWAY_SPECIAL_GRADE[[#This Row],[plano/ondulado]]="Montanhoso",#REF!,VLOOKUP(MULTILANE_HIGHWAY_SPECIAL_GRADE[[#This Row],[plano/ondulado]],'HCM2000'!$E$606:$F$608,2,FALSE))</f>
        <v>1.2</v>
      </c>
      <c r="AM22" s="433">
        <f>1/(1+(MULTILANE_HIGHWAY_SPECIAL_GRADE[Pt]*(MULTILANE_HIGHWAY_SPECIAL_GRADE[Et2]-1))+(MULTILANE_HIGHWAY_SPECIAL_GRADE[PRv]*(MULTILANE_HIGHWAY_SPECIAL_GRADE[Er2]-1)))</f>
        <v>0.7719112710737589</v>
      </c>
      <c r="AN22" s="329">
        <f>MULTILANE_HIGHWAY_SPECIAL_GRADE[[#This Row],[Número de Faixas]]+IF(MULTILANE_HIGHWAY_SPECIAL_GRADE[[#This Row],[Num. Faixas Marg.]]="-",0,MULTILANE_HIGHWAY_SPECIAL_GRADE[[#This Row],[Num. Faixas Marg.]])</f>
        <v>2</v>
      </c>
      <c r="AO22" s="329">
        <f>MULTILANE_HIGHWAY_SPECIAL_GRADE[[#This Row],[Vzão]]/(MULTILANE_HIGHWAY_SPECIAL_GRADE[[#This Row],[PHF]]*MULTILANE_HIGHWAY_SPECIAL_GRADE[[#This Row],[N]]*MULTILANE_HIGHWAY_SPECIAL_GRADE[[#This Row],[fHV]])</f>
        <v>470.90168495166978</v>
      </c>
      <c r="AP22" s="332">
        <f>IF(MULTILANE_HIGHWAY_SPECIAL_GRADE[fLC]="Pista simples","-",MULTILANE_HIGHWAY_SPECIAL_GRADE[vp3]/MULTILANE_HIGHWAY_SPECIAL_GRADE[S])</f>
        <v>4.772652212348004</v>
      </c>
      <c r="AQ22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22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5</v>
      </c>
      <c r="AS22" s="308" t="str">
        <f>IF(MULTILANE_HIGHWAY_SPECIAL_GRADE[LOS_vp3]="F","F",VLOOKUP(MULTILANE_HIGHWAY_SPECIAL_GRADE[LOS_vp3],'HCM2000'!$R$655:$S$659,2))</f>
        <v>C</v>
      </c>
      <c r="AT22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22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22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22" s="22">
        <v>4.5</v>
      </c>
      <c r="AX22" s="22">
        <v>2.0999999999996697</v>
      </c>
      <c r="AY22" s="22">
        <v>1.4999999999999991</v>
      </c>
      <c r="AZ22" s="22">
        <f>1.2</f>
        <v>1.2</v>
      </c>
      <c r="BA22" s="463">
        <f>IF(MULTILANE_HIGHWAY_SPECIAL_GRADE[Direction analysed ?]="up",MULTILANE_HIGHWAY_SPECIAL_GRADE[ET_UP],MULTILANE_HIGHWAY_SPECIAL_GRADE[ET_DOWN])</f>
        <v>4.5</v>
      </c>
      <c r="BB22" s="463">
        <f>IF(MULTILANE_HIGHWAY_SPECIAL_GRADE[Direction analysed ?]="up",MULTILANE_HIGHWAY_SPECIAL_GRADE[ER_UP],MULTILANE_HIGHWAY_SPECIAL_GRADE[ER_DOWN])</f>
        <v>2.0999999999996697</v>
      </c>
      <c r="BC22" s="433">
        <f>1/(1+(MULTILANE_HIGHWAY_SPECIAL_GRADE[Pt]*(MULTILANE_HIGHWAY_SPECIAL_GRADE[ET]-1))+(MULTILANE_HIGHWAY_SPECIAL_GRADE[PRv]*(MULTILANE_HIGHWAY_SPECIAL_GRADE[ER]-1)))</f>
        <v>0.32686149971950401</v>
      </c>
      <c r="BD22" s="331">
        <f>MULTILANE_HIGHWAY_SPECIAL_GRADE[Vzão]/(MULTILANE_HIGHWAY_SPECIAL_GRADE[PHF]*MULTILANE_HIGHWAY_SPECIAL_GRADE[N]*MULTILANE_HIGHWAY_SPECIAL_GRADE[fHV_SG])</f>
        <v>1112.0744367071391</v>
      </c>
      <c r="BE22" s="422">
        <f>IF(MULTILANE_HIGHWAY_SPECIAL_GRADE[fLC]="Pista simples","-",MULTILANE_HIGHWAY_SPECIAL_GRADE[VP_SG]/MULTILANE_HIGHWAY_SPECIAL_GRADE[S])</f>
        <v>11.271024696356138</v>
      </c>
      <c r="BF22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98.666666666666671</v>
      </c>
      <c r="BG22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22" s="308" t="str">
        <f>IF(MULTILANE_HIGHWAY_SPECIAL_GRADE[[#This Row],[LOS_vp3]]="F","F",VLOOKUP(MULTILANE_HIGHWAY_SPECIAL_GRADE[[#This Row],[LOS_vp3]],'HCM2000'!$R$655:$S$659,2))</f>
        <v>C</v>
      </c>
      <c r="BI22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22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22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22" s="440">
        <f>MULTILANE_HIGHWAY_SPECIAL_GRADE[VP_SG]</f>
        <v>1112.0744367071391</v>
      </c>
      <c r="BM22" s="440">
        <f>MULTILANE_HIGHWAY_SPECIAL_GRADE[D_SG]</f>
        <v>11.271024696356138</v>
      </c>
      <c r="BN22" s="440">
        <f>MULTILANE_HIGHWAY_SPECIAL_GRADE[S_SG]</f>
        <v>98.666666666666671</v>
      </c>
      <c r="CD22" s="416"/>
      <c r="CE22" s="416"/>
    </row>
    <row r="23" spans="2:83">
      <c r="B23" s="685">
        <v>10</v>
      </c>
      <c r="C23" s="686">
        <v>300</v>
      </c>
      <c r="D23" s="687" t="str">
        <f>"Dupla"</f>
        <v>Dupla</v>
      </c>
      <c r="E23" s="688">
        <v>4</v>
      </c>
      <c r="F23" s="689" t="s">
        <v>579</v>
      </c>
      <c r="G23" s="686">
        <v>2</v>
      </c>
      <c r="H23" s="689">
        <v>3.6</v>
      </c>
      <c r="I23" s="689">
        <v>3.6</v>
      </c>
      <c r="J23" s="689" t="s">
        <v>145</v>
      </c>
      <c r="K23" s="690"/>
      <c r="L23" s="544" t="s">
        <v>644</v>
      </c>
      <c r="M23" s="544" t="s">
        <v>654</v>
      </c>
      <c r="N23" s="22">
        <f>MULTILANE_HIGHWAY_SPECIAL_GRADE[Largura das Faixas]</f>
        <v>3.6</v>
      </c>
      <c r="O23" s="22">
        <f>MULTILANE_HIGHWAY_SPECIAL_GRADE[Largura Acost.]</f>
        <v>3.6</v>
      </c>
      <c r="P23" s="541">
        <v>4686.8400019242918</v>
      </c>
      <c r="Q23" s="541">
        <v>5892.7054526211641</v>
      </c>
      <c r="R23" s="399">
        <f>MULTILANE_HIGHWAY_SPECIAL_GRADE[passeio]+MULTILANE_HIGHWAY_SPECIAL_GRADE[pesado]</f>
        <v>10579.545454545456</v>
      </c>
      <c r="S23" s="435">
        <f>MULTILANE_HIGHWAY_SPECIAL_GRADE[pesado]/MULTILANE_HIGHWAY_SPECIAL_GRADE[vdma]</f>
        <v>0.55699041872251598</v>
      </c>
      <c r="T23" s="547">
        <v>0.03</v>
      </c>
      <c r="U23" s="547">
        <f>0.12</f>
        <v>0.12</v>
      </c>
      <c r="V23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1269.5454545454547</v>
      </c>
      <c r="W23" s="691">
        <v>0.55000000000000004</v>
      </c>
      <c r="X23" s="264">
        <f>MULTILANE_HIGHWAY_SPECIAL_GRADE[veic/h]*MULTILANE_HIGHWAY_SPECIAL_GRADE[distrib. direc.]</f>
        <v>698.25000000000011</v>
      </c>
      <c r="Y23" s="552">
        <v>3</v>
      </c>
      <c r="Z23" s="525">
        <f>0</f>
        <v>0</v>
      </c>
      <c r="AA23" s="544">
        <v>100</v>
      </c>
      <c r="AB23" s="547"/>
      <c r="AC23" s="551">
        <v>0.88</v>
      </c>
      <c r="AD23" s="332">
        <f>VLOOKUP(MULTILANE_HIGHWAY_SPECIAL_GRADE[faixa (m)],'HCM2000'!$B$541:$C$547,2,TRUE)</f>
        <v>0</v>
      </c>
      <c r="AE23" s="332">
        <f>IF(MULTILANE_HIGHWAY_SPECIAL_GRADE[acost (m)]&gt;0,1.8,1.2)</f>
        <v>1.8</v>
      </c>
      <c r="AF23" s="332">
        <f>IF(MULTILANE_HIGHWAY_SPECIAL_GRADE[Separador]=$AU$6,$AW$6,IF(MULTILANE_HIGHWAY_SPECIAL_GRADE[Separador]=$AU$7,$AW$7,$AW$8))</f>
        <v>1.8</v>
      </c>
      <c r="AG23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23" s="332">
        <f>IF(MULTILANE_HIGHWAY_SPECIAL_GRADE[Separador]="Sinalização horizontal",'HCM2000'!$C$590,'HCM2000'!$C$591)</f>
        <v>0</v>
      </c>
      <c r="AI23" s="332">
        <f>MIN((2/3)*MULTILANE_HIGHWAY_SPECIAL_GRADE[acessos/km],16)</f>
        <v>2</v>
      </c>
      <c r="AJ23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</v>
      </c>
      <c r="AK23" s="332">
        <f>IF(MULTILANE_HIGHWAY_SPECIAL_GRADE[plano/ondulado]="Montanhoso",#REF!,VLOOKUP(MULTILANE_HIGHWAY_SPECIAL_GRADE[plano/ondulado],'HCM2000'!$B$606:$C$608,2,FALSE))</f>
        <v>1.5</v>
      </c>
      <c r="AL23" s="684">
        <f>IF(MULTILANE_HIGHWAY_SPECIAL_GRADE[[#This Row],[plano/ondulado]]="Montanhoso",#REF!,VLOOKUP(MULTILANE_HIGHWAY_SPECIAL_GRADE[[#This Row],[plano/ondulado]],'HCM2000'!$E$606:$F$608,2,FALSE))</f>
        <v>1.2</v>
      </c>
      <c r="AM23" s="433">
        <f>1/(1+(MULTILANE_HIGHWAY_SPECIAL_GRADE[Pt]*(MULTILANE_HIGHWAY_SPECIAL_GRADE[Et2]-1))+(MULTILANE_HIGHWAY_SPECIAL_GRADE[PRv]*(MULTILANE_HIGHWAY_SPECIAL_GRADE[Er2]-1)))</f>
        <v>0.77851594362681253</v>
      </c>
      <c r="AN23" s="329">
        <f>MULTILANE_HIGHWAY_SPECIAL_GRADE[[#This Row],[Número de Faixas]]+IF(MULTILANE_HIGHWAY_SPECIAL_GRADE[[#This Row],[Num. Faixas Marg.]]="-",0,MULTILANE_HIGHWAY_SPECIAL_GRADE[[#This Row],[Num. Faixas Marg.]])</f>
        <v>2</v>
      </c>
      <c r="AO23" s="329">
        <f>MULTILANE_HIGHWAY_SPECIAL_GRADE[[#This Row],[Vzão]]/(MULTILANE_HIGHWAY_SPECIAL_GRADE[[#This Row],[PHF]]*MULTILANE_HIGHWAY_SPECIAL_GRADE[[#This Row],[N]]*MULTILANE_HIGHWAY_SPECIAL_GRADE[[#This Row],[fHV]])</f>
        <v>509.60157950937423</v>
      </c>
      <c r="AP23" s="332">
        <f>IF(MULTILANE_HIGHWAY_SPECIAL_GRADE[fLC]="Pista simples","-",MULTILANE_HIGHWAY_SPECIAL_GRADE[vp3]/MULTILANE_HIGHWAY_SPECIAL_GRADE[S])</f>
        <v>5.2000161174425941</v>
      </c>
      <c r="AQ23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</v>
      </c>
      <c r="AR23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5</v>
      </c>
      <c r="AS23" s="308" t="str">
        <f>IF(MULTILANE_HIGHWAY_SPECIAL_GRADE[LOS_vp3]="F","F",VLOOKUP(MULTILANE_HIGHWAY_SPECIAL_GRADE[LOS_vp3],'HCM2000'!$R$655:$S$659,2))</f>
        <v>C</v>
      </c>
      <c r="AT23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23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23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23" s="22">
        <v>4.5</v>
      </c>
      <c r="AX23" s="22">
        <v>2.0999999999996755</v>
      </c>
      <c r="AY23" s="22">
        <v>1.4999999999999991</v>
      </c>
      <c r="AZ23" s="22">
        <f>1.2</f>
        <v>1.2</v>
      </c>
      <c r="BA23" s="463">
        <f>IF(MULTILANE_HIGHWAY_SPECIAL_GRADE[Direction analysed ?]="up",MULTILANE_HIGHWAY_SPECIAL_GRADE[ET_UP],MULTILANE_HIGHWAY_SPECIAL_GRADE[ET_DOWN])</f>
        <v>4.5</v>
      </c>
      <c r="BB23" s="463">
        <f>IF(MULTILANE_HIGHWAY_SPECIAL_GRADE[Direction analysed ?]="up",MULTILANE_HIGHWAY_SPECIAL_GRADE[ER_UP],MULTILANE_HIGHWAY_SPECIAL_GRADE[ER_DOWN])</f>
        <v>2.0999999999996755</v>
      </c>
      <c r="BC23" s="433">
        <f>1/(1+(MULTILANE_HIGHWAY_SPECIAL_GRADE[Pt]*(MULTILANE_HIGHWAY_SPECIAL_GRADE[ET]-1))+(MULTILANE_HIGHWAY_SPECIAL_GRADE[PRv]*(MULTILANE_HIGHWAY_SPECIAL_GRADE[ER]-1)))</f>
        <v>0.33529295687242483</v>
      </c>
      <c r="BD23" s="331">
        <f>MULTILANE_HIGHWAY_SPECIAL_GRADE[Vzão]/(MULTILANE_HIGHWAY_SPECIAL_GRADE[PHF]*MULTILANE_HIGHWAY_SPECIAL_GRADE[N]*MULTILANE_HIGHWAY_SPECIAL_GRADE[fHV_SG])</f>
        <v>1183.2427327019786</v>
      </c>
      <c r="BE23" s="422">
        <f>IF(MULTILANE_HIGHWAY_SPECIAL_GRADE[fLC]="Pista simples","-",MULTILANE_HIGHWAY_SPECIAL_GRADE[VP_SG]/MULTILANE_HIGHWAY_SPECIAL_GRADE[S])</f>
        <v>12.073905435734476</v>
      </c>
      <c r="BF23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</v>
      </c>
      <c r="BG23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23" s="308" t="str">
        <f>IF(MULTILANE_HIGHWAY_SPECIAL_GRADE[[#This Row],[LOS_vp3]]="F","F",VLOOKUP(MULTILANE_HIGHWAY_SPECIAL_GRADE[[#This Row],[LOS_vp3]],'HCM2000'!$R$655:$S$659,2))</f>
        <v>C</v>
      </c>
      <c r="BI23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23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23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23" s="440">
        <f>MULTILANE_HIGHWAY_SPECIAL_GRADE[VP_SG]</f>
        <v>1183.2427327019786</v>
      </c>
      <c r="BM23" s="440">
        <f>MULTILANE_HIGHWAY_SPECIAL_GRADE[D_SG]</f>
        <v>12.073905435734476</v>
      </c>
      <c r="BN23" s="440">
        <f>MULTILANE_HIGHWAY_SPECIAL_GRADE[S_SG]</f>
        <v>98</v>
      </c>
      <c r="CD23" s="416"/>
      <c r="CE23" s="416"/>
    </row>
    <row r="24" spans="2:83">
      <c r="B24" s="685">
        <v>11</v>
      </c>
      <c r="C24" s="686">
        <v>300</v>
      </c>
      <c r="D24" s="687" t="str">
        <f>"Dupla"</f>
        <v>Dupla</v>
      </c>
      <c r="E24" s="688">
        <v>4</v>
      </c>
      <c r="F24" s="689" t="s">
        <v>579</v>
      </c>
      <c r="G24" s="686">
        <v>2</v>
      </c>
      <c r="H24" s="689">
        <v>3.6</v>
      </c>
      <c r="I24" s="689">
        <v>3.6</v>
      </c>
      <c r="J24" s="689" t="s">
        <v>145</v>
      </c>
      <c r="K24" s="690"/>
      <c r="L24" s="544" t="s">
        <v>644</v>
      </c>
      <c r="M24" s="544" t="s">
        <v>654</v>
      </c>
      <c r="N24" s="22">
        <f>MULTILANE_HIGHWAY_SPECIAL_GRADE[Largura das Faixas]</f>
        <v>3.6</v>
      </c>
      <c r="O24" s="22">
        <f>MULTILANE_HIGHWAY_SPECIAL_GRADE[Largura Acost.]</f>
        <v>3.6</v>
      </c>
      <c r="P24" s="541">
        <v>6213.4133125300668</v>
      </c>
      <c r="Q24" s="541">
        <v>5888.859414742662</v>
      </c>
      <c r="R24" s="399">
        <f>MULTILANE_HIGHWAY_SPECIAL_GRADE[passeio]+MULTILANE_HIGHWAY_SPECIAL_GRADE[pesado]</f>
        <v>12102.272727272728</v>
      </c>
      <c r="S24" s="435">
        <f>MULTILANE_HIGHWAY_SPECIAL_GRADE[pesado]/MULTILANE_HIGHWAY_SPECIAL_GRADE[vdma]</f>
        <v>0.48659120046699927</v>
      </c>
      <c r="T24" s="547">
        <v>0.03</v>
      </c>
      <c r="U24" s="547">
        <f>0.12</f>
        <v>0.12</v>
      </c>
      <c r="V24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1452.2727272727273</v>
      </c>
      <c r="W24" s="691">
        <v>0.55000000000000004</v>
      </c>
      <c r="X24" s="264">
        <f>MULTILANE_HIGHWAY_SPECIAL_GRADE[veic/h]*MULTILANE_HIGHWAY_SPECIAL_GRADE[distrib. direc.]</f>
        <v>798.75</v>
      </c>
      <c r="Y24" s="552">
        <v>2</v>
      </c>
      <c r="Z24" s="525">
        <f>0</f>
        <v>0</v>
      </c>
      <c r="AA24" s="544">
        <v>100</v>
      </c>
      <c r="AB24" s="547"/>
      <c r="AC24" s="551">
        <v>0.88</v>
      </c>
      <c r="AD24" s="332">
        <f>VLOOKUP(MULTILANE_HIGHWAY_SPECIAL_GRADE[faixa (m)],'HCM2000'!$B$541:$C$547,2,TRUE)</f>
        <v>0</v>
      </c>
      <c r="AE24" s="332">
        <f>IF(MULTILANE_HIGHWAY_SPECIAL_GRADE[acost (m)]&gt;0,1.8,1.2)</f>
        <v>1.8</v>
      </c>
      <c r="AF24" s="332">
        <f>IF(MULTILANE_HIGHWAY_SPECIAL_GRADE[Separador]=$AU$6,$AW$6,IF(MULTILANE_HIGHWAY_SPECIAL_GRADE[Separador]=$AU$7,$AW$7,$AW$8))</f>
        <v>1.8</v>
      </c>
      <c r="AG24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24" s="332">
        <f>IF(MULTILANE_HIGHWAY_SPECIAL_GRADE[Separador]="Sinalização horizontal",'HCM2000'!$C$590,'HCM2000'!$C$591)</f>
        <v>0</v>
      </c>
      <c r="AI24" s="332">
        <f>MIN((2/3)*MULTILANE_HIGHWAY_SPECIAL_GRADE[acessos/km],16)</f>
        <v>1.3333333333333333</v>
      </c>
      <c r="AJ24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24" s="332">
        <f>IF(MULTILANE_HIGHWAY_SPECIAL_GRADE[plano/ondulado]="Montanhoso",#REF!,VLOOKUP(MULTILANE_HIGHWAY_SPECIAL_GRADE[plano/ondulado],'HCM2000'!$B$606:$C$608,2,FALSE))</f>
        <v>1.5</v>
      </c>
      <c r="AL24" s="684">
        <f>IF(MULTILANE_HIGHWAY_SPECIAL_GRADE[[#This Row],[plano/ondulado]]="Montanhoso",#REF!,VLOOKUP(MULTILANE_HIGHWAY_SPECIAL_GRADE[[#This Row],[plano/ondulado]],'HCM2000'!$E$606:$F$608,2,FALSE))</f>
        <v>1.2</v>
      </c>
      <c r="AM24" s="433">
        <f>1/(1+(MULTILANE_HIGHWAY_SPECIAL_GRADE[Pt]*(MULTILANE_HIGHWAY_SPECIAL_GRADE[Et2]-1))+(MULTILANE_HIGHWAY_SPECIAL_GRADE[PRv]*(MULTILANE_HIGHWAY_SPECIAL_GRADE[Er2]-1)))</f>
        <v>0.80045107003746352</v>
      </c>
      <c r="AN24" s="329">
        <f>MULTILANE_HIGHWAY_SPECIAL_GRADE[[#This Row],[Número de Faixas]]+IF(MULTILANE_HIGHWAY_SPECIAL_GRADE[[#This Row],[Num. Faixas Marg.]]="-",0,MULTILANE_HIGHWAY_SPECIAL_GRADE[[#This Row],[Num. Faixas Marg.]])</f>
        <v>2</v>
      </c>
      <c r="AO24" s="329">
        <f>MULTILANE_HIGHWAY_SPECIAL_GRADE[[#This Row],[Vzão]]/(MULTILANE_HIGHWAY_SPECIAL_GRADE[[#This Row],[PHF]]*MULTILANE_HIGHWAY_SPECIAL_GRADE[[#This Row],[N]]*MULTILANE_HIGHWAY_SPECIAL_GRADE[[#This Row],[fHV]])</f>
        <v>566.97435266278842</v>
      </c>
      <c r="AP24" s="332">
        <f>IF(MULTILANE_HIGHWAY_SPECIAL_GRADE[fLC]="Pista simples","-",MULTILANE_HIGHWAY_SPECIAL_GRADE[vp3]/MULTILANE_HIGHWAY_SPECIAL_GRADE[S])</f>
        <v>5.7463616823931254</v>
      </c>
      <c r="AQ24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24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5</v>
      </c>
      <c r="AS24" s="308" t="str">
        <f>IF(MULTILANE_HIGHWAY_SPECIAL_GRADE[LOS_vp3]="F","F",VLOOKUP(MULTILANE_HIGHWAY_SPECIAL_GRADE[LOS_vp3],'HCM2000'!$R$655:$S$659,2))</f>
        <v>C</v>
      </c>
      <c r="AT24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24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24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24" s="22">
        <v>4.5</v>
      </c>
      <c r="AX24" s="22">
        <v>2.0999999999996941</v>
      </c>
      <c r="AY24" s="22">
        <v>1.4999999999999991</v>
      </c>
      <c r="AZ24" s="22">
        <f>1.2</f>
        <v>1.2</v>
      </c>
      <c r="BA24" s="463">
        <f>IF(MULTILANE_HIGHWAY_SPECIAL_GRADE[Direction analysed ?]="up",MULTILANE_HIGHWAY_SPECIAL_GRADE[ET_UP],MULTILANE_HIGHWAY_SPECIAL_GRADE[ET_DOWN])</f>
        <v>4.5</v>
      </c>
      <c r="BB24" s="463">
        <f>IF(MULTILANE_HIGHWAY_SPECIAL_GRADE[Direction analysed ?]="up",MULTILANE_HIGHWAY_SPECIAL_GRADE[ER_UP],MULTILANE_HIGHWAY_SPECIAL_GRADE[ER_DOWN])</f>
        <v>2.0999999999996941</v>
      </c>
      <c r="BC24" s="433">
        <f>1/(1+(MULTILANE_HIGHWAY_SPECIAL_GRADE[Pt]*(MULTILANE_HIGHWAY_SPECIAL_GRADE[ET]-1))+(MULTILANE_HIGHWAY_SPECIAL_GRADE[PRv]*(MULTILANE_HIGHWAY_SPECIAL_GRADE[ER]-1)))</f>
        <v>0.36548783174146848</v>
      </c>
      <c r="BD24" s="331">
        <f>MULTILANE_HIGHWAY_SPECIAL_GRADE[Vzão]/(MULTILANE_HIGHWAY_SPECIAL_GRADE[PHF]*MULTILANE_HIGHWAY_SPECIAL_GRADE[N]*MULTILANE_HIGHWAY_SPECIAL_GRADE[fHV_SG])</f>
        <v>1241.7245879576976</v>
      </c>
      <c r="BE24" s="422">
        <f>IF(MULTILANE_HIGHWAY_SPECIAL_GRADE[fLC]="Pista simples","-",MULTILANE_HIGHWAY_SPECIAL_GRADE[VP_SG]/MULTILANE_HIGHWAY_SPECIAL_GRADE[S])</f>
        <v>12.585046499571259</v>
      </c>
      <c r="BF24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98.666666666666671</v>
      </c>
      <c r="BG24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24" s="308" t="str">
        <f>IF(MULTILANE_HIGHWAY_SPECIAL_GRADE[[#This Row],[LOS_vp3]]="F","F",VLOOKUP(MULTILANE_HIGHWAY_SPECIAL_GRADE[[#This Row],[LOS_vp3]],'HCM2000'!$R$655:$S$659,2))</f>
        <v>C</v>
      </c>
      <c r="BI24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24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24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24" s="440">
        <f>MULTILANE_HIGHWAY_SPECIAL_GRADE[VP_SG]</f>
        <v>1241.7245879576976</v>
      </c>
      <c r="BM24" s="440">
        <f>MULTILANE_HIGHWAY_SPECIAL_GRADE[D_SG]</f>
        <v>12.585046499571259</v>
      </c>
      <c r="BN24" s="440">
        <f>MULTILANE_HIGHWAY_SPECIAL_GRADE[S_SG]</f>
        <v>98.666666666666671</v>
      </c>
      <c r="CD24" s="416"/>
      <c r="CE24" s="416"/>
    </row>
    <row r="25" spans="2:83">
      <c r="B25" s="685">
        <v>12</v>
      </c>
      <c r="C25" s="686">
        <v>300</v>
      </c>
      <c r="D25" s="687" t="str">
        <f>"Dupla"</f>
        <v>Dupla</v>
      </c>
      <c r="E25" s="688">
        <v>4</v>
      </c>
      <c r="F25" s="689" t="s">
        <v>579</v>
      </c>
      <c r="G25" s="686">
        <v>2</v>
      </c>
      <c r="H25" s="689">
        <v>3.6</v>
      </c>
      <c r="I25" s="689">
        <v>3.6</v>
      </c>
      <c r="J25" s="689" t="s">
        <v>145</v>
      </c>
      <c r="K25" s="690"/>
      <c r="L25" s="544" t="s">
        <v>644</v>
      </c>
      <c r="M25" s="544" t="s">
        <v>654</v>
      </c>
      <c r="N25" s="22">
        <f>MULTILANE_HIGHWAY_SPECIAL_GRADE[Largura das Faixas]</f>
        <v>3.6</v>
      </c>
      <c r="O25" s="22">
        <f>MULTILANE_HIGHWAY_SPECIAL_GRADE[Largura Acost.]</f>
        <v>3.6</v>
      </c>
      <c r="P25" s="541">
        <v>6460.5038255548125</v>
      </c>
      <c r="Q25" s="541">
        <v>5914.4961744451875</v>
      </c>
      <c r="R25" s="399">
        <f>MULTILANE_HIGHWAY_SPECIAL_GRADE[passeio]+MULTILANE_HIGHWAY_SPECIAL_GRADE[pesado]</f>
        <v>12375</v>
      </c>
      <c r="S25" s="435">
        <f>MULTILANE_HIGHWAY_SPECIAL_GRADE[pesado]/MULTILANE_HIGHWAY_SPECIAL_GRADE[vdma]</f>
        <v>0.47793908480365149</v>
      </c>
      <c r="T25" s="547">
        <v>0.03</v>
      </c>
      <c r="U25" s="547">
        <f>0.12</f>
        <v>0.12</v>
      </c>
      <c r="V25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1485</v>
      </c>
      <c r="W25" s="691">
        <v>0.55000000000000004</v>
      </c>
      <c r="X25" s="264">
        <f>MULTILANE_HIGHWAY_SPECIAL_GRADE[veic/h]*MULTILANE_HIGHWAY_SPECIAL_GRADE[distrib. direc.]</f>
        <v>816.75000000000011</v>
      </c>
      <c r="Y25" s="552">
        <v>1</v>
      </c>
      <c r="Z25" s="525">
        <f>0</f>
        <v>0</v>
      </c>
      <c r="AA25" s="544">
        <v>100</v>
      </c>
      <c r="AB25" s="547"/>
      <c r="AC25" s="551">
        <v>0.88</v>
      </c>
      <c r="AD25" s="332">
        <f>VLOOKUP(MULTILANE_HIGHWAY_SPECIAL_GRADE[faixa (m)],'HCM2000'!$B$541:$C$547,2,TRUE)</f>
        <v>0</v>
      </c>
      <c r="AE25" s="332">
        <f>IF(MULTILANE_HIGHWAY_SPECIAL_GRADE[acost (m)]&gt;0,1.8,1.2)</f>
        <v>1.8</v>
      </c>
      <c r="AF25" s="332">
        <f>IF(MULTILANE_HIGHWAY_SPECIAL_GRADE[Separador]=$AU$6,$AW$6,IF(MULTILANE_HIGHWAY_SPECIAL_GRADE[Separador]=$AU$7,$AW$7,$AW$8))</f>
        <v>1.8</v>
      </c>
      <c r="AG25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25" s="332">
        <f>IF(MULTILANE_HIGHWAY_SPECIAL_GRADE[Separador]="Sinalização horizontal",'HCM2000'!$C$590,'HCM2000'!$C$591)</f>
        <v>0</v>
      </c>
      <c r="AI25" s="332">
        <f>MIN((2/3)*MULTILANE_HIGHWAY_SPECIAL_GRADE[acessos/km],16)</f>
        <v>0.66666666666666663</v>
      </c>
      <c r="AJ25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99.333333333333329</v>
      </c>
      <c r="AK25" s="332">
        <f>IF(MULTILANE_HIGHWAY_SPECIAL_GRADE[plano/ondulado]="Montanhoso",#REF!,VLOOKUP(MULTILANE_HIGHWAY_SPECIAL_GRADE[plano/ondulado],'HCM2000'!$B$606:$C$608,2,FALSE))</f>
        <v>1.5</v>
      </c>
      <c r="AL25" s="684">
        <f>IF(MULTILANE_HIGHWAY_SPECIAL_GRADE[[#This Row],[plano/ondulado]]="Montanhoso",#REF!,VLOOKUP(MULTILANE_HIGHWAY_SPECIAL_GRADE[[#This Row],[plano/ondulado]],'HCM2000'!$E$606:$F$608,2,FALSE))</f>
        <v>1.2</v>
      </c>
      <c r="AM25" s="433">
        <f>1/(1+(MULTILANE_HIGHWAY_SPECIAL_GRADE[Pt]*(MULTILANE_HIGHWAY_SPECIAL_GRADE[Et2]-1))+(MULTILANE_HIGHWAY_SPECIAL_GRADE[PRv]*(MULTILANE_HIGHWAY_SPECIAL_GRADE[Er2]-1)))</f>
        <v>0.80323250163275128</v>
      </c>
      <c r="AN25" s="329">
        <f>MULTILANE_HIGHWAY_SPECIAL_GRADE[[#This Row],[Número de Faixas]]+IF(MULTILANE_HIGHWAY_SPECIAL_GRADE[[#This Row],[Num. Faixas Marg.]]="-",0,MULTILANE_HIGHWAY_SPECIAL_GRADE[[#This Row],[Num. Faixas Marg.]])</f>
        <v>2</v>
      </c>
      <c r="AO25" s="329">
        <f>MULTILANE_HIGHWAY_SPECIAL_GRADE[[#This Row],[Vzão]]/(MULTILANE_HIGHWAY_SPECIAL_GRADE[[#This Row],[PHF]]*MULTILANE_HIGHWAY_SPECIAL_GRADE[[#This Row],[N]]*MULTILANE_HIGHWAY_SPECIAL_GRADE[[#This Row],[fHV]])</f>
        <v>577.74367827084723</v>
      </c>
      <c r="AP25" s="332">
        <f>IF(MULTILANE_HIGHWAY_SPECIAL_GRADE[fLC]="Pista simples","-",MULTILANE_HIGHWAY_SPECIAL_GRADE[vp3]/MULTILANE_HIGHWAY_SPECIAL_GRADE[S])</f>
        <v>5.8162115262165832</v>
      </c>
      <c r="AQ25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99.333333333333329</v>
      </c>
      <c r="AR25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5</v>
      </c>
      <c r="AS25" s="308" t="str">
        <f>IF(MULTILANE_HIGHWAY_SPECIAL_GRADE[LOS_vp3]="F","F",VLOOKUP(MULTILANE_HIGHWAY_SPECIAL_GRADE[LOS_vp3],'HCM2000'!$R$655:$S$659,2))</f>
        <v>C</v>
      </c>
      <c r="AT25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25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25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25" s="22">
        <v>4.5</v>
      </c>
      <c r="AX25" s="22">
        <v>2.0999999999996963</v>
      </c>
      <c r="AY25" s="22">
        <v>1.4999999999999991</v>
      </c>
      <c r="AZ25" s="22">
        <f>1.2</f>
        <v>1.2</v>
      </c>
      <c r="BA25" s="463">
        <f>IF(MULTILANE_HIGHWAY_SPECIAL_GRADE[Direction analysed ?]="up",MULTILANE_HIGHWAY_SPECIAL_GRADE[ET_UP],MULTILANE_HIGHWAY_SPECIAL_GRADE[ET_DOWN])</f>
        <v>4.5</v>
      </c>
      <c r="BB25" s="463">
        <f>IF(MULTILANE_HIGHWAY_SPECIAL_GRADE[Direction analysed ?]="up",MULTILANE_HIGHWAY_SPECIAL_GRADE[ER_UP],MULTILANE_HIGHWAY_SPECIAL_GRADE[ER_DOWN])</f>
        <v>2.0999999999996963</v>
      </c>
      <c r="BC25" s="433">
        <f>1/(1+(MULTILANE_HIGHWAY_SPECIAL_GRADE[Pt]*(MULTILANE_HIGHWAY_SPECIAL_GRADE[ET]-1))+(MULTILANE_HIGHWAY_SPECIAL_GRADE[PRv]*(MULTILANE_HIGHWAY_SPECIAL_GRADE[ER]-1)))</f>
        <v>0.3695782687600998</v>
      </c>
      <c r="BD25" s="331">
        <f>MULTILANE_HIGHWAY_SPECIAL_GRADE[Vzão]/(MULTILANE_HIGHWAY_SPECIAL_GRADE[PHF]*MULTILANE_HIGHWAY_SPECIAL_GRADE[N]*MULTILANE_HIGHWAY_SPECIAL_GRADE[fHV_SG])</f>
        <v>1255.654185395927</v>
      </c>
      <c r="BE25" s="422">
        <f>IF(MULTILANE_HIGHWAY_SPECIAL_GRADE[fLC]="Pista simples","-",MULTILANE_HIGHWAY_SPECIAL_GRADE[VP_SG]/MULTILANE_HIGHWAY_SPECIAL_GRADE[S])</f>
        <v>12.640813946938863</v>
      </c>
      <c r="BF25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99.333333333333329</v>
      </c>
      <c r="BG25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25" s="308" t="str">
        <f>IF(MULTILANE_HIGHWAY_SPECIAL_GRADE[[#This Row],[LOS_vp3]]="F","F",VLOOKUP(MULTILANE_HIGHWAY_SPECIAL_GRADE[[#This Row],[LOS_vp3]],'HCM2000'!$R$655:$S$659,2))</f>
        <v>C</v>
      </c>
      <c r="BI25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25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25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25" s="440">
        <f>MULTILANE_HIGHWAY_SPECIAL_GRADE[VP_SG]</f>
        <v>1255.654185395927</v>
      </c>
      <c r="BM25" s="440">
        <f>MULTILANE_HIGHWAY_SPECIAL_GRADE[D_SG]</f>
        <v>12.640813946938863</v>
      </c>
      <c r="BN25" s="440">
        <f>MULTILANE_HIGHWAY_SPECIAL_GRADE[S_SG]</f>
        <v>99.333333333333329</v>
      </c>
      <c r="CD25" s="416"/>
      <c r="CE25" s="416"/>
    </row>
    <row r="26" spans="2:83">
      <c r="B26" s="685">
        <v>13</v>
      </c>
      <c r="C26" s="686">
        <v>300</v>
      </c>
      <c r="D26" s="687" t="str">
        <f>"Dupla"</f>
        <v>Dupla</v>
      </c>
      <c r="E26" s="688">
        <v>4</v>
      </c>
      <c r="F26" s="689" t="s">
        <v>579</v>
      </c>
      <c r="G26" s="686">
        <v>2</v>
      </c>
      <c r="H26" s="689">
        <v>3.6</v>
      </c>
      <c r="I26" s="689">
        <v>3.6</v>
      </c>
      <c r="J26" s="689" t="s">
        <v>145</v>
      </c>
      <c r="K26" s="690"/>
      <c r="L26" s="544" t="s">
        <v>644</v>
      </c>
      <c r="M26" s="544" t="s">
        <v>654</v>
      </c>
      <c r="N26" s="22">
        <f>MULTILANE_HIGHWAY_SPECIAL_GRADE[Largura das Faixas]</f>
        <v>3.6</v>
      </c>
      <c r="O26" s="22">
        <f>MULTILANE_HIGHWAY_SPECIAL_GRADE[Largura Acost.]</f>
        <v>3.6</v>
      </c>
      <c r="P26" s="541">
        <v>4715.1767000673599</v>
      </c>
      <c r="Q26" s="541">
        <v>5818.91420902355</v>
      </c>
      <c r="R26" s="399">
        <f>MULTILANE_HIGHWAY_SPECIAL_GRADE[passeio]+MULTILANE_HIGHWAY_SPECIAL_GRADE[pesado]</f>
        <v>10534.09090909091</v>
      </c>
      <c r="S26" s="435">
        <f>MULTILANE_HIGHWAY_SPECIAL_GRADE[pesado]/MULTILANE_HIGHWAY_SPECIAL_GRADE[vdma]</f>
        <v>0.55238883537656136</v>
      </c>
      <c r="T26" s="547">
        <v>0.03</v>
      </c>
      <c r="U26" s="547">
        <f>0.12</f>
        <v>0.12</v>
      </c>
      <c r="V26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1264.0909090909092</v>
      </c>
      <c r="W26" s="691">
        <v>0.55000000000000004</v>
      </c>
      <c r="X26" s="264">
        <f>MULTILANE_HIGHWAY_SPECIAL_GRADE[veic/h]*MULTILANE_HIGHWAY_SPECIAL_GRADE[distrib. direc.]</f>
        <v>695.25000000000011</v>
      </c>
      <c r="Y26" s="552">
        <v>2</v>
      </c>
      <c r="Z26" s="525">
        <f>0</f>
        <v>0</v>
      </c>
      <c r="AA26" s="544">
        <v>100</v>
      </c>
      <c r="AB26" s="547"/>
      <c r="AC26" s="551">
        <v>0.88</v>
      </c>
      <c r="AD26" s="332">
        <f>VLOOKUP(MULTILANE_HIGHWAY_SPECIAL_GRADE[faixa (m)],'HCM2000'!$B$541:$C$547,2,TRUE)</f>
        <v>0</v>
      </c>
      <c r="AE26" s="332">
        <f>IF(MULTILANE_HIGHWAY_SPECIAL_GRADE[acost (m)]&gt;0,1.8,1.2)</f>
        <v>1.8</v>
      </c>
      <c r="AF26" s="332">
        <f>IF(MULTILANE_HIGHWAY_SPECIAL_GRADE[Separador]=$AU$6,$AW$6,IF(MULTILANE_HIGHWAY_SPECIAL_GRADE[Separador]=$AU$7,$AW$7,$AW$8))</f>
        <v>1.8</v>
      </c>
      <c r="AG26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26" s="332">
        <f>IF(MULTILANE_HIGHWAY_SPECIAL_GRADE[Separador]="Sinalização horizontal",'HCM2000'!$C$590,'HCM2000'!$C$591)</f>
        <v>0</v>
      </c>
      <c r="AI26" s="332">
        <f>MIN((2/3)*MULTILANE_HIGHWAY_SPECIAL_GRADE[acessos/km],16)</f>
        <v>1.3333333333333333</v>
      </c>
      <c r="AJ26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26" s="332">
        <f>IF(MULTILANE_HIGHWAY_SPECIAL_GRADE[plano/ondulado]="Montanhoso",#REF!,VLOOKUP(MULTILANE_HIGHWAY_SPECIAL_GRADE[plano/ondulado],'HCM2000'!$B$606:$C$608,2,FALSE))</f>
        <v>1.5</v>
      </c>
      <c r="AL26" s="684">
        <f>IF(MULTILANE_HIGHWAY_SPECIAL_GRADE[[#This Row],[plano/ondulado]]="Montanhoso",#REF!,VLOOKUP(MULTILANE_HIGHWAY_SPECIAL_GRADE[[#This Row],[plano/ondulado]],'HCM2000'!$E$606:$F$608,2,FALSE))</f>
        <v>1.2</v>
      </c>
      <c r="AM26" s="433">
        <f>1/(1+(MULTILANE_HIGHWAY_SPECIAL_GRADE[Pt]*(MULTILANE_HIGHWAY_SPECIAL_GRADE[Et2]-1))+(MULTILANE_HIGHWAY_SPECIAL_GRADE[PRv]*(MULTILANE_HIGHWAY_SPECIAL_GRADE[Er2]-1)))</f>
        <v>0.77991292599989614</v>
      </c>
      <c r="AN26" s="329">
        <f>MULTILANE_HIGHWAY_SPECIAL_GRADE[[#This Row],[Número de Faixas]]+IF(MULTILANE_HIGHWAY_SPECIAL_GRADE[[#This Row],[Num. Faixas Marg.]]="-",0,MULTILANE_HIGHWAY_SPECIAL_GRADE[[#This Row],[Num. Faixas Marg.]])</f>
        <v>2</v>
      </c>
      <c r="AO26" s="329">
        <f>MULTILANE_HIGHWAY_SPECIAL_GRADE[[#This Row],[Vzão]]/(MULTILANE_HIGHWAY_SPECIAL_GRADE[[#This Row],[PHF]]*MULTILANE_HIGHWAY_SPECIAL_GRADE[[#This Row],[N]]*MULTILANE_HIGHWAY_SPECIAL_GRADE[[#This Row],[fHV]])</f>
        <v>506.50322096464623</v>
      </c>
      <c r="AP26" s="332">
        <f>IF(MULTILANE_HIGHWAY_SPECIAL_GRADE[fLC]="Pista simples","-",MULTILANE_HIGHWAY_SPECIAL_GRADE[vp3]/MULTILANE_HIGHWAY_SPECIAL_GRADE[S])</f>
        <v>5.1334785908579006</v>
      </c>
      <c r="AQ26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26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5</v>
      </c>
      <c r="AS26" s="308" t="str">
        <f>IF(MULTILANE_HIGHWAY_SPECIAL_GRADE[LOS_vp3]="F","F",VLOOKUP(MULTILANE_HIGHWAY_SPECIAL_GRADE[LOS_vp3],'HCM2000'!$R$655:$S$659,2))</f>
        <v>C</v>
      </c>
      <c r="AT26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26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26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26" s="22">
        <v>4.5</v>
      </c>
      <c r="AX26" s="22">
        <v>2.0999999999996768</v>
      </c>
      <c r="AY26" s="22">
        <v>1.4999999999999991</v>
      </c>
      <c r="AZ26" s="22">
        <f>1.2</f>
        <v>1.2</v>
      </c>
      <c r="BA26" s="463">
        <f>IF(MULTILANE_HIGHWAY_SPECIAL_GRADE[Direction analysed ?]="up",MULTILANE_HIGHWAY_SPECIAL_GRADE[ET_UP],MULTILANE_HIGHWAY_SPECIAL_GRADE[ET_DOWN])</f>
        <v>4.5</v>
      </c>
      <c r="BB26" s="463">
        <f>IF(MULTILANE_HIGHWAY_SPECIAL_GRADE[Direction analysed ?]="up",MULTILANE_HIGHWAY_SPECIAL_GRADE[ER_UP],MULTILANE_HIGHWAY_SPECIAL_GRADE[ER_DOWN])</f>
        <v>2.0999999999996768</v>
      </c>
      <c r="BC26" s="433">
        <f>1/(1+(MULTILANE_HIGHWAY_SPECIAL_GRADE[Pt]*(MULTILANE_HIGHWAY_SPECIAL_GRADE[ET]-1))+(MULTILANE_HIGHWAY_SPECIAL_GRADE[PRv]*(MULTILANE_HIGHWAY_SPECIAL_GRADE[ER]-1)))</f>
        <v>0.33711339438523763</v>
      </c>
      <c r="BD26" s="331">
        <f>MULTILANE_HIGHWAY_SPECIAL_GRADE[Vzão]/(MULTILANE_HIGHWAY_SPECIAL_GRADE[PHF]*MULTILANE_HIGHWAY_SPECIAL_GRADE[N]*MULTILANE_HIGHWAY_SPECIAL_GRADE[fHV_SG])</f>
        <v>1171.7968365252461</v>
      </c>
      <c r="BE26" s="422">
        <f>IF(MULTILANE_HIGHWAY_SPECIAL_GRADE[fLC]="Pista simples","-",MULTILANE_HIGHWAY_SPECIAL_GRADE[VP_SG]/MULTILANE_HIGHWAY_SPECIAL_GRADE[S])</f>
        <v>11.876319289107224</v>
      </c>
      <c r="BF26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98.666666666666671</v>
      </c>
      <c r="BG26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26" s="308" t="str">
        <f>IF(MULTILANE_HIGHWAY_SPECIAL_GRADE[[#This Row],[LOS_vp3]]="F","F",VLOOKUP(MULTILANE_HIGHWAY_SPECIAL_GRADE[[#This Row],[LOS_vp3]],'HCM2000'!$R$655:$S$659,2))</f>
        <v>C</v>
      </c>
      <c r="BI26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26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26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26" s="440">
        <f>MULTILANE_HIGHWAY_SPECIAL_GRADE[VP_SG]</f>
        <v>1171.7968365252461</v>
      </c>
      <c r="BM26" s="440">
        <f>MULTILANE_HIGHWAY_SPECIAL_GRADE[D_SG]</f>
        <v>11.876319289107224</v>
      </c>
      <c r="BN26" s="440">
        <f>MULTILANE_HIGHWAY_SPECIAL_GRADE[S_SG]</f>
        <v>98.666666666666671</v>
      </c>
      <c r="CD26" s="416"/>
      <c r="CE26" s="416"/>
    </row>
    <row r="27" spans="2:83">
      <c r="B27" s="685">
        <v>14</v>
      </c>
      <c r="C27" s="686">
        <v>300</v>
      </c>
      <c r="D27" s="687" t="str">
        <f>"Dupla"</f>
        <v>Dupla</v>
      </c>
      <c r="E27" s="688">
        <v>4</v>
      </c>
      <c r="F27" s="689" t="s">
        <v>579</v>
      </c>
      <c r="G27" s="686">
        <v>2</v>
      </c>
      <c r="H27" s="689">
        <v>3.6</v>
      </c>
      <c r="I27" s="689">
        <v>3.6</v>
      </c>
      <c r="J27" s="689" t="s">
        <v>145</v>
      </c>
      <c r="K27" s="690"/>
      <c r="L27" s="544" t="s">
        <v>644</v>
      </c>
      <c r="M27" s="544" t="s">
        <v>381</v>
      </c>
      <c r="N27" s="22">
        <f>MULTILANE_HIGHWAY_SPECIAL_GRADE[Largura das Faixas]</f>
        <v>3.6</v>
      </c>
      <c r="O27" s="22">
        <f>MULTILANE_HIGHWAY_SPECIAL_GRADE[Largura Acost.]</f>
        <v>3.6</v>
      </c>
      <c r="P27" s="541">
        <v>8636.0645729735552</v>
      </c>
      <c r="Q27" s="541">
        <v>6761.6626997537196</v>
      </c>
      <c r="R27" s="399">
        <f>MULTILANE_HIGHWAY_SPECIAL_GRADE[passeio]+MULTILANE_HIGHWAY_SPECIAL_GRADE[pesado]</f>
        <v>15397.727272727276</v>
      </c>
      <c r="S27" s="435">
        <f>MULTILANE_HIGHWAY_SPECIAL_GRADE[pesado]/MULTILANE_HIGHWAY_SPECIAL_GRADE[vdma]</f>
        <v>0.43913381371094257</v>
      </c>
      <c r="T27" s="547">
        <v>0.03</v>
      </c>
      <c r="U27" s="547">
        <f>0.12</f>
        <v>0.12</v>
      </c>
      <c r="V27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1847.727272727273</v>
      </c>
      <c r="W27" s="691">
        <v>0.55000000000000004</v>
      </c>
      <c r="X27" s="264">
        <f>MULTILANE_HIGHWAY_SPECIAL_GRADE[veic/h]*MULTILANE_HIGHWAY_SPECIAL_GRADE[distrib. direc.]</f>
        <v>1016.2500000000002</v>
      </c>
      <c r="Y27" s="552">
        <v>2</v>
      </c>
      <c r="Z27" s="525">
        <f>0</f>
        <v>0</v>
      </c>
      <c r="AA27" s="544">
        <v>100</v>
      </c>
      <c r="AB27" s="547"/>
      <c r="AC27" s="551">
        <v>0.88</v>
      </c>
      <c r="AD27" s="332">
        <f>VLOOKUP(MULTILANE_HIGHWAY_SPECIAL_GRADE[faixa (m)],'HCM2000'!$B$541:$C$547,2,TRUE)</f>
        <v>0</v>
      </c>
      <c r="AE27" s="332">
        <f>IF(MULTILANE_HIGHWAY_SPECIAL_GRADE[acost (m)]&gt;0,1.8,1.2)</f>
        <v>1.8</v>
      </c>
      <c r="AF27" s="332">
        <f>IF(MULTILANE_HIGHWAY_SPECIAL_GRADE[Separador]=$AU$6,$AW$6,IF(MULTILANE_HIGHWAY_SPECIAL_GRADE[Separador]=$AU$7,$AW$7,$AW$8))</f>
        <v>1.8</v>
      </c>
      <c r="AG27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27" s="332">
        <f>IF(MULTILANE_HIGHWAY_SPECIAL_GRADE[Separador]="Sinalização horizontal",'HCM2000'!$C$590,'HCM2000'!$C$591)</f>
        <v>0</v>
      </c>
      <c r="AI27" s="332">
        <f>MIN((2/3)*MULTILANE_HIGHWAY_SPECIAL_GRADE[acessos/km],16)</f>
        <v>1.3333333333333333</v>
      </c>
      <c r="AJ27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27" s="332">
        <f>IF(MULTILANE_HIGHWAY_SPECIAL_GRADE[plano/ondulado]="Montanhoso",#REF!,VLOOKUP(MULTILANE_HIGHWAY_SPECIAL_GRADE[plano/ondulado],'HCM2000'!$B$606:$C$608,2,FALSE))</f>
        <v>2.5</v>
      </c>
      <c r="AL27" s="684">
        <f>IF(MULTILANE_HIGHWAY_SPECIAL_GRADE[[#This Row],[plano/ondulado]]="Montanhoso",#REF!,VLOOKUP(MULTILANE_HIGHWAY_SPECIAL_GRADE[[#This Row],[plano/ondulado]],'HCM2000'!$E$606:$F$608,2,FALSE))</f>
        <v>2</v>
      </c>
      <c r="AM27" s="433">
        <f>1/(1+(MULTILANE_HIGHWAY_SPECIAL_GRADE[Pt]*(MULTILANE_HIGHWAY_SPECIAL_GRADE[Et2]-1))+(MULTILANE_HIGHWAY_SPECIAL_GRADE[PRv]*(MULTILANE_HIGHWAY_SPECIAL_GRADE[Er2]-1)))</f>
        <v>0.59217124018552325</v>
      </c>
      <c r="AN27" s="329">
        <f>MULTILANE_HIGHWAY_SPECIAL_GRADE[[#This Row],[Número de Faixas]]+IF(MULTILANE_HIGHWAY_SPECIAL_GRADE[[#This Row],[Num. Faixas Marg.]]="-",0,MULTILANE_HIGHWAY_SPECIAL_GRADE[[#This Row],[Num. Faixas Marg.]])</f>
        <v>2</v>
      </c>
      <c r="AO27" s="329">
        <f>MULTILANE_HIGHWAY_SPECIAL_GRADE[[#This Row],[Vzão]]/(MULTILANE_HIGHWAY_SPECIAL_GRADE[[#This Row],[PHF]]*MULTILANE_HIGHWAY_SPECIAL_GRADE[[#This Row],[N]]*MULTILANE_HIGHWAY_SPECIAL_GRADE[[#This Row],[fHV]])</f>
        <v>975.08074277023763</v>
      </c>
      <c r="AP27" s="332">
        <f>IF(MULTILANE_HIGHWAY_SPECIAL_GRADE[fLC]="Pista simples","-",MULTILANE_HIGHWAY_SPECIAL_GRADE[vp3]/MULTILANE_HIGHWAY_SPECIAL_GRADE[S])</f>
        <v>9.8825750956443006</v>
      </c>
      <c r="AQ27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27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27" s="308" t="str">
        <f>IF(MULTILANE_HIGHWAY_SPECIAL_GRADE[LOS_vp3]="F","F",VLOOKUP(MULTILANE_HIGHWAY_SPECIAL_GRADE[LOS_vp3],'HCM2000'!$R$655:$S$659,2))</f>
        <v>D</v>
      </c>
      <c r="AT27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4</v>
      </c>
      <c r="AU27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27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27" s="22">
        <v>4.5</v>
      </c>
      <c r="AX27" s="22">
        <v>2.099999999999707</v>
      </c>
      <c r="AY27" s="22">
        <v>1.4999999999999991</v>
      </c>
      <c r="AZ27" s="22">
        <f>1.2</f>
        <v>1.2</v>
      </c>
      <c r="BA27" s="463">
        <f>IF(MULTILANE_HIGHWAY_SPECIAL_GRADE[Direction analysed ?]="up",MULTILANE_HIGHWAY_SPECIAL_GRADE[ET_UP],MULTILANE_HIGHWAY_SPECIAL_GRADE[ET_DOWN])</f>
        <v>4.5</v>
      </c>
      <c r="BB27" s="463">
        <f>IF(MULTILANE_HIGHWAY_SPECIAL_GRADE[Direction analysed ?]="up",MULTILANE_HIGHWAY_SPECIAL_GRADE[ER_UP],MULTILANE_HIGHWAY_SPECIAL_GRADE[ER_DOWN])</f>
        <v>2.099999999999707</v>
      </c>
      <c r="BC27" s="433">
        <f>1/(1+(MULTILANE_HIGHWAY_SPECIAL_GRADE[Pt]*(MULTILANE_HIGHWAY_SPECIAL_GRADE[ET]-1))+(MULTILANE_HIGHWAY_SPECIAL_GRADE[PRv]*(MULTILANE_HIGHWAY_SPECIAL_GRADE[ER]-1)))</f>
        <v>0.38910985062628345</v>
      </c>
      <c r="BD27" s="331">
        <f>MULTILANE_HIGHWAY_SPECIAL_GRADE[Vzão]/(MULTILANE_HIGHWAY_SPECIAL_GRADE[PHF]*MULTILANE_HIGHWAY_SPECIAL_GRADE[N]*MULTILANE_HIGHWAY_SPECIAL_GRADE[fHV_SG])</f>
        <v>1483.9376895699434</v>
      </c>
      <c r="BE27" s="422">
        <f>IF(MULTILANE_HIGHWAY_SPECIAL_GRADE[fLC]="Pista simples","-",MULTILANE_HIGHWAY_SPECIAL_GRADE[VP_SG]/MULTILANE_HIGHWAY_SPECIAL_GRADE[S])</f>
        <v>15.039909015911588</v>
      </c>
      <c r="BF27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98.045411803743832</v>
      </c>
      <c r="BG27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2</v>
      </c>
      <c r="BH27" s="308" t="str">
        <f>IF(MULTILANE_HIGHWAY_SPECIAL_GRADE[[#This Row],[LOS_vp3]]="F","F",VLOOKUP(MULTILANE_HIGHWAY_SPECIAL_GRADE[[#This Row],[LOS_vp3]],'HCM2000'!$R$655:$S$659,2))</f>
        <v>D</v>
      </c>
      <c r="BI27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27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27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27" s="440">
        <f>MULTILANE_HIGHWAY_SPECIAL_GRADE[VP_SG]</f>
        <v>1483.9376895699434</v>
      </c>
      <c r="BM27" s="440">
        <f>MULTILANE_HIGHWAY_SPECIAL_GRADE[D_SG]</f>
        <v>15.039909015911588</v>
      </c>
      <c r="BN27" s="440">
        <f>MULTILANE_HIGHWAY_SPECIAL_GRADE[S_SG]</f>
        <v>98.045411803743832</v>
      </c>
      <c r="CD27" s="416"/>
      <c r="CE27" s="416"/>
    </row>
    <row r="28" spans="2:83">
      <c r="B28" s="685">
        <v>15</v>
      </c>
      <c r="C28" s="686">
        <v>300</v>
      </c>
      <c r="D28" s="687" t="str">
        <f>"Dupla"</f>
        <v>Dupla</v>
      </c>
      <c r="E28" s="688">
        <v>4</v>
      </c>
      <c r="F28" s="689" t="s">
        <v>579</v>
      </c>
      <c r="G28" s="686">
        <v>2</v>
      </c>
      <c r="H28" s="689">
        <v>3.6</v>
      </c>
      <c r="I28" s="689">
        <v>3.6</v>
      </c>
      <c r="J28" s="689" t="s">
        <v>145</v>
      </c>
      <c r="K28" s="690"/>
      <c r="L28" s="544" t="s">
        <v>644</v>
      </c>
      <c r="M28" s="544" t="s">
        <v>381</v>
      </c>
      <c r="N28" s="22">
        <f>MULTILANE_HIGHWAY_SPECIAL_GRADE[Largura das Faixas]</f>
        <v>3.6</v>
      </c>
      <c r="O28" s="22">
        <f>MULTILANE_HIGHWAY_SPECIAL_GRADE[Largura Acost.]</f>
        <v>3.6</v>
      </c>
      <c r="P28" s="541">
        <v>8717.6783200786558</v>
      </c>
      <c r="Q28" s="541">
        <v>6657.3216799213433</v>
      </c>
      <c r="R28" s="399">
        <f>MULTILANE_HIGHWAY_SPECIAL_GRADE[passeio]+MULTILANE_HIGHWAY_SPECIAL_GRADE[pesado]</f>
        <v>15375</v>
      </c>
      <c r="S28" s="435">
        <f>MULTILANE_HIGHWAY_SPECIAL_GRADE[pesado]/MULTILANE_HIGHWAY_SPECIAL_GRADE[vdma]</f>
        <v>0.43299653202740446</v>
      </c>
      <c r="T28" s="547">
        <v>0.03</v>
      </c>
      <c r="U28" s="547">
        <f>0.12</f>
        <v>0.12</v>
      </c>
      <c r="V28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1845</v>
      </c>
      <c r="W28" s="691">
        <v>0.55000000000000004</v>
      </c>
      <c r="X28" s="264">
        <f>MULTILANE_HIGHWAY_SPECIAL_GRADE[veic/h]*MULTILANE_HIGHWAY_SPECIAL_GRADE[distrib. direc.]</f>
        <v>1014.7500000000001</v>
      </c>
      <c r="Y28" s="552">
        <v>3</v>
      </c>
      <c r="Z28" s="525">
        <f>0</f>
        <v>0</v>
      </c>
      <c r="AA28" s="544">
        <v>100</v>
      </c>
      <c r="AB28" s="547"/>
      <c r="AC28" s="551">
        <v>0.88</v>
      </c>
      <c r="AD28" s="332">
        <f>VLOOKUP(MULTILANE_HIGHWAY_SPECIAL_GRADE[faixa (m)],'HCM2000'!$B$541:$C$547,2,TRUE)</f>
        <v>0</v>
      </c>
      <c r="AE28" s="332">
        <f>IF(MULTILANE_HIGHWAY_SPECIAL_GRADE[acost (m)]&gt;0,1.8,1.2)</f>
        <v>1.8</v>
      </c>
      <c r="AF28" s="332">
        <f>IF(MULTILANE_HIGHWAY_SPECIAL_GRADE[Separador]=$AU$6,$AW$6,IF(MULTILANE_HIGHWAY_SPECIAL_GRADE[Separador]=$AU$7,$AW$7,$AW$8))</f>
        <v>1.8</v>
      </c>
      <c r="AG28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28" s="332">
        <f>IF(MULTILANE_HIGHWAY_SPECIAL_GRADE[Separador]="Sinalização horizontal",'HCM2000'!$C$590,'HCM2000'!$C$591)</f>
        <v>0</v>
      </c>
      <c r="AI28" s="332">
        <f>MIN((2/3)*MULTILANE_HIGHWAY_SPECIAL_GRADE[acessos/km],16)</f>
        <v>2</v>
      </c>
      <c r="AJ28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</v>
      </c>
      <c r="AK28" s="332">
        <f>IF(MULTILANE_HIGHWAY_SPECIAL_GRADE[plano/ondulado]="Montanhoso",#REF!,VLOOKUP(MULTILANE_HIGHWAY_SPECIAL_GRADE[plano/ondulado],'HCM2000'!$B$606:$C$608,2,FALSE))</f>
        <v>2.5</v>
      </c>
      <c r="AL28" s="684">
        <f>IF(MULTILANE_HIGHWAY_SPECIAL_GRADE[[#This Row],[plano/ondulado]]="Montanhoso",#REF!,VLOOKUP(MULTILANE_HIGHWAY_SPECIAL_GRADE[[#This Row],[plano/ondulado]],'HCM2000'!$E$606:$F$608,2,FALSE))</f>
        <v>2</v>
      </c>
      <c r="AM28" s="433">
        <f>1/(1+(MULTILANE_HIGHWAY_SPECIAL_GRADE[Pt]*(MULTILANE_HIGHWAY_SPECIAL_GRADE[Et2]-1))+(MULTILANE_HIGHWAY_SPECIAL_GRADE[PRv]*(MULTILANE_HIGHWAY_SPECIAL_GRADE[Er2]-1)))</f>
        <v>0.59541714637423027</v>
      </c>
      <c r="AN28" s="329">
        <f>MULTILANE_HIGHWAY_SPECIAL_GRADE[[#This Row],[Número de Faixas]]+IF(MULTILANE_HIGHWAY_SPECIAL_GRADE[[#This Row],[Num. Faixas Marg.]]="-",0,MULTILANE_HIGHWAY_SPECIAL_GRADE[[#This Row],[Num. Faixas Marg.]])</f>
        <v>2</v>
      </c>
      <c r="AO28" s="329">
        <f>MULTILANE_HIGHWAY_SPECIAL_GRADE[[#This Row],[Vzão]]/(MULTILANE_HIGHWAY_SPECIAL_GRADE[[#This Row],[PHF]]*MULTILANE_HIGHWAY_SPECIAL_GRADE[[#This Row],[N]]*MULTILANE_HIGHWAY_SPECIAL_GRADE[[#This Row],[fHV]])</f>
        <v>968.33371949557579</v>
      </c>
      <c r="AP28" s="332">
        <f>IF(MULTILANE_HIGHWAY_SPECIAL_GRADE[fLC]="Pista simples","-",MULTILANE_HIGHWAY_SPECIAL_GRADE[vp3]/MULTILANE_HIGHWAY_SPECIAL_GRADE[S])</f>
        <v>9.8809563213834259</v>
      </c>
      <c r="AQ28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</v>
      </c>
      <c r="AR28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28" s="308" t="str">
        <f>IF(MULTILANE_HIGHWAY_SPECIAL_GRADE[LOS_vp3]="F","F",VLOOKUP(MULTILANE_HIGHWAY_SPECIAL_GRADE[LOS_vp3],'HCM2000'!$R$655:$S$659,2))</f>
        <v>D</v>
      </c>
      <c r="AT28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4</v>
      </c>
      <c r="AU28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28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28" s="22">
        <v>4.5</v>
      </c>
      <c r="AX28" s="22">
        <v>2.0999999999997083</v>
      </c>
      <c r="AY28" s="22">
        <v>1.4999999999999991</v>
      </c>
      <c r="AZ28" s="22">
        <f>1.2</f>
        <v>1.2</v>
      </c>
      <c r="BA28" s="463">
        <f>IF(MULTILANE_HIGHWAY_SPECIAL_GRADE[Direction analysed ?]="up",MULTILANE_HIGHWAY_SPECIAL_GRADE[ET_UP],MULTILANE_HIGHWAY_SPECIAL_GRADE[ET_DOWN])</f>
        <v>4.5</v>
      </c>
      <c r="BB28" s="463">
        <f>IF(MULTILANE_HIGHWAY_SPECIAL_GRADE[Direction analysed ?]="up",MULTILANE_HIGHWAY_SPECIAL_GRADE[ER_UP],MULTILANE_HIGHWAY_SPECIAL_GRADE[ER_DOWN])</f>
        <v>2.0999999999997083</v>
      </c>
      <c r="BC28" s="433">
        <f>1/(1+(MULTILANE_HIGHWAY_SPECIAL_GRADE[Pt]*(MULTILANE_HIGHWAY_SPECIAL_GRADE[ET]-1))+(MULTILANE_HIGHWAY_SPECIAL_GRADE[PRv]*(MULTILANE_HIGHWAY_SPECIAL_GRADE[ER]-1)))</f>
        <v>0.39238954788569724</v>
      </c>
      <c r="BD28" s="331">
        <f>MULTILANE_HIGHWAY_SPECIAL_GRADE[Vzão]/(MULTILANE_HIGHWAY_SPECIAL_GRADE[PHF]*MULTILANE_HIGHWAY_SPECIAL_GRADE[N]*MULTILANE_HIGHWAY_SPECIAL_GRADE[fHV_SG])</f>
        <v>1469.3625329896715</v>
      </c>
      <c r="BE28" s="422">
        <f>IF(MULTILANE_HIGHWAY_SPECIAL_GRADE[fLC]="Pista simples","-",MULTILANE_HIGHWAY_SPECIAL_GRADE[VP_SG]/MULTILANE_HIGHWAY_SPECIAL_GRADE[S])</f>
        <v>14.993495234588485</v>
      </c>
      <c r="BF28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97.518063006995021</v>
      </c>
      <c r="BG28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2</v>
      </c>
      <c r="BH28" s="308" t="str">
        <f>IF(MULTILANE_HIGHWAY_SPECIAL_GRADE[[#This Row],[LOS_vp3]]="F","F",VLOOKUP(MULTILANE_HIGHWAY_SPECIAL_GRADE[[#This Row],[LOS_vp3]],'HCM2000'!$R$655:$S$659,2))</f>
        <v>D</v>
      </c>
      <c r="BI28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28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28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28" s="440">
        <f>MULTILANE_HIGHWAY_SPECIAL_GRADE[VP_SG]</f>
        <v>1469.3625329896715</v>
      </c>
      <c r="BM28" s="440">
        <f>MULTILANE_HIGHWAY_SPECIAL_GRADE[D_SG]</f>
        <v>14.993495234588485</v>
      </c>
      <c r="BN28" s="440">
        <f>MULTILANE_HIGHWAY_SPECIAL_GRADE[S_SG]</f>
        <v>97.518063006995021</v>
      </c>
      <c r="CD28" s="416"/>
      <c r="CE28" s="416"/>
    </row>
    <row r="29" spans="2:83">
      <c r="B29" s="685">
        <v>16</v>
      </c>
      <c r="C29" s="686">
        <v>300</v>
      </c>
      <c r="D29" s="687" t="str">
        <f>"Dupla"</f>
        <v>Dupla</v>
      </c>
      <c r="E29" s="688">
        <v>4</v>
      </c>
      <c r="F29" s="689" t="s">
        <v>579</v>
      </c>
      <c r="G29" s="686">
        <v>2</v>
      </c>
      <c r="H29" s="689">
        <v>3.6</v>
      </c>
      <c r="I29" s="689">
        <v>3.6</v>
      </c>
      <c r="J29" s="689" t="s">
        <v>145</v>
      </c>
      <c r="K29" s="690"/>
      <c r="L29" s="544" t="s">
        <v>644</v>
      </c>
      <c r="M29" s="544" t="s">
        <v>381</v>
      </c>
      <c r="N29" s="22">
        <f>MULTILANE_HIGHWAY_SPECIAL_GRADE[Largura das Faixas]</f>
        <v>3.6</v>
      </c>
      <c r="O29" s="22">
        <f>MULTILANE_HIGHWAY_SPECIAL_GRADE[Largura Acost.]</f>
        <v>3.6</v>
      </c>
      <c r="P29" s="541">
        <v>4197.498607084879</v>
      </c>
      <c r="Q29" s="541">
        <v>5200.2286656423948</v>
      </c>
      <c r="R29" s="399">
        <f>MULTILANE_HIGHWAY_SPECIAL_GRADE[passeio]+MULTILANE_HIGHWAY_SPECIAL_GRADE[pesado]</f>
        <v>9397.7272727272739</v>
      </c>
      <c r="S29" s="435">
        <f>MULTILANE_HIGHWAY_SPECIAL_GRADE[pesado]/MULTILANE_HIGHWAY_SPECIAL_GRADE[vdma]</f>
        <v>0.5533496040828666</v>
      </c>
      <c r="T29" s="547">
        <v>0.03</v>
      </c>
      <c r="U29" s="547">
        <f>0.12</f>
        <v>0.12</v>
      </c>
      <c r="V29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1127.7272727272727</v>
      </c>
      <c r="W29" s="691">
        <v>0.55000000000000004</v>
      </c>
      <c r="X29" s="264">
        <f>MULTILANE_HIGHWAY_SPECIAL_GRADE[veic/h]*MULTILANE_HIGHWAY_SPECIAL_GRADE[distrib. direc.]</f>
        <v>620.25000000000011</v>
      </c>
      <c r="Y29" s="552">
        <v>2</v>
      </c>
      <c r="Z29" s="525">
        <f>0</f>
        <v>0</v>
      </c>
      <c r="AA29" s="544">
        <v>100</v>
      </c>
      <c r="AB29" s="547"/>
      <c r="AC29" s="551">
        <v>0.88</v>
      </c>
      <c r="AD29" s="332">
        <f>VLOOKUP(MULTILANE_HIGHWAY_SPECIAL_GRADE[faixa (m)],'HCM2000'!$B$541:$C$547,2,TRUE)</f>
        <v>0</v>
      </c>
      <c r="AE29" s="332">
        <f>IF(MULTILANE_HIGHWAY_SPECIAL_GRADE[acost (m)]&gt;0,1.8,1.2)</f>
        <v>1.8</v>
      </c>
      <c r="AF29" s="332">
        <f>IF(MULTILANE_HIGHWAY_SPECIAL_GRADE[Separador]=$AU$6,$AW$6,IF(MULTILANE_HIGHWAY_SPECIAL_GRADE[Separador]=$AU$7,$AW$7,$AW$8))</f>
        <v>1.8</v>
      </c>
      <c r="AG29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29" s="332">
        <f>IF(MULTILANE_HIGHWAY_SPECIAL_GRADE[Separador]="Sinalização horizontal",'HCM2000'!$C$590,'HCM2000'!$C$591)</f>
        <v>0</v>
      </c>
      <c r="AI29" s="332">
        <f>MIN((2/3)*MULTILANE_HIGHWAY_SPECIAL_GRADE[acessos/km],16)</f>
        <v>1.3333333333333333</v>
      </c>
      <c r="AJ29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29" s="332">
        <f>IF(MULTILANE_HIGHWAY_SPECIAL_GRADE[plano/ondulado]="Montanhoso",#REF!,VLOOKUP(MULTILANE_HIGHWAY_SPECIAL_GRADE[plano/ondulado],'HCM2000'!$B$606:$C$608,2,FALSE))</f>
        <v>2.5</v>
      </c>
      <c r="AL29" s="684">
        <f>IF(MULTILANE_HIGHWAY_SPECIAL_GRADE[[#This Row],[plano/ondulado]]="Montanhoso",#REF!,VLOOKUP(MULTILANE_HIGHWAY_SPECIAL_GRADE[[#This Row],[plano/ondulado]],'HCM2000'!$E$606:$F$608,2,FALSE))</f>
        <v>2</v>
      </c>
      <c r="AM29" s="433">
        <f>1/(1+(MULTILANE_HIGHWAY_SPECIAL_GRADE[Pt]*(MULTILANE_HIGHWAY_SPECIAL_GRADE[Et2]-1))+(MULTILANE_HIGHWAY_SPECIAL_GRADE[PRv]*(MULTILANE_HIGHWAY_SPECIAL_GRADE[Er2]-1)))</f>
        <v>0.53762735408600493</v>
      </c>
      <c r="AN29" s="329">
        <f>MULTILANE_HIGHWAY_SPECIAL_GRADE[[#This Row],[Número de Faixas]]+IF(MULTILANE_HIGHWAY_SPECIAL_GRADE[[#This Row],[Num. Faixas Marg.]]="-",0,MULTILANE_HIGHWAY_SPECIAL_GRADE[[#This Row],[Num. Faixas Marg.]])</f>
        <v>2</v>
      </c>
      <c r="AO29" s="329">
        <f>MULTILANE_HIGHWAY_SPECIAL_GRADE[[#This Row],[Vzão]]/(MULTILANE_HIGHWAY_SPECIAL_GRADE[[#This Row],[PHF]]*MULTILANE_HIGHWAY_SPECIAL_GRADE[[#This Row],[N]]*MULTILANE_HIGHWAY_SPECIAL_GRADE[[#This Row],[fHV]])</f>
        <v>655.50007835147562</v>
      </c>
      <c r="AP29" s="332">
        <f>IF(MULTILANE_HIGHWAY_SPECIAL_GRADE[fLC]="Pista simples","-",MULTILANE_HIGHWAY_SPECIAL_GRADE[vp3]/MULTILANE_HIGHWAY_SPECIAL_GRADE[S])</f>
        <v>6.643581875183874</v>
      </c>
      <c r="AQ29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29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29" s="308" t="str">
        <f>IF(MULTILANE_HIGHWAY_SPECIAL_GRADE[LOS_vp3]="F","F",VLOOKUP(MULTILANE_HIGHWAY_SPECIAL_GRADE[LOS_vp3],'HCM2000'!$R$655:$S$659,2))</f>
        <v>C</v>
      </c>
      <c r="AT29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29" s="308" t="str">
        <f>IF(MULTILANE_HIGHWAY_SPECIAL_GRADE[[#This Row],[LOS_vp3]]="F","F",IF(MULTILANE_HIGHWAY_SPECIAL_GRADE[[#This Row],[fLC]]="Pista simples","-",VLOOKUP(MULTILANE_HIGHWAY_SPECIAL_GRADE[[#This Row],[LOS_D3]],'HCM2000'!$R$655:$S$659,2)))</f>
        <v>B</v>
      </c>
      <c r="AV29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29" s="22">
        <v>4.5</v>
      </c>
      <c r="AX29" s="22">
        <v>2.0999999999996763</v>
      </c>
      <c r="AY29" s="22">
        <v>1.4999999999999991</v>
      </c>
      <c r="AZ29" s="22">
        <f>1.2</f>
        <v>1.2</v>
      </c>
      <c r="BA29" s="463">
        <f>IF(MULTILANE_HIGHWAY_SPECIAL_GRADE[Direction analysed ?]="up",MULTILANE_HIGHWAY_SPECIAL_GRADE[ET_UP],MULTILANE_HIGHWAY_SPECIAL_GRADE[ET_DOWN])</f>
        <v>4.5</v>
      </c>
      <c r="BB29" s="463">
        <f>IF(MULTILANE_HIGHWAY_SPECIAL_GRADE[Direction analysed ?]="up",MULTILANE_HIGHWAY_SPECIAL_GRADE[ER_UP],MULTILANE_HIGHWAY_SPECIAL_GRADE[ER_DOWN])</f>
        <v>2.0999999999996763</v>
      </c>
      <c r="BC29" s="433">
        <f>1/(1+(MULTILANE_HIGHWAY_SPECIAL_GRADE[Pt]*(MULTILANE_HIGHWAY_SPECIAL_GRADE[ET]-1))+(MULTILANE_HIGHWAY_SPECIAL_GRADE[PRv]*(MULTILANE_HIGHWAY_SPECIAL_GRADE[ER]-1)))</f>
        <v>0.33673167266748216</v>
      </c>
      <c r="BD29" s="331">
        <f>MULTILANE_HIGHWAY_SPECIAL_GRADE[Vzão]/(MULTILANE_HIGHWAY_SPECIAL_GRADE[PHF]*MULTILANE_HIGHWAY_SPECIAL_GRADE[N]*MULTILANE_HIGHWAY_SPECIAL_GRADE[fHV_SG])</f>
        <v>1046.5744725928334</v>
      </c>
      <c r="BE29" s="422">
        <f>IF(MULTILANE_HIGHWAY_SPECIAL_GRADE[fLC]="Pista simples","-",MULTILANE_HIGHWAY_SPECIAL_GRADE[VP_SG]/MULTILANE_HIGHWAY_SPECIAL_GRADE[S])</f>
        <v>10.60717370871115</v>
      </c>
      <c r="BF29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98.666666666666671</v>
      </c>
      <c r="BG29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29" s="308" t="str">
        <f>IF(MULTILANE_HIGHWAY_SPECIAL_GRADE[[#This Row],[LOS_vp3]]="F","F",VLOOKUP(MULTILANE_HIGHWAY_SPECIAL_GRADE[[#This Row],[LOS_vp3]],'HCM2000'!$R$655:$S$659,2))</f>
        <v>C</v>
      </c>
      <c r="BI29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4</v>
      </c>
      <c r="BJ29" s="308" t="str">
        <f>IF(MULTILANE_HIGHWAY_SPECIAL_GRADE[[#This Row],[LOS_vp3]]="F","F",IF(MULTILANE_HIGHWAY_SPECIAL_GRADE[[#This Row],[fLC]]="Pista simples","-",VLOOKUP(MULTILANE_HIGHWAY_SPECIAL_GRADE[[#This Row],[LOS_D3]],'HCM2000'!$R$655:$S$659,2)))</f>
        <v>B</v>
      </c>
      <c r="BK29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29" s="440">
        <f>MULTILANE_HIGHWAY_SPECIAL_GRADE[VP_SG]</f>
        <v>1046.5744725928334</v>
      </c>
      <c r="BM29" s="440">
        <f>MULTILANE_HIGHWAY_SPECIAL_GRADE[D_SG]</f>
        <v>10.60717370871115</v>
      </c>
      <c r="BN29" s="440">
        <f>MULTILANE_HIGHWAY_SPECIAL_GRADE[S_SG]</f>
        <v>98.666666666666671</v>
      </c>
      <c r="CD29" s="416"/>
      <c r="CE29" s="416"/>
    </row>
    <row r="30" spans="2:83">
      <c r="B30" s="685">
        <v>17</v>
      </c>
      <c r="C30" s="686">
        <v>300</v>
      </c>
      <c r="D30" s="687" t="str">
        <f>"Dupla"</f>
        <v>Dupla</v>
      </c>
      <c r="E30" s="688">
        <v>4</v>
      </c>
      <c r="F30" s="689" t="s">
        <v>579</v>
      </c>
      <c r="G30" s="686">
        <v>2</v>
      </c>
      <c r="H30" s="689">
        <v>3.6</v>
      </c>
      <c r="I30" s="689">
        <v>3.6</v>
      </c>
      <c r="J30" s="689" t="s">
        <v>145</v>
      </c>
      <c r="K30" s="690"/>
      <c r="L30" s="544" t="s">
        <v>644</v>
      </c>
      <c r="M30" s="544" t="s">
        <v>381</v>
      </c>
      <c r="N30" s="22">
        <f>MULTILANE_HIGHWAY_SPECIAL_GRADE[Largura das Faixas]</f>
        <v>3.6</v>
      </c>
      <c r="O30" s="22">
        <f>MULTILANE_HIGHWAY_SPECIAL_GRADE[Largura Acost.]</f>
        <v>3.6</v>
      </c>
      <c r="P30" s="541">
        <v>4777.2642087546037</v>
      </c>
      <c r="Q30" s="541">
        <v>5075.0085185181242</v>
      </c>
      <c r="R30" s="399">
        <f>MULTILANE_HIGHWAY_SPECIAL_GRADE[passeio]+MULTILANE_HIGHWAY_SPECIAL_GRADE[pesado]</f>
        <v>9852.2727272727279</v>
      </c>
      <c r="S30" s="435">
        <f>MULTILANE_HIGHWAY_SPECIAL_GRADE[pesado]/MULTILANE_HIGHWAY_SPECIAL_GRADE[vdma]</f>
        <v>0.51511043786573807</v>
      </c>
      <c r="T30" s="547">
        <v>0.03</v>
      </c>
      <c r="U30" s="547">
        <f>0.12</f>
        <v>0.12</v>
      </c>
      <c r="V30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1182.2727272727273</v>
      </c>
      <c r="W30" s="691">
        <v>0.55000000000000004</v>
      </c>
      <c r="X30" s="264">
        <f>MULTILANE_HIGHWAY_SPECIAL_GRADE[veic/h]*MULTILANE_HIGHWAY_SPECIAL_GRADE[distrib. direc.]</f>
        <v>650.25</v>
      </c>
      <c r="Y30" s="552">
        <v>3</v>
      </c>
      <c r="Z30" s="525">
        <f>0</f>
        <v>0</v>
      </c>
      <c r="AA30" s="544">
        <v>100</v>
      </c>
      <c r="AB30" s="547"/>
      <c r="AC30" s="551">
        <v>0.88</v>
      </c>
      <c r="AD30" s="332">
        <f>VLOOKUP(MULTILANE_HIGHWAY_SPECIAL_GRADE[faixa (m)],'HCM2000'!$B$541:$C$547,2,TRUE)</f>
        <v>0</v>
      </c>
      <c r="AE30" s="332">
        <f>IF(MULTILANE_HIGHWAY_SPECIAL_GRADE[acost (m)]&gt;0,1.8,1.2)</f>
        <v>1.8</v>
      </c>
      <c r="AF30" s="332">
        <f>IF(MULTILANE_HIGHWAY_SPECIAL_GRADE[Separador]=$AU$6,$AW$6,IF(MULTILANE_HIGHWAY_SPECIAL_GRADE[Separador]=$AU$7,$AW$7,$AW$8))</f>
        <v>1.8</v>
      </c>
      <c r="AG30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30" s="332">
        <f>IF(MULTILANE_HIGHWAY_SPECIAL_GRADE[Separador]="Sinalização horizontal",'HCM2000'!$C$590,'HCM2000'!$C$591)</f>
        <v>0</v>
      </c>
      <c r="AI30" s="332">
        <f>MIN((2/3)*MULTILANE_HIGHWAY_SPECIAL_GRADE[acessos/km],16)</f>
        <v>2</v>
      </c>
      <c r="AJ30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</v>
      </c>
      <c r="AK30" s="332">
        <f>IF(MULTILANE_HIGHWAY_SPECIAL_GRADE[plano/ondulado]="Montanhoso",#REF!,VLOOKUP(MULTILANE_HIGHWAY_SPECIAL_GRADE[plano/ondulado],'HCM2000'!$B$606:$C$608,2,FALSE))</f>
        <v>2.5</v>
      </c>
      <c r="AL30" s="684">
        <f>IF(MULTILANE_HIGHWAY_SPECIAL_GRADE[[#This Row],[plano/ondulado]]="Montanhoso",#REF!,VLOOKUP(MULTILANE_HIGHWAY_SPECIAL_GRADE[[#This Row],[plano/ondulado]],'HCM2000'!$E$606:$F$608,2,FALSE))</f>
        <v>2</v>
      </c>
      <c r="AM30" s="433">
        <f>1/(1+(MULTILANE_HIGHWAY_SPECIAL_GRADE[Pt]*(MULTILANE_HIGHWAY_SPECIAL_GRADE[Et2]-1))+(MULTILANE_HIGHWAY_SPECIAL_GRADE[PRv]*(MULTILANE_HIGHWAY_SPECIAL_GRADE[Er2]-1)))</f>
        <v>0.55473403857702686</v>
      </c>
      <c r="AN30" s="329">
        <f>MULTILANE_HIGHWAY_SPECIAL_GRADE[[#This Row],[Número de Faixas]]+IF(MULTILANE_HIGHWAY_SPECIAL_GRADE[[#This Row],[Num. Faixas Marg.]]="-",0,MULTILANE_HIGHWAY_SPECIAL_GRADE[[#This Row],[Num. Faixas Marg.]])</f>
        <v>2</v>
      </c>
      <c r="AO30" s="329">
        <f>MULTILANE_HIGHWAY_SPECIAL_GRADE[[#This Row],[Vzão]]/(MULTILANE_HIGHWAY_SPECIAL_GRADE[[#This Row],[PHF]]*MULTILANE_HIGHWAY_SPECIAL_GRADE[[#This Row],[N]]*MULTILANE_HIGHWAY_SPECIAL_GRADE[[#This Row],[fHV]])</f>
        <v>666.0132632575536</v>
      </c>
      <c r="AP30" s="332">
        <f>IF(MULTILANE_HIGHWAY_SPECIAL_GRADE[fLC]="Pista simples","-",MULTILANE_HIGHWAY_SPECIAL_GRADE[vp3]/MULTILANE_HIGHWAY_SPECIAL_GRADE[S])</f>
        <v>6.7960537067097304</v>
      </c>
      <c r="AQ30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</v>
      </c>
      <c r="AR30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30" s="308" t="str">
        <f>IF(MULTILANE_HIGHWAY_SPECIAL_GRADE[LOS_vp3]="F","F",VLOOKUP(MULTILANE_HIGHWAY_SPECIAL_GRADE[LOS_vp3],'HCM2000'!$R$655:$S$659,2))</f>
        <v>C</v>
      </c>
      <c r="AT30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30" s="308" t="str">
        <f>IF(MULTILANE_HIGHWAY_SPECIAL_GRADE[[#This Row],[LOS_vp3]]="F","F",IF(MULTILANE_HIGHWAY_SPECIAL_GRADE[[#This Row],[fLC]]="Pista simples","-",VLOOKUP(MULTILANE_HIGHWAY_SPECIAL_GRADE[[#This Row],[LOS_D3]],'HCM2000'!$R$655:$S$659,2)))</f>
        <v>B</v>
      </c>
      <c r="AV30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30" s="22">
        <v>4.5</v>
      </c>
      <c r="AX30" s="22">
        <v>2.0999999999996866</v>
      </c>
      <c r="AY30" s="22">
        <v>1.4999999999999991</v>
      </c>
      <c r="AZ30" s="22">
        <f>1.2</f>
        <v>1.2</v>
      </c>
      <c r="BA30" s="463">
        <f>IF(MULTILANE_HIGHWAY_SPECIAL_GRADE[Direction analysed ?]="up",MULTILANE_HIGHWAY_SPECIAL_GRADE[ET_UP],MULTILANE_HIGHWAY_SPECIAL_GRADE[ET_DOWN])</f>
        <v>4.5</v>
      </c>
      <c r="BB30" s="463">
        <f>IF(MULTILANE_HIGHWAY_SPECIAL_GRADE[Direction analysed ?]="up",MULTILANE_HIGHWAY_SPECIAL_GRADE[ER_UP],MULTILANE_HIGHWAY_SPECIAL_GRADE[ER_DOWN])</f>
        <v>2.0999999999996866</v>
      </c>
      <c r="BC30" s="433">
        <f>1/(1+(MULTILANE_HIGHWAY_SPECIAL_GRADE[Pt]*(MULTILANE_HIGHWAY_SPECIAL_GRADE[ET]-1))+(MULTILANE_HIGHWAY_SPECIAL_GRADE[PRv]*(MULTILANE_HIGHWAY_SPECIAL_GRADE[ER]-1)))</f>
        <v>0.352623417238008</v>
      </c>
      <c r="BD30" s="331">
        <f>MULTILANE_HIGHWAY_SPECIAL_GRADE[Vzão]/(MULTILANE_HIGHWAY_SPECIAL_GRADE[PHF]*MULTILANE_HIGHWAY_SPECIAL_GRADE[N]*MULTILANE_HIGHWAY_SPECIAL_GRADE[fHV_SG])</f>
        <v>1047.7472828282275</v>
      </c>
      <c r="BE30" s="422">
        <f>IF(MULTILANE_HIGHWAY_SPECIAL_GRADE[fLC]="Pista simples","-",MULTILANE_HIGHWAY_SPECIAL_GRADE[VP_SG]/MULTILANE_HIGHWAY_SPECIAL_GRADE[S])</f>
        <v>10.691298804369669</v>
      </c>
      <c r="BF30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</v>
      </c>
      <c r="BG30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30" s="308" t="str">
        <f>IF(MULTILANE_HIGHWAY_SPECIAL_GRADE[[#This Row],[LOS_vp3]]="F","F",VLOOKUP(MULTILANE_HIGHWAY_SPECIAL_GRADE[[#This Row],[LOS_vp3]],'HCM2000'!$R$655:$S$659,2))</f>
        <v>C</v>
      </c>
      <c r="BI30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4</v>
      </c>
      <c r="BJ30" s="308" t="str">
        <f>IF(MULTILANE_HIGHWAY_SPECIAL_GRADE[[#This Row],[LOS_vp3]]="F","F",IF(MULTILANE_HIGHWAY_SPECIAL_GRADE[[#This Row],[fLC]]="Pista simples","-",VLOOKUP(MULTILANE_HIGHWAY_SPECIAL_GRADE[[#This Row],[LOS_D3]],'HCM2000'!$R$655:$S$659,2)))</f>
        <v>B</v>
      </c>
      <c r="BK30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30" s="440">
        <f>MULTILANE_HIGHWAY_SPECIAL_GRADE[VP_SG]</f>
        <v>1047.7472828282275</v>
      </c>
      <c r="BM30" s="440">
        <f>MULTILANE_HIGHWAY_SPECIAL_GRADE[D_SG]</f>
        <v>10.691298804369669</v>
      </c>
      <c r="BN30" s="440">
        <f>MULTILANE_HIGHWAY_SPECIAL_GRADE[S_SG]</f>
        <v>98</v>
      </c>
      <c r="CD30" s="416"/>
      <c r="CE30" s="416"/>
    </row>
    <row r="31" spans="2:83">
      <c r="B31" s="685">
        <v>18</v>
      </c>
      <c r="C31" s="686">
        <v>300</v>
      </c>
      <c r="D31" s="687" t="str">
        <f>"Dupla"</f>
        <v>Dupla</v>
      </c>
      <c r="E31" s="688">
        <v>4</v>
      </c>
      <c r="F31" s="689" t="s">
        <v>579</v>
      </c>
      <c r="G31" s="686">
        <v>2</v>
      </c>
      <c r="H31" s="689">
        <v>3.6</v>
      </c>
      <c r="I31" s="689">
        <v>3.6</v>
      </c>
      <c r="J31" s="689" t="s">
        <v>145</v>
      </c>
      <c r="K31" s="690"/>
      <c r="L31" s="544" t="s">
        <v>644</v>
      </c>
      <c r="M31" s="544" t="s">
        <v>381</v>
      </c>
      <c r="N31" s="22">
        <f>MULTILANE_HIGHWAY_SPECIAL_GRADE[Largura das Faixas]</f>
        <v>3.6</v>
      </c>
      <c r="O31" s="22">
        <f>MULTILANE_HIGHWAY_SPECIAL_GRADE[Largura Acost.]</f>
        <v>3.6</v>
      </c>
      <c r="P31" s="541">
        <v>7133.097508959112</v>
      </c>
      <c r="Q31" s="541">
        <v>5571.4479455863438</v>
      </c>
      <c r="R31" s="399">
        <f>MULTILANE_HIGHWAY_SPECIAL_GRADE[passeio]+MULTILANE_HIGHWAY_SPECIAL_GRADE[pesado]</f>
        <v>12704.545454545456</v>
      </c>
      <c r="S31" s="435">
        <f>MULTILANE_HIGHWAY_SPECIAL_GRADE[pesado]/MULTILANE_HIGHWAY_SPECIAL_GRADE[vdma]</f>
        <v>0.43853973095849569</v>
      </c>
      <c r="T31" s="547">
        <v>0.03</v>
      </c>
      <c r="U31" s="547">
        <f>0.12</f>
        <v>0.12</v>
      </c>
      <c r="V31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1524.5454545454547</v>
      </c>
      <c r="W31" s="691">
        <v>0.55000000000000004</v>
      </c>
      <c r="X31" s="264">
        <f>MULTILANE_HIGHWAY_SPECIAL_GRADE[veic/h]*MULTILANE_HIGHWAY_SPECIAL_GRADE[distrib. direc.]</f>
        <v>838.50000000000011</v>
      </c>
      <c r="Y31" s="552">
        <v>3</v>
      </c>
      <c r="Z31" s="525">
        <f>0</f>
        <v>0</v>
      </c>
      <c r="AA31" s="544">
        <v>100</v>
      </c>
      <c r="AB31" s="547"/>
      <c r="AC31" s="551">
        <v>0.88</v>
      </c>
      <c r="AD31" s="332">
        <f>VLOOKUP(MULTILANE_HIGHWAY_SPECIAL_GRADE[faixa (m)],'HCM2000'!$B$541:$C$547,2,TRUE)</f>
        <v>0</v>
      </c>
      <c r="AE31" s="332">
        <f>IF(MULTILANE_HIGHWAY_SPECIAL_GRADE[acost (m)]&gt;0,1.8,1.2)</f>
        <v>1.8</v>
      </c>
      <c r="AF31" s="332">
        <f>IF(MULTILANE_HIGHWAY_SPECIAL_GRADE[Separador]=$AU$6,$AW$6,IF(MULTILANE_HIGHWAY_SPECIAL_GRADE[Separador]=$AU$7,$AW$7,$AW$8))</f>
        <v>1.8</v>
      </c>
      <c r="AG31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31" s="332">
        <f>IF(MULTILANE_HIGHWAY_SPECIAL_GRADE[Separador]="Sinalização horizontal",'HCM2000'!$C$590,'HCM2000'!$C$591)</f>
        <v>0</v>
      </c>
      <c r="AI31" s="332">
        <f>MIN((2/3)*MULTILANE_HIGHWAY_SPECIAL_GRADE[acessos/km],16)</f>
        <v>2</v>
      </c>
      <c r="AJ31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</v>
      </c>
      <c r="AK31" s="332">
        <f>IF(MULTILANE_HIGHWAY_SPECIAL_GRADE[plano/ondulado]="Montanhoso",#REF!,VLOOKUP(MULTILANE_HIGHWAY_SPECIAL_GRADE[plano/ondulado],'HCM2000'!$B$606:$C$608,2,FALSE))</f>
        <v>2.5</v>
      </c>
      <c r="AL31" s="684">
        <f>IF(MULTILANE_HIGHWAY_SPECIAL_GRADE[[#This Row],[plano/ondulado]]="Montanhoso",#REF!,VLOOKUP(MULTILANE_HIGHWAY_SPECIAL_GRADE[[#This Row],[plano/ondulado]],'HCM2000'!$E$606:$F$608,2,FALSE))</f>
        <v>2</v>
      </c>
      <c r="AM31" s="433">
        <f>1/(1+(MULTILANE_HIGHWAY_SPECIAL_GRADE[Pt]*(MULTILANE_HIGHWAY_SPECIAL_GRADE[Et2]-1))+(MULTILANE_HIGHWAY_SPECIAL_GRADE[PRv]*(MULTILANE_HIGHWAY_SPECIAL_GRADE[Er2]-1)))</f>
        <v>0.59248389279844105</v>
      </c>
      <c r="AN31" s="329">
        <f>MULTILANE_HIGHWAY_SPECIAL_GRADE[[#This Row],[Número de Faixas]]+IF(MULTILANE_HIGHWAY_SPECIAL_GRADE[[#This Row],[Num. Faixas Marg.]]="-",0,MULTILANE_HIGHWAY_SPECIAL_GRADE[[#This Row],[Num. Faixas Marg.]])</f>
        <v>2</v>
      </c>
      <c r="AO31" s="329">
        <f>MULTILANE_HIGHWAY_SPECIAL_GRADE[[#This Row],[Vzão]]/(MULTILANE_HIGHWAY_SPECIAL_GRADE[[#This Row],[PHF]]*MULTILANE_HIGHWAY_SPECIAL_GRADE[[#This Row],[N]]*MULTILANE_HIGHWAY_SPECIAL_GRADE[[#This Row],[fHV]])</f>
        <v>804.10701512104993</v>
      </c>
      <c r="AP31" s="332">
        <f>IF(MULTILANE_HIGHWAY_SPECIAL_GRADE[fLC]="Pista simples","-",MULTILANE_HIGHWAY_SPECIAL_GRADE[vp3]/MULTILANE_HIGHWAY_SPECIAL_GRADE[S])</f>
        <v>8.2051736236841837</v>
      </c>
      <c r="AQ31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</v>
      </c>
      <c r="AR31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31" s="308" t="str">
        <f>IF(MULTILANE_HIGHWAY_SPECIAL_GRADE[LOS_vp3]="F","F",VLOOKUP(MULTILANE_HIGHWAY_SPECIAL_GRADE[LOS_vp3],'HCM2000'!$R$655:$S$659,2))</f>
        <v>C</v>
      </c>
      <c r="AT31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4</v>
      </c>
      <c r="AU31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31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31" s="22">
        <v>4.5</v>
      </c>
      <c r="AX31" s="22">
        <v>2.099999999999707</v>
      </c>
      <c r="AY31" s="22">
        <v>1.4999999999999991</v>
      </c>
      <c r="AZ31" s="22">
        <f>1.2</f>
        <v>1.2</v>
      </c>
      <c r="BA31" s="463">
        <f>IF(MULTILANE_HIGHWAY_SPECIAL_GRADE[Direction analysed ?]="up",MULTILANE_HIGHWAY_SPECIAL_GRADE[ET_UP],MULTILANE_HIGHWAY_SPECIAL_GRADE[ET_DOWN])</f>
        <v>4.5</v>
      </c>
      <c r="BB31" s="463">
        <f>IF(MULTILANE_HIGHWAY_SPECIAL_GRADE[Direction analysed ?]="up",MULTILANE_HIGHWAY_SPECIAL_GRADE[ER_UP],MULTILANE_HIGHWAY_SPECIAL_GRADE[ER_DOWN])</f>
        <v>2.099999999999707</v>
      </c>
      <c r="BC31" s="433">
        <f>1/(1+(MULTILANE_HIGHWAY_SPECIAL_GRADE[Pt]*(MULTILANE_HIGHWAY_SPECIAL_GRADE[ET]-1))+(MULTILANE_HIGHWAY_SPECIAL_GRADE[PRv]*(MULTILANE_HIGHWAY_SPECIAL_GRADE[ER]-1)))</f>
        <v>0.3894249234586134</v>
      </c>
      <c r="BD31" s="331">
        <f>MULTILANE_HIGHWAY_SPECIAL_GRADE[Vzão]/(MULTILANE_HIGHWAY_SPECIAL_GRADE[PHF]*MULTILANE_HIGHWAY_SPECIAL_GRADE[N]*MULTILANE_HIGHWAY_SPECIAL_GRADE[fHV_SG])</f>
        <v>1223.3948724036579</v>
      </c>
      <c r="BE31" s="422">
        <f>IF(MULTILANE_HIGHWAY_SPECIAL_GRADE[fLC]="Pista simples","-",MULTILANE_HIGHWAY_SPECIAL_GRADE[VP_SG]/MULTILANE_HIGHWAY_SPECIAL_GRADE[S])</f>
        <v>12.483621146976102</v>
      </c>
      <c r="BF31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</v>
      </c>
      <c r="BG31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31" s="308" t="str">
        <f>IF(MULTILANE_HIGHWAY_SPECIAL_GRADE[[#This Row],[LOS_vp3]]="F","F",VLOOKUP(MULTILANE_HIGHWAY_SPECIAL_GRADE[[#This Row],[LOS_vp3]],'HCM2000'!$R$655:$S$659,2))</f>
        <v>C</v>
      </c>
      <c r="BI31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31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31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31" s="440">
        <f>MULTILANE_HIGHWAY_SPECIAL_GRADE[VP_SG]</f>
        <v>1223.3948724036579</v>
      </c>
      <c r="BM31" s="440">
        <f>MULTILANE_HIGHWAY_SPECIAL_GRADE[D_SG]</f>
        <v>12.483621146976102</v>
      </c>
      <c r="BN31" s="440">
        <f>MULTILANE_HIGHWAY_SPECIAL_GRADE[S_SG]</f>
        <v>98</v>
      </c>
      <c r="CD31" s="416"/>
      <c r="CE31" s="416"/>
    </row>
    <row r="32" spans="2:83">
      <c r="B32" s="685">
        <v>19</v>
      </c>
      <c r="C32" s="686">
        <v>300</v>
      </c>
      <c r="D32" s="687" t="str">
        <f>"Dupla"</f>
        <v>Dupla</v>
      </c>
      <c r="E32" s="688">
        <v>4</v>
      </c>
      <c r="F32" s="689" t="s">
        <v>579</v>
      </c>
      <c r="G32" s="686">
        <v>2</v>
      </c>
      <c r="H32" s="689">
        <v>3.6</v>
      </c>
      <c r="I32" s="689">
        <v>3.6</v>
      </c>
      <c r="J32" s="689" t="s">
        <v>145</v>
      </c>
      <c r="K32" s="690"/>
      <c r="L32" s="544" t="s">
        <v>644</v>
      </c>
      <c r="M32" s="544" t="s">
        <v>381</v>
      </c>
      <c r="N32" s="22">
        <f>MULTILANE_HIGHWAY_SPECIAL_GRADE[Largura das Faixas]</f>
        <v>3.6</v>
      </c>
      <c r="O32" s="22">
        <f>MULTILANE_HIGHWAY_SPECIAL_GRADE[Largura Acost.]</f>
        <v>3.6</v>
      </c>
      <c r="P32" s="541">
        <v>8507.8061763254118</v>
      </c>
      <c r="Q32" s="541">
        <v>5730.8301873109522</v>
      </c>
      <c r="R32" s="399">
        <f>MULTILANE_HIGHWAY_SPECIAL_GRADE[passeio]+MULTILANE_HIGHWAY_SPECIAL_GRADE[pesado]</f>
        <v>14238.636363636364</v>
      </c>
      <c r="S32" s="435">
        <f>MULTILANE_HIGHWAY_SPECIAL_GRADE[pesado]/MULTILANE_HIGHWAY_SPECIAL_GRADE[vdma]</f>
        <v>0.40248448242886176</v>
      </c>
      <c r="T32" s="547">
        <v>0.03</v>
      </c>
      <c r="U32" s="547">
        <f>0.12</f>
        <v>0.12</v>
      </c>
      <c r="V32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1708.6363636363635</v>
      </c>
      <c r="W32" s="691">
        <v>0.55000000000000004</v>
      </c>
      <c r="X32" s="264">
        <f>MULTILANE_HIGHWAY_SPECIAL_GRADE[veic/h]*MULTILANE_HIGHWAY_SPECIAL_GRADE[distrib. direc.]</f>
        <v>939.75</v>
      </c>
      <c r="Y32" s="552">
        <v>3</v>
      </c>
      <c r="Z32" s="525">
        <f>0</f>
        <v>0</v>
      </c>
      <c r="AA32" s="544">
        <v>100</v>
      </c>
      <c r="AB32" s="547"/>
      <c r="AC32" s="551">
        <v>0.88</v>
      </c>
      <c r="AD32" s="332">
        <f>VLOOKUP(MULTILANE_HIGHWAY_SPECIAL_GRADE[faixa (m)],'HCM2000'!$B$541:$C$547,2,TRUE)</f>
        <v>0</v>
      </c>
      <c r="AE32" s="332">
        <f>IF(MULTILANE_HIGHWAY_SPECIAL_GRADE[acost (m)]&gt;0,1.8,1.2)</f>
        <v>1.8</v>
      </c>
      <c r="AF32" s="332">
        <f>IF(MULTILANE_HIGHWAY_SPECIAL_GRADE[Separador]=$AU$6,$AW$6,IF(MULTILANE_HIGHWAY_SPECIAL_GRADE[Separador]=$AU$7,$AW$7,$AW$8))</f>
        <v>1.8</v>
      </c>
      <c r="AG32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32" s="332">
        <f>IF(MULTILANE_HIGHWAY_SPECIAL_GRADE[Separador]="Sinalização horizontal",'HCM2000'!$C$590,'HCM2000'!$C$591)</f>
        <v>0</v>
      </c>
      <c r="AI32" s="332">
        <f>MIN((2/3)*MULTILANE_HIGHWAY_SPECIAL_GRADE[acessos/km],16)</f>
        <v>2</v>
      </c>
      <c r="AJ32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</v>
      </c>
      <c r="AK32" s="332">
        <f>IF(MULTILANE_HIGHWAY_SPECIAL_GRADE[plano/ondulado]="Montanhoso",#REF!,VLOOKUP(MULTILANE_HIGHWAY_SPECIAL_GRADE[plano/ondulado],'HCM2000'!$B$606:$C$608,2,FALSE))</f>
        <v>2.5</v>
      </c>
      <c r="AL32" s="684">
        <f>IF(MULTILANE_HIGHWAY_SPECIAL_GRADE[[#This Row],[plano/ondulado]]="Montanhoso",#REF!,VLOOKUP(MULTILANE_HIGHWAY_SPECIAL_GRADE[[#This Row],[plano/ondulado]],'HCM2000'!$E$606:$F$608,2,FALSE))</f>
        <v>2</v>
      </c>
      <c r="AM32" s="433">
        <f>1/(1+(MULTILANE_HIGHWAY_SPECIAL_GRADE[Pt]*(MULTILANE_HIGHWAY_SPECIAL_GRADE[Et2]-1))+(MULTILANE_HIGHWAY_SPECIAL_GRADE[PRv]*(MULTILANE_HIGHWAY_SPECIAL_GRADE[Er2]-1)))</f>
        <v>0.61209747354193345</v>
      </c>
      <c r="AN32" s="329">
        <f>MULTILANE_HIGHWAY_SPECIAL_GRADE[[#This Row],[Número de Faixas]]+IF(MULTILANE_HIGHWAY_SPECIAL_GRADE[[#This Row],[Num. Faixas Marg.]]="-",0,MULTILANE_HIGHWAY_SPECIAL_GRADE[[#This Row],[Num. Faixas Marg.]])</f>
        <v>2</v>
      </c>
      <c r="AO32" s="329">
        <f>MULTILANE_HIGHWAY_SPECIAL_GRADE[[#This Row],[Vzão]]/(MULTILANE_HIGHWAY_SPECIAL_GRADE[[#This Row],[PHF]]*MULTILANE_HIGHWAY_SPECIAL_GRADE[[#This Row],[N]]*MULTILANE_HIGHWAY_SPECIAL_GRADE[[#This Row],[fHV]])</f>
        <v>872.3265275816957</v>
      </c>
      <c r="AP32" s="332">
        <f>IF(MULTILANE_HIGHWAY_SPECIAL_GRADE[fLC]="Pista simples","-",MULTILANE_HIGHWAY_SPECIAL_GRADE[vp3]/MULTILANE_HIGHWAY_SPECIAL_GRADE[S])</f>
        <v>8.9012910977724058</v>
      </c>
      <c r="AQ32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</v>
      </c>
      <c r="AR32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32" s="308" t="str">
        <f>IF(MULTILANE_HIGHWAY_SPECIAL_GRADE[LOS_vp3]="F","F",VLOOKUP(MULTILANE_HIGHWAY_SPECIAL_GRADE[LOS_vp3],'HCM2000'!$R$655:$S$659,2))</f>
        <v>C</v>
      </c>
      <c r="AT32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4</v>
      </c>
      <c r="AU32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32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32" s="22">
        <v>4.5</v>
      </c>
      <c r="AX32" s="22">
        <v>2.0999999999997168</v>
      </c>
      <c r="AY32" s="22">
        <v>1.4999999999999991</v>
      </c>
      <c r="AZ32" s="22">
        <f>1.2</f>
        <v>1.2</v>
      </c>
      <c r="BA32" s="463">
        <f>IF(MULTILANE_HIGHWAY_SPECIAL_GRADE[Direction analysed ?]="up",MULTILANE_HIGHWAY_SPECIAL_GRADE[ET_UP],MULTILANE_HIGHWAY_SPECIAL_GRADE[ET_DOWN])</f>
        <v>4.5</v>
      </c>
      <c r="BB32" s="463">
        <f>IF(MULTILANE_HIGHWAY_SPECIAL_GRADE[Direction analysed ?]="up",MULTILANE_HIGHWAY_SPECIAL_GRADE[ER_UP],MULTILANE_HIGHWAY_SPECIAL_GRADE[ER_DOWN])</f>
        <v>2.0999999999997168</v>
      </c>
      <c r="BC32" s="433">
        <f>1/(1+(MULTILANE_HIGHWAY_SPECIAL_GRADE[Pt]*(MULTILANE_HIGHWAY_SPECIAL_GRADE[ET]-1))+(MULTILANE_HIGHWAY_SPECIAL_GRADE[PRv]*(MULTILANE_HIGHWAY_SPECIAL_GRADE[ER]-1)))</f>
        <v>0.4095514460337662</v>
      </c>
      <c r="BD32" s="331">
        <f>MULTILANE_HIGHWAY_SPECIAL_GRADE[Vzão]/(MULTILANE_HIGHWAY_SPECIAL_GRADE[PHF]*MULTILANE_HIGHWAY_SPECIAL_GRADE[N]*MULTILANE_HIGHWAY_SPECIAL_GRADE[fHV_SG])</f>
        <v>1303.7406382209215</v>
      </c>
      <c r="BE32" s="422">
        <f>IF(MULTILANE_HIGHWAY_SPECIAL_GRADE[fLC]="Pista simples","-",MULTILANE_HIGHWAY_SPECIAL_GRADE[VP_SG]/MULTILANE_HIGHWAY_SPECIAL_GRADE[S])</f>
        <v>13.303475900213485</v>
      </c>
      <c r="BF32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</v>
      </c>
      <c r="BG32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32" s="308" t="str">
        <f>IF(MULTILANE_HIGHWAY_SPECIAL_GRADE[[#This Row],[LOS_vp3]]="F","F",VLOOKUP(MULTILANE_HIGHWAY_SPECIAL_GRADE[[#This Row],[LOS_vp3]],'HCM2000'!$R$655:$S$659,2))</f>
        <v>C</v>
      </c>
      <c r="BI32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32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32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32" s="440">
        <f>MULTILANE_HIGHWAY_SPECIAL_GRADE[VP_SG]</f>
        <v>1303.7406382209215</v>
      </c>
      <c r="BM32" s="440">
        <f>MULTILANE_HIGHWAY_SPECIAL_GRADE[D_SG]</f>
        <v>13.303475900213485</v>
      </c>
      <c r="BN32" s="440">
        <f>MULTILANE_HIGHWAY_SPECIAL_GRADE[S_SG]</f>
        <v>98</v>
      </c>
      <c r="CD32" s="416"/>
      <c r="CE32" s="416"/>
    </row>
    <row r="33" spans="2:83">
      <c r="B33" s="685">
        <v>20</v>
      </c>
      <c r="C33" s="686">
        <v>300</v>
      </c>
      <c r="D33" s="687" t="str">
        <f>"Dupla"</f>
        <v>Dupla</v>
      </c>
      <c r="E33" s="688">
        <v>4</v>
      </c>
      <c r="F33" s="689" t="s">
        <v>579</v>
      </c>
      <c r="G33" s="686">
        <v>2</v>
      </c>
      <c r="H33" s="689">
        <v>3.6</v>
      </c>
      <c r="I33" s="689">
        <v>3.6</v>
      </c>
      <c r="J33" s="689" t="s">
        <v>145</v>
      </c>
      <c r="K33" s="690"/>
      <c r="L33" s="544" t="s">
        <v>644</v>
      </c>
      <c r="M33" s="544" t="s">
        <v>381</v>
      </c>
      <c r="N33" s="22">
        <f>MULTILANE_HIGHWAY_SPECIAL_GRADE[Largura das Faixas]</f>
        <v>3.6</v>
      </c>
      <c r="O33" s="22">
        <f>MULTILANE_HIGHWAY_SPECIAL_GRADE[Largura Acost.]</f>
        <v>3.6</v>
      </c>
      <c r="P33" s="541">
        <v>7407.4524260281478</v>
      </c>
      <c r="Q33" s="541">
        <v>4808.4566648809441</v>
      </c>
      <c r="R33" s="399">
        <f>MULTILANE_HIGHWAY_SPECIAL_GRADE[passeio]+MULTILANE_HIGHWAY_SPECIAL_GRADE[pesado]</f>
        <v>12215.909090909092</v>
      </c>
      <c r="S33" s="435">
        <f>MULTILANE_HIGHWAY_SPECIAL_GRADE[pesado]/MULTILANE_HIGHWAY_SPECIAL_GRADE[vdma]</f>
        <v>0.39362249907862606</v>
      </c>
      <c r="T33" s="547">
        <v>0.03</v>
      </c>
      <c r="U33" s="547">
        <f>0.12</f>
        <v>0.12</v>
      </c>
      <c r="V33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1465.909090909091</v>
      </c>
      <c r="W33" s="691">
        <v>0.55000000000000004</v>
      </c>
      <c r="X33" s="264">
        <f>MULTILANE_HIGHWAY_SPECIAL_GRADE[veic/h]*MULTILANE_HIGHWAY_SPECIAL_GRADE[distrib. direc.]</f>
        <v>806.25000000000011</v>
      </c>
      <c r="Y33" s="552">
        <v>3</v>
      </c>
      <c r="Z33" s="525">
        <f>0</f>
        <v>0</v>
      </c>
      <c r="AA33" s="544">
        <v>100</v>
      </c>
      <c r="AB33" s="547"/>
      <c r="AC33" s="551">
        <v>0.88</v>
      </c>
      <c r="AD33" s="332">
        <f>VLOOKUP(MULTILANE_HIGHWAY_SPECIAL_GRADE[faixa (m)],'HCM2000'!$B$541:$C$547,2,TRUE)</f>
        <v>0</v>
      </c>
      <c r="AE33" s="332">
        <f>IF(MULTILANE_HIGHWAY_SPECIAL_GRADE[acost (m)]&gt;0,1.8,1.2)</f>
        <v>1.8</v>
      </c>
      <c r="AF33" s="332">
        <f>IF(MULTILANE_HIGHWAY_SPECIAL_GRADE[Separador]=$AU$6,$AW$6,IF(MULTILANE_HIGHWAY_SPECIAL_GRADE[Separador]=$AU$7,$AW$7,$AW$8))</f>
        <v>1.8</v>
      </c>
      <c r="AG33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33" s="332">
        <f>IF(MULTILANE_HIGHWAY_SPECIAL_GRADE[Separador]="Sinalização horizontal",'HCM2000'!$C$590,'HCM2000'!$C$591)</f>
        <v>0</v>
      </c>
      <c r="AI33" s="332">
        <f>MIN((2/3)*MULTILANE_HIGHWAY_SPECIAL_GRADE[acessos/km],16)</f>
        <v>2</v>
      </c>
      <c r="AJ33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</v>
      </c>
      <c r="AK33" s="332">
        <f>IF(MULTILANE_HIGHWAY_SPECIAL_GRADE[plano/ondulado]="Montanhoso",#REF!,VLOOKUP(MULTILANE_HIGHWAY_SPECIAL_GRADE[plano/ondulado],'HCM2000'!$B$606:$C$608,2,FALSE))</f>
        <v>2.5</v>
      </c>
      <c r="AL33" s="684">
        <f>IF(MULTILANE_HIGHWAY_SPECIAL_GRADE[[#This Row],[plano/ondulado]]="Montanhoso",#REF!,VLOOKUP(MULTILANE_HIGHWAY_SPECIAL_GRADE[[#This Row],[plano/ondulado]],'HCM2000'!$E$606:$F$608,2,FALSE))</f>
        <v>2</v>
      </c>
      <c r="AM33" s="433">
        <f>1/(1+(MULTILANE_HIGHWAY_SPECIAL_GRADE[Pt]*(MULTILANE_HIGHWAY_SPECIAL_GRADE[Et2]-1))+(MULTILANE_HIGHWAY_SPECIAL_GRADE[PRv]*(MULTILANE_HIGHWAY_SPECIAL_GRADE[Er2]-1)))</f>
        <v>0.61711871951130093</v>
      </c>
      <c r="AN33" s="329">
        <f>MULTILANE_HIGHWAY_SPECIAL_GRADE[[#This Row],[Número de Faixas]]+IF(MULTILANE_HIGHWAY_SPECIAL_GRADE[[#This Row],[Num. Faixas Marg.]]="-",0,MULTILANE_HIGHWAY_SPECIAL_GRADE[[#This Row],[Num. Faixas Marg.]])</f>
        <v>2</v>
      </c>
      <c r="AO33" s="329">
        <f>MULTILANE_HIGHWAY_SPECIAL_GRADE[[#This Row],[Vzão]]/(MULTILANE_HIGHWAY_SPECIAL_GRADE[[#This Row],[PHF]]*MULTILANE_HIGHWAY_SPECIAL_GRADE[[#This Row],[N]]*MULTILANE_HIGHWAY_SPECIAL_GRADE[[#This Row],[fHV]])</f>
        <v>742.31517603591692</v>
      </c>
      <c r="AP33" s="332">
        <f>IF(MULTILANE_HIGHWAY_SPECIAL_GRADE[fLC]="Pista simples","-",MULTILANE_HIGHWAY_SPECIAL_GRADE[vp3]/MULTILANE_HIGHWAY_SPECIAL_GRADE[S])</f>
        <v>7.5746446534277236</v>
      </c>
      <c r="AQ33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</v>
      </c>
      <c r="AR33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33" s="308" t="str">
        <f>IF(MULTILANE_HIGHWAY_SPECIAL_GRADE[LOS_vp3]="F","F",VLOOKUP(MULTILANE_HIGHWAY_SPECIAL_GRADE[LOS_vp3],'HCM2000'!$R$655:$S$659,2))</f>
        <v>C</v>
      </c>
      <c r="AT33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4</v>
      </c>
      <c r="AU33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33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33" s="22">
        <v>4.5</v>
      </c>
      <c r="AX33" s="22">
        <v>2.099999999999719</v>
      </c>
      <c r="AY33" s="22">
        <v>1.4999999999999991</v>
      </c>
      <c r="AZ33" s="22">
        <f>1.2</f>
        <v>1.2</v>
      </c>
      <c r="BA33" s="463">
        <f>IF(MULTILANE_HIGHWAY_SPECIAL_GRADE[Direction analysed ?]="up",MULTILANE_HIGHWAY_SPECIAL_GRADE[ET_UP],MULTILANE_HIGHWAY_SPECIAL_GRADE[ET_DOWN])</f>
        <v>4.5</v>
      </c>
      <c r="BB33" s="463">
        <f>IF(MULTILANE_HIGHWAY_SPECIAL_GRADE[Direction analysed ?]="up",MULTILANE_HIGHWAY_SPECIAL_GRADE[ER_UP],MULTILANE_HIGHWAY_SPECIAL_GRADE[ER_DOWN])</f>
        <v>2.099999999999719</v>
      </c>
      <c r="BC33" s="433">
        <f>1/(1+(MULTILANE_HIGHWAY_SPECIAL_GRADE[Pt]*(MULTILANE_HIGHWAY_SPECIAL_GRADE[ET]-1))+(MULTILANE_HIGHWAY_SPECIAL_GRADE[PRv]*(MULTILANE_HIGHWAY_SPECIAL_GRADE[ER]-1)))</f>
        <v>0.41482093013750654</v>
      </c>
      <c r="BD33" s="331">
        <f>MULTILANE_HIGHWAY_SPECIAL_GRADE[Vzão]/(MULTILANE_HIGHWAY_SPECIAL_GRADE[PHF]*MULTILANE_HIGHWAY_SPECIAL_GRADE[N]*MULTILANE_HIGHWAY_SPECIAL_GRADE[fHV_SG])</f>
        <v>1104.3237156747111</v>
      </c>
      <c r="BE33" s="422">
        <f>IF(MULTILANE_HIGHWAY_SPECIAL_GRADE[fLC]="Pista simples","-",MULTILANE_HIGHWAY_SPECIAL_GRADE[VP_SG]/MULTILANE_HIGHWAY_SPECIAL_GRADE[S])</f>
        <v>11.268609343619502</v>
      </c>
      <c r="BF33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</v>
      </c>
      <c r="BG33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33" s="308" t="str">
        <f>IF(MULTILANE_HIGHWAY_SPECIAL_GRADE[[#This Row],[LOS_vp3]]="F","F",VLOOKUP(MULTILANE_HIGHWAY_SPECIAL_GRADE[[#This Row],[LOS_vp3]],'HCM2000'!$R$655:$S$659,2))</f>
        <v>C</v>
      </c>
      <c r="BI33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33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33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33" s="440">
        <f>MULTILANE_HIGHWAY_SPECIAL_GRADE[VP_SG]</f>
        <v>1104.3237156747111</v>
      </c>
      <c r="BM33" s="440">
        <f>MULTILANE_HIGHWAY_SPECIAL_GRADE[D_SG]</f>
        <v>11.268609343619502</v>
      </c>
      <c r="BN33" s="440">
        <f>MULTILANE_HIGHWAY_SPECIAL_GRADE[S_SG]</f>
        <v>98</v>
      </c>
      <c r="CD33" s="416"/>
      <c r="CE33" s="416"/>
    </row>
    <row r="34" spans="2:83">
      <c r="B34" s="685">
        <v>21</v>
      </c>
      <c r="C34" s="686">
        <v>300</v>
      </c>
      <c r="D34" s="687" t="str">
        <f>"Dupla"</f>
        <v>Dupla</v>
      </c>
      <c r="E34" s="688">
        <v>4</v>
      </c>
      <c r="F34" s="689" t="s">
        <v>579</v>
      </c>
      <c r="G34" s="686">
        <v>2</v>
      </c>
      <c r="H34" s="689">
        <v>3.6</v>
      </c>
      <c r="I34" s="689">
        <v>3.6</v>
      </c>
      <c r="J34" s="689" t="s">
        <v>145</v>
      </c>
      <c r="K34" s="690"/>
      <c r="L34" s="544" t="s">
        <v>644</v>
      </c>
      <c r="M34" s="544" t="s">
        <v>381</v>
      </c>
      <c r="N34" s="22">
        <f>MULTILANE_HIGHWAY_SPECIAL_GRADE[Largura das Faixas]</f>
        <v>3.6</v>
      </c>
      <c r="O34" s="22">
        <f>MULTILANE_HIGHWAY_SPECIAL_GRADE[Largura Acost.]</f>
        <v>3.6</v>
      </c>
      <c r="P34" s="541">
        <v>7451.0187219294103</v>
      </c>
      <c r="Q34" s="541">
        <v>5946.7085507978627</v>
      </c>
      <c r="R34" s="399">
        <f>MULTILANE_HIGHWAY_SPECIAL_GRADE[passeio]+MULTILANE_HIGHWAY_SPECIAL_GRADE[pesado]</f>
        <v>13397.727272727272</v>
      </c>
      <c r="S34" s="435">
        <f>MULTILANE_HIGHWAY_SPECIAL_GRADE[pesado]/MULTILANE_HIGHWAY_SPECIAL_GRADE[vdma]</f>
        <v>0.44385950167108729</v>
      </c>
      <c r="T34" s="547">
        <v>0.03</v>
      </c>
      <c r="U34" s="547">
        <f>0.12</f>
        <v>0.12</v>
      </c>
      <c r="V34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1607.7272727272725</v>
      </c>
      <c r="W34" s="691">
        <v>0.55000000000000004</v>
      </c>
      <c r="X34" s="264">
        <f>MULTILANE_HIGHWAY_SPECIAL_GRADE[veic/h]*MULTILANE_HIGHWAY_SPECIAL_GRADE[distrib. direc.]</f>
        <v>884.25</v>
      </c>
      <c r="Y34" s="552">
        <v>3</v>
      </c>
      <c r="Z34" s="525">
        <f>0</f>
        <v>0</v>
      </c>
      <c r="AA34" s="544">
        <v>100</v>
      </c>
      <c r="AB34" s="547"/>
      <c r="AC34" s="551">
        <v>0.88</v>
      </c>
      <c r="AD34" s="332">
        <f>VLOOKUP(MULTILANE_HIGHWAY_SPECIAL_GRADE[faixa (m)],'HCM2000'!$B$541:$C$547,2,TRUE)</f>
        <v>0</v>
      </c>
      <c r="AE34" s="332">
        <f>IF(MULTILANE_HIGHWAY_SPECIAL_GRADE[acost (m)]&gt;0,1.8,1.2)</f>
        <v>1.8</v>
      </c>
      <c r="AF34" s="332">
        <f>IF(MULTILANE_HIGHWAY_SPECIAL_GRADE[Separador]=$AU$6,$AW$6,IF(MULTILANE_HIGHWAY_SPECIAL_GRADE[Separador]=$AU$7,$AW$7,$AW$8))</f>
        <v>1.8</v>
      </c>
      <c r="AG34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34" s="332">
        <f>IF(MULTILANE_HIGHWAY_SPECIAL_GRADE[Separador]="Sinalização horizontal",'HCM2000'!$C$590,'HCM2000'!$C$591)</f>
        <v>0</v>
      </c>
      <c r="AI34" s="332">
        <f>MIN((2/3)*MULTILANE_HIGHWAY_SPECIAL_GRADE[acessos/km],16)</f>
        <v>2</v>
      </c>
      <c r="AJ34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</v>
      </c>
      <c r="AK34" s="332">
        <f>IF(MULTILANE_HIGHWAY_SPECIAL_GRADE[plano/ondulado]="Montanhoso",#REF!,VLOOKUP(MULTILANE_HIGHWAY_SPECIAL_GRADE[plano/ondulado],'HCM2000'!$B$606:$C$608,2,FALSE))</f>
        <v>2.5</v>
      </c>
      <c r="AL34" s="684">
        <f>IF(MULTILANE_HIGHWAY_SPECIAL_GRADE[[#This Row],[plano/ondulado]]="Montanhoso",#REF!,VLOOKUP(MULTILANE_HIGHWAY_SPECIAL_GRADE[[#This Row],[plano/ondulado]],'HCM2000'!$E$606:$F$608,2,FALSE))</f>
        <v>2</v>
      </c>
      <c r="AM34" s="433">
        <f>1/(1+(MULTILANE_HIGHWAY_SPECIAL_GRADE[Pt]*(MULTILANE_HIGHWAY_SPECIAL_GRADE[Et2]-1))+(MULTILANE_HIGHWAY_SPECIAL_GRADE[PRv]*(MULTILANE_HIGHWAY_SPECIAL_GRADE[Er2]-1)))</f>
        <v>0.58969591800505283</v>
      </c>
      <c r="AN34" s="329">
        <f>MULTILANE_HIGHWAY_SPECIAL_GRADE[[#This Row],[Número de Faixas]]+IF(MULTILANE_HIGHWAY_SPECIAL_GRADE[[#This Row],[Num. Faixas Marg.]]="-",0,MULTILANE_HIGHWAY_SPECIAL_GRADE[[#This Row],[Num. Faixas Marg.]])</f>
        <v>2</v>
      </c>
      <c r="AO34" s="329">
        <f>MULTILANE_HIGHWAY_SPECIAL_GRADE[[#This Row],[Vzão]]/(MULTILANE_HIGHWAY_SPECIAL_GRADE[[#This Row],[PHF]]*MULTILANE_HIGHWAY_SPECIAL_GRADE[[#This Row],[N]]*MULTILANE_HIGHWAY_SPECIAL_GRADE[[#This Row],[fHV]])</f>
        <v>851.98957189147063</v>
      </c>
      <c r="AP34" s="332">
        <f>IF(MULTILANE_HIGHWAY_SPECIAL_GRADE[fLC]="Pista simples","-",MULTILANE_HIGHWAY_SPECIAL_GRADE[vp3]/MULTILANE_HIGHWAY_SPECIAL_GRADE[S])</f>
        <v>8.6937711417496999</v>
      </c>
      <c r="AQ34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</v>
      </c>
      <c r="AR34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34" s="308" t="str">
        <f>IF(MULTILANE_HIGHWAY_SPECIAL_GRADE[LOS_vp3]="F","F",VLOOKUP(MULTILANE_HIGHWAY_SPECIAL_GRADE[LOS_vp3],'HCM2000'!$R$655:$S$659,2))</f>
        <v>C</v>
      </c>
      <c r="AT34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4</v>
      </c>
      <c r="AU34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34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34" s="22">
        <v>4.5</v>
      </c>
      <c r="AX34" s="22">
        <v>2.0999999999997057</v>
      </c>
      <c r="AY34" s="22">
        <v>1.4999999999999991</v>
      </c>
      <c r="AZ34" s="22">
        <f>1.2</f>
        <v>1.2</v>
      </c>
      <c r="BA34" s="463">
        <f>IF(MULTILANE_HIGHWAY_SPECIAL_GRADE[Direction analysed ?]="up",MULTILANE_HIGHWAY_SPECIAL_GRADE[ET_UP],MULTILANE_HIGHWAY_SPECIAL_GRADE[ET_DOWN])</f>
        <v>4.5</v>
      </c>
      <c r="BB34" s="463">
        <f>IF(MULTILANE_HIGHWAY_SPECIAL_GRADE[Direction analysed ?]="up",MULTILANE_HIGHWAY_SPECIAL_GRADE[ER_UP],MULTILANE_HIGHWAY_SPECIAL_GRADE[ER_DOWN])</f>
        <v>2.0999999999997057</v>
      </c>
      <c r="BC34" s="433">
        <f>1/(1+(MULTILANE_HIGHWAY_SPECIAL_GRADE[Pt]*(MULTILANE_HIGHWAY_SPECIAL_GRADE[ET]-1))+(MULTILANE_HIGHWAY_SPECIAL_GRADE[PRv]*(MULTILANE_HIGHWAY_SPECIAL_GRADE[ER]-1)))</f>
        <v>0.38662161535294881</v>
      </c>
      <c r="BD34" s="331">
        <f>MULTILANE_HIGHWAY_SPECIAL_GRADE[Vzão]/(MULTILANE_HIGHWAY_SPECIAL_GRADE[PHF]*MULTILANE_HIGHWAY_SPECIAL_GRADE[N]*MULTILANE_HIGHWAY_SPECIAL_GRADE[fHV_SG])</f>
        <v>1299.4999575194877</v>
      </c>
      <c r="BE34" s="422">
        <f>IF(MULTILANE_HIGHWAY_SPECIAL_GRADE[fLC]="Pista simples","-",MULTILANE_HIGHWAY_SPECIAL_GRADE[VP_SG]/MULTILANE_HIGHWAY_SPECIAL_GRADE[S])</f>
        <v>13.260203648158038</v>
      </c>
      <c r="BF34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</v>
      </c>
      <c r="BG34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34" s="308" t="str">
        <f>IF(MULTILANE_HIGHWAY_SPECIAL_GRADE[[#This Row],[LOS_vp3]]="F","F",VLOOKUP(MULTILANE_HIGHWAY_SPECIAL_GRADE[[#This Row],[LOS_vp3]],'HCM2000'!$R$655:$S$659,2))</f>
        <v>C</v>
      </c>
      <c r="BI34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34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34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34" s="440">
        <f>MULTILANE_HIGHWAY_SPECIAL_GRADE[VP_SG]</f>
        <v>1299.4999575194877</v>
      </c>
      <c r="BM34" s="440">
        <f>MULTILANE_HIGHWAY_SPECIAL_GRADE[D_SG]</f>
        <v>13.260203648158038</v>
      </c>
      <c r="BN34" s="440">
        <f>MULTILANE_HIGHWAY_SPECIAL_GRADE[S_SG]</f>
        <v>98</v>
      </c>
      <c r="CD34" s="416"/>
      <c r="CE34" s="416"/>
    </row>
    <row r="35" spans="2:83">
      <c r="B35" s="685">
        <v>22</v>
      </c>
      <c r="C35" s="686">
        <v>300</v>
      </c>
      <c r="D35" s="687" t="str">
        <f>"Dupla"</f>
        <v>Dupla</v>
      </c>
      <c r="E35" s="688">
        <v>4</v>
      </c>
      <c r="F35" s="689" t="s">
        <v>579</v>
      </c>
      <c r="G35" s="686">
        <v>2</v>
      </c>
      <c r="H35" s="689">
        <v>3.6</v>
      </c>
      <c r="I35" s="689">
        <v>3.6</v>
      </c>
      <c r="J35" s="689" t="s">
        <v>145</v>
      </c>
      <c r="K35" s="690"/>
      <c r="L35" s="544" t="s">
        <v>644</v>
      </c>
      <c r="M35" s="544" t="s">
        <v>381</v>
      </c>
      <c r="N35" s="22">
        <f>MULTILANE_HIGHWAY_SPECIAL_GRADE[Largura das Faixas]</f>
        <v>3.6</v>
      </c>
      <c r="O35" s="22">
        <f>MULTILANE_HIGHWAY_SPECIAL_GRADE[Largura Acost.]</f>
        <v>3.6</v>
      </c>
      <c r="P35" s="541">
        <v>8341.0444764304157</v>
      </c>
      <c r="Q35" s="541">
        <v>5624.8646144786762</v>
      </c>
      <c r="R35" s="399">
        <f>MULTILANE_HIGHWAY_SPECIAL_GRADE[passeio]+MULTILANE_HIGHWAY_SPECIAL_GRADE[pesado]</f>
        <v>13965.909090909092</v>
      </c>
      <c r="S35" s="435">
        <f>MULTILANE_HIGHWAY_SPECIAL_GRADE[pesado]/MULTILANE_HIGHWAY_SPECIAL_GRADE[vdma]</f>
        <v>0.40275678281051541</v>
      </c>
      <c r="T35" s="547">
        <v>0.03</v>
      </c>
      <c r="U35" s="547">
        <f>0.12</f>
        <v>0.12</v>
      </c>
      <c r="V35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1675.909090909091</v>
      </c>
      <c r="W35" s="691">
        <v>0.55000000000000004</v>
      </c>
      <c r="X35" s="264">
        <f>MULTILANE_HIGHWAY_SPECIAL_GRADE[veic/h]*MULTILANE_HIGHWAY_SPECIAL_GRADE[distrib. direc.]</f>
        <v>921.75000000000011</v>
      </c>
      <c r="Y35" s="552">
        <v>3</v>
      </c>
      <c r="Z35" s="525">
        <f>0</f>
        <v>0</v>
      </c>
      <c r="AA35" s="544">
        <v>100</v>
      </c>
      <c r="AB35" s="547"/>
      <c r="AC35" s="551">
        <v>0.88</v>
      </c>
      <c r="AD35" s="332">
        <f>VLOOKUP(MULTILANE_HIGHWAY_SPECIAL_GRADE[faixa (m)],'HCM2000'!$B$541:$C$547,2,TRUE)</f>
        <v>0</v>
      </c>
      <c r="AE35" s="332">
        <f>IF(MULTILANE_HIGHWAY_SPECIAL_GRADE[acost (m)]&gt;0,1.8,1.2)</f>
        <v>1.8</v>
      </c>
      <c r="AF35" s="332">
        <f>IF(MULTILANE_HIGHWAY_SPECIAL_GRADE[Separador]=$AU$6,$AW$6,IF(MULTILANE_HIGHWAY_SPECIAL_GRADE[Separador]=$AU$7,$AW$7,$AW$8))</f>
        <v>1.8</v>
      </c>
      <c r="AG35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35" s="332">
        <f>IF(MULTILANE_HIGHWAY_SPECIAL_GRADE[Separador]="Sinalização horizontal",'HCM2000'!$C$590,'HCM2000'!$C$591)</f>
        <v>0</v>
      </c>
      <c r="AI35" s="332">
        <f>MIN((2/3)*MULTILANE_HIGHWAY_SPECIAL_GRADE[acessos/km],16)</f>
        <v>2</v>
      </c>
      <c r="AJ35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</v>
      </c>
      <c r="AK35" s="332">
        <f>IF(MULTILANE_HIGHWAY_SPECIAL_GRADE[plano/ondulado]="Montanhoso",#REF!,VLOOKUP(MULTILANE_HIGHWAY_SPECIAL_GRADE[plano/ondulado],'HCM2000'!$B$606:$C$608,2,FALSE))</f>
        <v>2.5</v>
      </c>
      <c r="AL35" s="684">
        <f>IF(MULTILANE_HIGHWAY_SPECIAL_GRADE[[#This Row],[plano/ondulado]]="Montanhoso",#REF!,VLOOKUP(MULTILANE_HIGHWAY_SPECIAL_GRADE[[#This Row],[plano/ondulado]],'HCM2000'!$E$606:$F$608,2,FALSE))</f>
        <v>2</v>
      </c>
      <c r="AM35" s="433">
        <f>1/(1+(MULTILANE_HIGHWAY_SPECIAL_GRADE[Pt]*(MULTILANE_HIGHWAY_SPECIAL_GRADE[Et2]-1))+(MULTILANE_HIGHWAY_SPECIAL_GRADE[PRv]*(MULTILANE_HIGHWAY_SPECIAL_GRADE[Er2]-1)))</f>
        <v>0.61194448034563798</v>
      </c>
      <c r="AN35" s="329">
        <f>MULTILANE_HIGHWAY_SPECIAL_GRADE[[#This Row],[Número de Faixas]]+IF(MULTILANE_HIGHWAY_SPECIAL_GRADE[[#This Row],[Num. Faixas Marg.]]="-",0,MULTILANE_HIGHWAY_SPECIAL_GRADE[[#This Row],[Num. Faixas Marg.]])</f>
        <v>2</v>
      </c>
      <c r="AO35" s="329">
        <f>MULTILANE_HIGHWAY_SPECIAL_GRADE[[#This Row],[Vzão]]/(MULTILANE_HIGHWAY_SPECIAL_GRADE[[#This Row],[PHF]]*MULTILANE_HIGHWAY_SPECIAL_GRADE[[#This Row],[N]]*MULTILANE_HIGHWAY_SPECIAL_GRADE[[#This Row],[fHV]])</f>
        <v>855.83187320078935</v>
      </c>
      <c r="AP35" s="332">
        <f>IF(MULTILANE_HIGHWAY_SPECIAL_GRADE[fLC]="Pista simples","-",MULTILANE_HIGHWAY_SPECIAL_GRADE[vp3]/MULTILANE_HIGHWAY_SPECIAL_GRADE[S])</f>
        <v>8.7329782979672377</v>
      </c>
      <c r="AQ35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</v>
      </c>
      <c r="AR35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35" s="308" t="str">
        <f>IF(MULTILANE_HIGHWAY_SPECIAL_GRADE[LOS_vp3]="F","F",VLOOKUP(MULTILANE_HIGHWAY_SPECIAL_GRADE[LOS_vp3],'HCM2000'!$R$655:$S$659,2))</f>
        <v>C</v>
      </c>
      <c r="AT35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4</v>
      </c>
      <c r="AU35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35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35" s="22">
        <v>4.5</v>
      </c>
      <c r="AX35" s="22">
        <v>2.0999999999997163</v>
      </c>
      <c r="AY35" s="22">
        <v>1.4999999999999991</v>
      </c>
      <c r="AZ35" s="22">
        <f>1.2</f>
        <v>1.2</v>
      </c>
      <c r="BA35" s="463">
        <f>IF(MULTILANE_HIGHWAY_SPECIAL_GRADE[Direction analysed ?]="up",MULTILANE_HIGHWAY_SPECIAL_GRADE[ET_UP],MULTILANE_HIGHWAY_SPECIAL_GRADE[ET_DOWN])</f>
        <v>4.5</v>
      </c>
      <c r="BB35" s="463">
        <f>IF(MULTILANE_HIGHWAY_SPECIAL_GRADE[Direction analysed ?]="up",MULTILANE_HIGHWAY_SPECIAL_GRADE[ER_UP],MULTILANE_HIGHWAY_SPECIAL_GRADE[ER_DOWN])</f>
        <v>2.0999999999997163</v>
      </c>
      <c r="BC35" s="433">
        <f>1/(1+(MULTILANE_HIGHWAY_SPECIAL_GRADE[Pt]*(MULTILANE_HIGHWAY_SPECIAL_GRADE[ET]-1))+(MULTILANE_HIGHWAY_SPECIAL_GRADE[PRv]*(MULTILANE_HIGHWAY_SPECIAL_GRADE[ER]-1)))</f>
        <v>0.40939165083016177</v>
      </c>
      <c r="BD35" s="331">
        <f>MULTILANE_HIGHWAY_SPECIAL_GRADE[Vzão]/(MULTILANE_HIGHWAY_SPECIAL_GRADE[PHF]*MULTILANE_HIGHWAY_SPECIAL_GRADE[N]*MULTILANE_HIGHWAY_SPECIAL_GRADE[fHV_SG])</f>
        <v>1279.2678840594126</v>
      </c>
      <c r="BE35" s="422">
        <f>IF(MULTILANE_HIGHWAY_SPECIAL_GRADE[fLC]="Pista simples","-",MULTILANE_HIGHWAY_SPECIAL_GRADE[VP_SG]/MULTILANE_HIGHWAY_SPECIAL_GRADE[S])</f>
        <v>13.053753918973598</v>
      </c>
      <c r="BF35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</v>
      </c>
      <c r="BG35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35" s="308" t="str">
        <f>IF(MULTILANE_HIGHWAY_SPECIAL_GRADE[[#This Row],[LOS_vp3]]="F","F",VLOOKUP(MULTILANE_HIGHWAY_SPECIAL_GRADE[[#This Row],[LOS_vp3]],'HCM2000'!$R$655:$S$659,2))</f>
        <v>C</v>
      </c>
      <c r="BI35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35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35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35" s="440">
        <f>MULTILANE_HIGHWAY_SPECIAL_GRADE[VP_SG]</f>
        <v>1279.2678840594126</v>
      </c>
      <c r="BM35" s="440">
        <f>MULTILANE_HIGHWAY_SPECIAL_GRADE[D_SG]</f>
        <v>13.053753918973598</v>
      </c>
      <c r="BN35" s="440">
        <f>MULTILANE_HIGHWAY_SPECIAL_GRADE[S_SG]</f>
        <v>98</v>
      </c>
      <c r="CD35" s="416"/>
      <c r="CE35" s="416"/>
    </row>
    <row r="36" spans="2:83">
      <c r="B36" s="685">
        <v>23</v>
      </c>
      <c r="C36" s="686">
        <v>300</v>
      </c>
      <c r="D36" s="687" t="str">
        <f>"Dupla"</f>
        <v>Dupla</v>
      </c>
      <c r="E36" s="688">
        <v>4</v>
      </c>
      <c r="F36" s="689" t="s">
        <v>579</v>
      </c>
      <c r="G36" s="686">
        <v>2</v>
      </c>
      <c r="H36" s="689">
        <v>3.6</v>
      </c>
      <c r="I36" s="689">
        <v>3.6</v>
      </c>
      <c r="J36" s="689" t="s">
        <v>145</v>
      </c>
      <c r="K36" s="690"/>
      <c r="L36" s="544" t="s">
        <v>644</v>
      </c>
      <c r="M36" s="544" t="s">
        <v>381</v>
      </c>
      <c r="N36" s="22">
        <f>MULTILANE_HIGHWAY_SPECIAL_GRADE[Largura das Faixas]</f>
        <v>3.6</v>
      </c>
      <c r="O36" s="22">
        <f>MULTILANE_HIGHWAY_SPECIAL_GRADE[Largura Acost.]</f>
        <v>3.6</v>
      </c>
      <c r="P36" s="541">
        <v>5998.85942882789</v>
      </c>
      <c r="Q36" s="541">
        <v>5444.3223893539271</v>
      </c>
      <c r="R36" s="399">
        <f>MULTILANE_HIGHWAY_SPECIAL_GRADE[passeio]+MULTILANE_HIGHWAY_SPECIAL_GRADE[pesado]</f>
        <v>11443.181818181816</v>
      </c>
      <c r="S36" s="435">
        <f>MULTILANE_HIGHWAY_SPECIAL_GRADE[pesado]/MULTILANE_HIGHWAY_SPECIAL_GRADE[vdma]</f>
        <v>0.47576998040034324</v>
      </c>
      <c r="T36" s="547">
        <v>0.03</v>
      </c>
      <c r="U36" s="547">
        <f>0.12</f>
        <v>0.12</v>
      </c>
      <c r="V36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1373.1818181818178</v>
      </c>
      <c r="W36" s="691">
        <v>0.55000000000000004</v>
      </c>
      <c r="X36" s="264">
        <f>MULTILANE_HIGHWAY_SPECIAL_GRADE[veic/h]*MULTILANE_HIGHWAY_SPECIAL_GRADE[distrib. direc.]</f>
        <v>755.24999999999989</v>
      </c>
      <c r="Y36" s="552">
        <v>3</v>
      </c>
      <c r="Z36" s="525">
        <f>0</f>
        <v>0</v>
      </c>
      <c r="AA36" s="544">
        <v>100</v>
      </c>
      <c r="AB36" s="547"/>
      <c r="AC36" s="551">
        <v>0.88</v>
      </c>
      <c r="AD36" s="332">
        <f>VLOOKUP(MULTILANE_HIGHWAY_SPECIAL_GRADE[faixa (m)],'HCM2000'!$B$541:$C$547,2,TRUE)</f>
        <v>0</v>
      </c>
      <c r="AE36" s="332">
        <f>IF(MULTILANE_HIGHWAY_SPECIAL_GRADE[acost (m)]&gt;0,1.8,1.2)</f>
        <v>1.8</v>
      </c>
      <c r="AF36" s="332">
        <f>IF(MULTILANE_HIGHWAY_SPECIAL_GRADE[Separador]=$AU$6,$AW$6,IF(MULTILANE_HIGHWAY_SPECIAL_GRADE[Separador]=$AU$7,$AW$7,$AW$8))</f>
        <v>1.8</v>
      </c>
      <c r="AG36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36" s="332">
        <f>IF(MULTILANE_HIGHWAY_SPECIAL_GRADE[Separador]="Sinalização horizontal",'HCM2000'!$C$590,'HCM2000'!$C$591)</f>
        <v>0</v>
      </c>
      <c r="AI36" s="332">
        <f>MIN((2/3)*MULTILANE_HIGHWAY_SPECIAL_GRADE[acessos/km],16)</f>
        <v>2</v>
      </c>
      <c r="AJ36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</v>
      </c>
      <c r="AK36" s="332">
        <f>IF(MULTILANE_HIGHWAY_SPECIAL_GRADE[plano/ondulado]="Montanhoso",#REF!,VLOOKUP(MULTILANE_HIGHWAY_SPECIAL_GRADE[plano/ondulado],'HCM2000'!$B$606:$C$608,2,FALSE))</f>
        <v>2.5</v>
      </c>
      <c r="AL36" s="684">
        <f>IF(MULTILANE_HIGHWAY_SPECIAL_GRADE[[#This Row],[plano/ondulado]]="Montanhoso",#REF!,VLOOKUP(MULTILANE_HIGHWAY_SPECIAL_GRADE[[#This Row],[plano/ondulado]],'HCM2000'!$E$606:$F$608,2,FALSE))</f>
        <v>2</v>
      </c>
      <c r="AM36" s="433">
        <f>1/(1+(MULTILANE_HIGHWAY_SPECIAL_GRADE[Pt]*(MULTILANE_HIGHWAY_SPECIAL_GRADE[Et2]-1))+(MULTILANE_HIGHWAY_SPECIAL_GRADE[PRv]*(MULTILANE_HIGHWAY_SPECIAL_GRADE[Er2]-1)))</f>
        <v>0.57350795705620583</v>
      </c>
      <c r="AN36" s="329">
        <f>MULTILANE_HIGHWAY_SPECIAL_GRADE[[#This Row],[Número de Faixas]]+IF(MULTILANE_HIGHWAY_SPECIAL_GRADE[[#This Row],[Num. Faixas Marg.]]="-",0,MULTILANE_HIGHWAY_SPECIAL_GRADE[[#This Row],[Num. Faixas Marg.]])</f>
        <v>2</v>
      </c>
      <c r="AO36" s="329">
        <f>MULTILANE_HIGHWAY_SPECIAL_GRADE[[#This Row],[Vzão]]/(MULTILANE_HIGHWAY_SPECIAL_GRADE[[#This Row],[PHF]]*MULTILANE_HIGHWAY_SPECIAL_GRADE[[#This Row],[N]]*MULTILANE_HIGHWAY_SPECIAL_GRADE[[#This Row],[fHV]])</f>
        <v>748.23603212843102</v>
      </c>
      <c r="AP36" s="332">
        <f>IF(MULTILANE_HIGHWAY_SPECIAL_GRADE[fLC]="Pista simples","-",MULTILANE_HIGHWAY_SPECIAL_GRADE[vp3]/MULTILANE_HIGHWAY_SPECIAL_GRADE[S])</f>
        <v>7.6350615523309289</v>
      </c>
      <c r="AQ36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</v>
      </c>
      <c r="AR36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36" s="308" t="str">
        <f>IF(MULTILANE_HIGHWAY_SPECIAL_GRADE[LOS_vp3]="F","F",VLOOKUP(MULTILANE_HIGHWAY_SPECIAL_GRADE[LOS_vp3],'HCM2000'!$R$655:$S$659,2))</f>
        <v>C</v>
      </c>
      <c r="AT36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4</v>
      </c>
      <c r="AU36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36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36" s="22">
        <v>4.5</v>
      </c>
      <c r="AX36" s="22">
        <v>2.0999999999996972</v>
      </c>
      <c r="AY36" s="22">
        <v>1.4999999999999991</v>
      </c>
      <c r="AZ36" s="22">
        <f>1.2</f>
        <v>1.2</v>
      </c>
      <c r="BA36" s="463">
        <f>IF(MULTILANE_HIGHWAY_SPECIAL_GRADE[Direction analysed ?]="up",MULTILANE_HIGHWAY_SPECIAL_GRADE[ET_UP],MULTILANE_HIGHWAY_SPECIAL_GRADE[ET_DOWN])</f>
        <v>4.5</v>
      </c>
      <c r="BB36" s="463">
        <f>IF(MULTILANE_HIGHWAY_SPECIAL_GRADE[Direction analysed ?]="up",MULTILANE_HIGHWAY_SPECIAL_GRADE[ER_UP],MULTILANE_HIGHWAY_SPECIAL_GRADE[ER_DOWN])</f>
        <v>2.0999999999996972</v>
      </c>
      <c r="BC36" s="433">
        <f>1/(1+(MULTILANE_HIGHWAY_SPECIAL_GRADE[Pt]*(MULTILANE_HIGHWAY_SPECIAL_GRADE[ET]-1))+(MULTILANE_HIGHWAY_SPECIAL_GRADE[PRv]*(MULTILANE_HIGHWAY_SPECIAL_GRADE[ER]-1)))</f>
        <v>0.37061814487980405</v>
      </c>
      <c r="BD36" s="331">
        <f>MULTILANE_HIGHWAY_SPECIAL_GRADE[Vzão]/(MULTILANE_HIGHWAY_SPECIAL_GRADE[PHF]*MULTILANE_HIGHWAY_SPECIAL_GRADE[N]*MULTILANE_HIGHWAY_SPECIAL_GRADE[fHV_SG])</f>
        <v>1157.847569284517</v>
      </c>
      <c r="BE36" s="422">
        <f>IF(MULTILANE_HIGHWAY_SPECIAL_GRADE[fLC]="Pista simples","-",MULTILANE_HIGHWAY_SPECIAL_GRADE[VP_SG]/MULTILANE_HIGHWAY_SPECIAL_GRADE[S])</f>
        <v>11.814771115148133</v>
      </c>
      <c r="BF36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</v>
      </c>
      <c r="BG36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36" s="308" t="str">
        <f>IF(MULTILANE_HIGHWAY_SPECIAL_GRADE[[#This Row],[LOS_vp3]]="F","F",VLOOKUP(MULTILANE_HIGHWAY_SPECIAL_GRADE[[#This Row],[LOS_vp3]],'HCM2000'!$R$655:$S$659,2))</f>
        <v>C</v>
      </c>
      <c r="BI36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36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36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36" s="440">
        <f>MULTILANE_HIGHWAY_SPECIAL_GRADE[VP_SG]</f>
        <v>1157.847569284517</v>
      </c>
      <c r="BM36" s="440">
        <f>MULTILANE_HIGHWAY_SPECIAL_GRADE[D_SG]</f>
        <v>11.814771115148133</v>
      </c>
      <c r="BN36" s="440">
        <f>MULTILANE_HIGHWAY_SPECIAL_GRADE[S_SG]</f>
        <v>98</v>
      </c>
      <c r="CD36" s="416"/>
      <c r="CE36" s="416"/>
    </row>
    <row r="37" spans="2:83">
      <c r="B37" s="685">
        <v>24</v>
      </c>
      <c r="C37" s="686">
        <v>300</v>
      </c>
      <c r="D37" s="687" t="str">
        <f>"Dupla"</f>
        <v>Dupla</v>
      </c>
      <c r="E37" s="688">
        <v>4</v>
      </c>
      <c r="F37" s="689" t="s">
        <v>579</v>
      </c>
      <c r="G37" s="686">
        <v>2</v>
      </c>
      <c r="H37" s="689">
        <v>3.6</v>
      </c>
      <c r="I37" s="689">
        <v>3.6</v>
      </c>
      <c r="J37" s="689" t="s">
        <v>145</v>
      </c>
      <c r="K37" s="690"/>
      <c r="L37" s="544" t="s">
        <v>644</v>
      </c>
      <c r="M37" s="544" t="s">
        <v>654</v>
      </c>
      <c r="N37" s="22">
        <f>MULTILANE_HIGHWAY_SPECIAL_GRADE[Largura das Faixas]</f>
        <v>3.6</v>
      </c>
      <c r="O37" s="22">
        <f>MULTILANE_HIGHWAY_SPECIAL_GRADE[Largura Acost.]</f>
        <v>3.6</v>
      </c>
      <c r="P37" s="541">
        <v>9381.0604803329697</v>
      </c>
      <c r="Q37" s="541">
        <v>5641.6667923943032</v>
      </c>
      <c r="R37" s="399">
        <f>MULTILANE_HIGHWAY_SPECIAL_GRADE[passeio]+MULTILANE_HIGHWAY_SPECIAL_GRADE[pesado]</f>
        <v>15022.727272727272</v>
      </c>
      <c r="S37" s="435">
        <f>MULTILANE_HIGHWAY_SPECIAL_GRADE[pesado]/MULTILANE_HIGHWAY_SPECIAL_GRADE[vdma]</f>
        <v>0.37554211628645895</v>
      </c>
      <c r="T37" s="547">
        <v>0.03</v>
      </c>
      <c r="U37" s="547">
        <f>0.12</f>
        <v>0.12</v>
      </c>
      <c r="V37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1802.7272727272725</v>
      </c>
      <c r="W37" s="691">
        <v>0.55000000000000004</v>
      </c>
      <c r="X37" s="264">
        <f>MULTILANE_HIGHWAY_SPECIAL_GRADE[veic/h]*MULTILANE_HIGHWAY_SPECIAL_GRADE[distrib. direc.]</f>
        <v>991.5</v>
      </c>
      <c r="Y37" s="552">
        <v>3</v>
      </c>
      <c r="Z37" s="525">
        <f>0</f>
        <v>0</v>
      </c>
      <c r="AA37" s="544">
        <v>100</v>
      </c>
      <c r="AB37" s="547"/>
      <c r="AC37" s="551">
        <v>0.88</v>
      </c>
      <c r="AD37" s="332">
        <f>VLOOKUP(MULTILANE_HIGHWAY_SPECIAL_GRADE[faixa (m)],'HCM2000'!$B$541:$C$547,2,TRUE)</f>
        <v>0</v>
      </c>
      <c r="AE37" s="332">
        <f>IF(MULTILANE_HIGHWAY_SPECIAL_GRADE[acost (m)]&gt;0,1.8,1.2)</f>
        <v>1.8</v>
      </c>
      <c r="AF37" s="332">
        <f>IF(MULTILANE_HIGHWAY_SPECIAL_GRADE[Separador]=$AU$6,$AW$6,IF(MULTILANE_HIGHWAY_SPECIAL_GRADE[Separador]=$AU$7,$AW$7,$AW$8))</f>
        <v>1.8</v>
      </c>
      <c r="AG37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37" s="332">
        <f>IF(MULTILANE_HIGHWAY_SPECIAL_GRADE[Separador]="Sinalização horizontal",'HCM2000'!$C$590,'HCM2000'!$C$591)</f>
        <v>0</v>
      </c>
      <c r="AI37" s="332">
        <f>MIN((2/3)*MULTILANE_HIGHWAY_SPECIAL_GRADE[acessos/km],16)</f>
        <v>2</v>
      </c>
      <c r="AJ37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</v>
      </c>
      <c r="AK37" s="332">
        <f>IF(MULTILANE_HIGHWAY_SPECIAL_GRADE[plano/ondulado]="Montanhoso",#REF!,VLOOKUP(MULTILANE_HIGHWAY_SPECIAL_GRADE[plano/ondulado],'HCM2000'!$B$606:$C$608,2,FALSE))</f>
        <v>1.5</v>
      </c>
      <c r="AL37" s="684">
        <f>IF(MULTILANE_HIGHWAY_SPECIAL_GRADE[[#This Row],[plano/ondulado]]="Montanhoso",#REF!,VLOOKUP(MULTILANE_HIGHWAY_SPECIAL_GRADE[[#This Row],[plano/ondulado]],'HCM2000'!$E$606:$F$608,2,FALSE))</f>
        <v>1.2</v>
      </c>
      <c r="AM37" s="433">
        <f>1/(1+(MULTILANE_HIGHWAY_SPECIAL_GRADE[Pt]*(MULTILANE_HIGHWAY_SPECIAL_GRADE[Et2]-1))+(MULTILANE_HIGHWAY_SPECIAL_GRADE[PRv]*(MULTILANE_HIGHWAY_SPECIAL_GRADE[Er2]-1)))</f>
        <v>0.83768155809991107</v>
      </c>
      <c r="AN37" s="329">
        <f>MULTILANE_HIGHWAY_SPECIAL_GRADE[[#This Row],[Número de Faixas]]+IF(MULTILANE_HIGHWAY_SPECIAL_GRADE[[#This Row],[Num. Faixas Marg.]]="-",0,MULTILANE_HIGHWAY_SPECIAL_GRADE[[#This Row],[Num. Faixas Marg.]])</f>
        <v>2</v>
      </c>
      <c r="AO37" s="329">
        <f>MULTILANE_HIGHWAY_SPECIAL_GRADE[[#This Row],[Vzão]]/(MULTILANE_HIGHWAY_SPECIAL_GRADE[[#This Row],[PHF]]*MULTILANE_HIGHWAY_SPECIAL_GRADE[[#This Row],[N]]*MULTILANE_HIGHWAY_SPECIAL_GRADE[[#This Row],[fHV]])</f>
        <v>672.51363872102957</v>
      </c>
      <c r="AP37" s="332">
        <f>IF(MULTILANE_HIGHWAY_SPECIAL_GRADE[fLC]="Pista simples","-",MULTILANE_HIGHWAY_SPECIAL_GRADE[vp3]/MULTILANE_HIGHWAY_SPECIAL_GRADE[S])</f>
        <v>6.8623840685819344</v>
      </c>
      <c r="AQ37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</v>
      </c>
      <c r="AR37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37" s="308" t="str">
        <f>IF(MULTILANE_HIGHWAY_SPECIAL_GRADE[LOS_vp3]="F","F",VLOOKUP(MULTILANE_HIGHWAY_SPECIAL_GRADE[LOS_vp3],'HCM2000'!$R$655:$S$659,2))</f>
        <v>C</v>
      </c>
      <c r="AT37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5</v>
      </c>
      <c r="AU37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37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37" s="22">
        <v>4.5</v>
      </c>
      <c r="AX37" s="22">
        <v>2.0999999999997239</v>
      </c>
      <c r="AY37" s="22">
        <v>1.4999999999999991</v>
      </c>
      <c r="AZ37" s="22">
        <f>1.2</f>
        <v>1.2</v>
      </c>
      <c r="BA37" s="463">
        <f>IF(MULTILANE_HIGHWAY_SPECIAL_GRADE[Direction analysed ?]="up",MULTILANE_HIGHWAY_SPECIAL_GRADE[ET_UP],MULTILANE_HIGHWAY_SPECIAL_GRADE[ET_DOWN])</f>
        <v>4.5</v>
      </c>
      <c r="BB37" s="463">
        <f>IF(MULTILANE_HIGHWAY_SPECIAL_GRADE[Direction analysed ?]="up",MULTILANE_HIGHWAY_SPECIAL_GRADE[ER_UP],MULTILANE_HIGHWAY_SPECIAL_GRADE[ER_DOWN])</f>
        <v>2.0999999999997239</v>
      </c>
      <c r="BC37" s="433">
        <f>1/(1+(MULTILANE_HIGHWAY_SPECIAL_GRADE[Pt]*(MULTILANE_HIGHWAY_SPECIAL_GRADE[ET]-1))+(MULTILANE_HIGHWAY_SPECIAL_GRADE[PRv]*(MULTILANE_HIGHWAY_SPECIAL_GRADE[ER]-1)))</f>
        <v>0.42600370819907496</v>
      </c>
      <c r="BD37" s="331">
        <f>MULTILANE_HIGHWAY_SPECIAL_GRADE[Vzão]/(MULTILANE_HIGHWAY_SPECIAL_GRADE[PHF]*MULTILANE_HIGHWAY_SPECIAL_GRADE[N]*MULTILANE_HIGHWAY_SPECIAL_GRADE[fHV_SG])</f>
        <v>1322.4116642290205</v>
      </c>
      <c r="BE37" s="422">
        <f>IF(MULTILANE_HIGHWAY_SPECIAL_GRADE[fLC]="Pista simples","-",MULTILANE_HIGHWAY_SPECIAL_GRADE[VP_SG]/MULTILANE_HIGHWAY_SPECIAL_GRADE[S])</f>
        <v>13.493996573765516</v>
      </c>
      <c r="BF37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</v>
      </c>
      <c r="BG37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37" s="308" t="str">
        <f>IF(MULTILANE_HIGHWAY_SPECIAL_GRADE[[#This Row],[LOS_vp3]]="F","F",VLOOKUP(MULTILANE_HIGHWAY_SPECIAL_GRADE[[#This Row],[LOS_vp3]],'HCM2000'!$R$655:$S$659,2))</f>
        <v>C</v>
      </c>
      <c r="BI37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37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37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37" s="440">
        <f>MULTILANE_HIGHWAY_SPECIAL_GRADE[VP_SG]</f>
        <v>1322.4116642290205</v>
      </c>
      <c r="BM37" s="440">
        <f>MULTILANE_HIGHWAY_SPECIAL_GRADE[D_SG]</f>
        <v>13.493996573765516</v>
      </c>
      <c r="BN37" s="440">
        <f>MULTILANE_HIGHWAY_SPECIAL_GRADE[S_SG]</f>
        <v>98</v>
      </c>
      <c r="CD37" s="416"/>
      <c r="CE37" s="416"/>
    </row>
    <row r="38" spans="2:83">
      <c r="B38" s="685">
        <v>25</v>
      </c>
      <c r="C38" s="686">
        <v>300</v>
      </c>
      <c r="D38" s="687" t="str">
        <f>"Dupla"</f>
        <v>Dupla</v>
      </c>
      <c r="E38" s="688">
        <v>4</v>
      </c>
      <c r="F38" s="689" t="s">
        <v>579</v>
      </c>
      <c r="G38" s="686">
        <v>2</v>
      </c>
      <c r="H38" s="689">
        <v>3.6</v>
      </c>
      <c r="I38" s="689">
        <v>3.6</v>
      </c>
      <c r="J38" s="689" t="s">
        <v>145</v>
      </c>
      <c r="K38" s="690"/>
      <c r="L38" s="544" t="s">
        <v>644</v>
      </c>
      <c r="M38" s="544" t="s">
        <v>654</v>
      </c>
      <c r="N38" s="22">
        <f>MULTILANE_HIGHWAY_SPECIAL_GRADE[Largura das Faixas]</f>
        <v>3.6</v>
      </c>
      <c r="O38" s="22">
        <f>MULTILANE_HIGHWAY_SPECIAL_GRADE[Largura Acost.]</f>
        <v>3.6</v>
      </c>
      <c r="P38" s="541">
        <v>11674.284618909027</v>
      </c>
      <c r="Q38" s="541">
        <v>7087.0790174546082</v>
      </c>
      <c r="R38" s="399">
        <f>MULTILANE_HIGHWAY_SPECIAL_GRADE[passeio]+MULTILANE_HIGHWAY_SPECIAL_GRADE[pesado]</f>
        <v>18761.363636363636</v>
      </c>
      <c r="S38" s="435">
        <f>MULTILANE_HIGHWAY_SPECIAL_GRADE[pesado]/MULTILANE_HIGHWAY_SPECIAL_GRADE[vdma]</f>
        <v>0.37774860904664176</v>
      </c>
      <c r="T38" s="547">
        <v>0.03</v>
      </c>
      <c r="U38" s="547">
        <f>0.12</f>
        <v>0.12</v>
      </c>
      <c r="V38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2251.363636363636</v>
      </c>
      <c r="W38" s="691">
        <v>0.55000000000000004</v>
      </c>
      <c r="X38" s="264">
        <f>MULTILANE_HIGHWAY_SPECIAL_GRADE[veic/h]*MULTILANE_HIGHWAY_SPECIAL_GRADE[distrib. direc.]</f>
        <v>1238.25</v>
      </c>
      <c r="Y38" s="552">
        <v>2</v>
      </c>
      <c r="Z38" s="525">
        <f>0</f>
        <v>0</v>
      </c>
      <c r="AA38" s="544">
        <v>100</v>
      </c>
      <c r="AB38" s="547"/>
      <c r="AC38" s="551">
        <v>0.88</v>
      </c>
      <c r="AD38" s="332">
        <f>VLOOKUP(MULTILANE_HIGHWAY_SPECIAL_GRADE[faixa (m)],'HCM2000'!$B$541:$C$547,2,TRUE)</f>
        <v>0</v>
      </c>
      <c r="AE38" s="332">
        <f>IF(MULTILANE_HIGHWAY_SPECIAL_GRADE[acost (m)]&gt;0,1.8,1.2)</f>
        <v>1.8</v>
      </c>
      <c r="AF38" s="332">
        <f>IF(MULTILANE_HIGHWAY_SPECIAL_GRADE[Separador]=$AU$6,$AW$6,IF(MULTILANE_HIGHWAY_SPECIAL_GRADE[Separador]=$AU$7,$AW$7,$AW$8))</f>
        <v>1.8</v>
      </c>
      <c r="AG38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38" s="332">
        <f>IF(MULTILANE_HIGHWAY_SPECIAL_GRADE[Separador]="Sinalização horizontal",'HCM2000'!$C$590,'HCM2000'!$C$591)</f>
        <v>0</v>
      </c>
      <c r="AI38" s="332">
        <f>MIN((2/3)*MULTILANE_HIGHWAY_SPECIAL_GRADE[acessos/km],16)</f>
        <v>1.3333333333333333</v>
      </c>
      <c r="AJ38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38" s="332">
        <f>IF(MULTILANE_HIGHWAY_SPECIAL_GRADE[plano/ondulado]="Montanhoso",#REF!,VLOOKUP(MULTILANE_HIGHWAY_SPECIAL_GRADE[plano/ondulado],'HCM2000'!$B$606:$C$608,2,FALSE))</f>
        <v>1.5</v>
      </c>
      <c r="AL38" s="684">
        <f>IF(MULTILANE_HIGHWAY_SPECIAL_GRADE[[#This Row],[plano/ondulado]]="Montanhoso",#REF!,VLOOKUP(MULTILANE_HIGHWAY_SPECIAL_GRADE[[#This Row],[plano/ondulado]],'HCM2000'!$E$606:$F$608,2,FALSE))</f>
        <v>1.2</v>
      </c>
      <c r="AM38" s="433">
        <f>1/(1+(MULTILANE_HIGHWAY_SPECIAL_GRADE[Pt]*(MULTILANE_HIGHWAY_SPECIAL_GRADE[Et2]-1))+(MULTILANE_HIGHWAY_SPECIAL_GRADE[PRv]*(MULTILANE_HIGHWAY_SPECIAL_GRADE[Er2]-1)))</f>
        <v>0.83690811344289184</v>
      </c>
      <c r="AN38" s="329">
        <f>MULTILANE_HIGHWAY_SPECIAL_GRADE[[#This Row],[Número de Faixas]]+IF(MULTILANE_HIGHWAY_SPECIAL_GRADE[[#This Row],[Num. Faixas Marg.]]="-",0,MULTILANE_HIGHWAY_SPECIAL_GRADE[[#This Row],[Num. Faixas Marg.]])</f>
        <v>2</v>
      </c>
      <c r="AO38" s="329">
        <f>MULTILANE_HIGHWAY_SPECIAL_GRADE[[#This Row],[Vzão]]/(MULTILANE_HIGHWAY_SPECIAL_GRADE[[#This Row],[PHF]]*MULTILANE_HIGHWAY_SPECIAL_GRADE[[#This Row],[N]]*MULTILANE_HIGHWAY_SPECIAL_GRADE[[#This Row],[fHV]])</f>
        <v>840.65517475909223</v>
      </c>
      <c r="AP38" s="332">
        <f>IF(MULTILANE_HIGHWAY_SPECIAL_GRADE[fLC]="Pista simples","-",MULTILANE_HIGHWAY_SPECIAL_GRADE[vp3]/MULTILANE_HIGHWAY_SPECIAL_GRADE[S])</f>
        <v>8.520153798234043</v>
      </c>
      <c r="AQ38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38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38" s="308" t="str">
        <f>IF(MULTILANE_HIGHWAY_SPECIAL_GRADE[LOS_vp3]="F","F",VLOOKUP(MULTILANE_HIGHWAY_SPECIAL_GRADE[LOS_vp3],'HCM2000'!$R$655:$S$659,2))</f>
        <v>D</v>
      </c>
      <c r="AT38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4</v>
      </c>
      <c r="AU38" s="308" t="str">
        <f>IF(MULTILANE_HIGHWAY_SPECIAL_GRADE[[#This Row],[LOS_vp3]]="F","F",IF(MULTILANE_HIGHWAY_SPECIAL_GRADE[[#This Row],[fLC]]="Pista simples","-",VLOOKUP(MULTILANE_HIGHWAY_SPECIAL_GRADE[[#This Row],[LOS_D3]],'HCM2000'!$R$655:$S$659,2)))</f>
        <v>D</v>
      </c>
      <c r="AV38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38" s="22">
        <v>4.5</v>
      </c>
      <c r="AX38" s="22">
        <v>2.099999999999723</v>
      </c>
      <c r="AY38" s="22">
        <v>1.4999999999999991</v>
      </c>
      <c r="AZ38" s="22">
        <f>1.2</f>
        <v>1.2</v>
      </c>
      <c r="BA38" s="463">
        <f>IF(MULTILANE_HIGHWAY_SPECIAL_GRADE[Direction analysed ?]="up",MULTILANE_HIGHWAY_SPECIAL_GRADE[ET_UP],MULTILANE_HIGHWAY_SPECIAL_GRADE[ET_DOWN])</f>
        <v>4.5</v>
      </c>
      <c r="BB38" s="463">
        <f>IF(MULTILANE_HIGHWAY_SPECIAL_GRADE[Direction analysed ?]="up",MULTILANE_HIGHWAY_SPECIAL_GRADE[ER_UP],MULTILANE_HIGHWAY_SPECIAL_GRADE[ER_DOWN])</f>
        <v>2.099999999999723</v>
      </c>
      <c r="BC38" s="433">
        <f>1/(1+(MULTILANE_HIGHWAY_SPECIAL_GRADE[Pt]*(MULTILANE_HIGHWAY_SPECIAL_GRADE[ET]-1))+(MULTILANE_HIGHWAY_SPECIAL_GRADE[PRv]*(MULTILANE_HIGHWAY_SPECIAL_GRADE[ER]-1)))</f>
        <v>0.42460679035246413</v>
      </c>
      <c r="BD38" s="331">
        <f>MULTILANE_HIGHWAY_SPECIAL_GRADE[Vzão]/(MULTILANE_HIGHWAY_SPECIAL_GRADE[PHF]*MULTILANE_HIGHWAY_SPECIAL_GRADE[N]*MULTILANE_HIGHWAY_SPECIAL_GRADE[fHV_SG])</f>
        <v>1656.9474449045476</v>
      </c>
      <c r="BE38" s="422">
        <f>IF(MULTILANE_HIGHWAY_SPECIAL_GRADE[fLC]="Pista simples","-",MULTILANE_HIGHWAY_SPECIAL_GRADE[VP_SG]/MULTILANE_HIGHWAY_SPECIAL_GRADE[S])</f>
        <v>16.793386265924468</v>
      </c>
      <c r="BF38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95.976481619219498</v>
      </c>
      <c r="BG38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2</v>
      </c>
      <c r="BH38" s="308" t="str">
        <f>IF(MULTILANE_HIGHWAY_SPECIAL_GRADE[[#This Row],[LOS_vp3]]="F","F",VLOOKUP(MULTILANE_HIGHWAY_SPECIAL_GRADE[[#This Row],[LOS_vp3]],'HCM2000'!$R$655:$S$659,2))</f>
        <v>D</v>
      </c>
      <c r="BI38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2</v>
      </c>
      <c r="BJ38" s="308" t="str">
        <f>IF(MULTILANE_HIGHWAY_SPECIAL_GRADE[[#This Row],[LOS_vp3]]="F","F",IF(MULTILANE_HIGHWAY_SPECIAL_GRADE[[#This Row],[fLC]]="Pista simples","-",VLOOKUP(MULTILANE_HIGHWAY_SPECIAL_GRADE[[#This Row],[LOS_D3]],'HCM2000'!$R$655:$S$659,2)))</f>
        <v>D</v>
      </c>
      <c r="BK38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38" s="440">
        <f>MULTILANE_HIGHWAY_SPECIAL_GRADE[VP_SG]</f>
        <v>1656.9474449045476</v>
      </c>
      <c r="BM38" s="440">
        <f>MULTILANE_HIGHWAY_SPECIAL_GRADE[D_SG]</f>
        <v>16.793386265924468</v>
      </c>
      <c r="BN38" s="440">
        <f>MULTILANE_HIGHWAY_SPECIAL_GRADE[S_SG]</f>
        <v>95.976481619219498</v>
      </c>
      <c r="CD38" s="416"/>
      <c r="CE38" s="416"/>
    </row>
    <row r="39" spans="2:83">
      <c r="B39" s="685">
        <v>26</v>
      </c>
      <c r="C39" s="686">
        <v>300</v>
      </c>
      <c r="D39" s="687" t="str">
        <f>"Dupla"</f>
        <v>Dupla</v>
      </c>
      <c r="E39" s="688">
        <v>4</v>
      </c>
      <c r="F39" s="689" t="s">
        <v>579</v>
      </c>
      <c r="G39" s="686">
        <v>2</v>
      </c>
      <c r="H39" s="689">
        <v>3.6</v>
      </c>
      <c r="I39" s="689">
        <v>3.6</v>
      </c>
      <c r="J39" s="689" t="s">
        <v>145</v>
      </c>
      <c r="K39" s="690"/>
      <c r="L39" s="544" t="s">
        <v>644</v>
      </c>
      <c r="M39" s="544" t="s">
        <v>654</v>
      </c>
      <c r="N39" s="22">
        <f>MULTILANE_HIGHWAY_SPECIAL_GRADE[Largura das Faixas]</f>
        <v>3.6</v>
      </c>
      <c r="O39" s="22">
        <f>MULTILANE_HIGHWAY_SPECIAL_GRADE[Largura Acost.]</f>
        <v>3.6</v>
      </c>
      <c r="P39" s="541">
        <v>9749.6263108361982</v>
      </c>
      <c r="Q39" s="541">
        <v>5739.0100528001667</v>
      </c>
      <c r="R39" s="399">
        <f>MULTILANE_HIGHWAY_SPECIAL_GRADE[passeio]+MULTILANE_HIGHWAY_SPECIAL_GRADE[pesado]</f>
        <v>15488.636363636364</v>
      </c>
      <c r="S39" s="435">
        <f>MULTILANE_HIGHWAY_SPECIAL_GRADE[pesado]/MULTILANE_HIGHWAY_SPECIAL_GRADE[vdma]</f>
        <v>0.37053036291006214</v>
      </c>
      <c r="T39" s="547">
        <v>0.03</v>
      </c>
      <c r="U39" s="547">
        <f>0.12</f>
        <v>0.12</v>
      </c>
      <c r="V39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1858.6363636363635</v>
      </c>
      <c r="W39" s="691">
        <v>0.55000000000000004</v>
      </c>
      <c r="X39" s="264">
        <f>MULTILANE_HIGHWAY_SPECIAL_GRADE[veic/h]*MULTILANE_HIGHWAY_SPECIAL_GRADE[distrib. direc.]</f>
        <v>1022.25</v>
      </c>
      <c r="Y39" s="552">
        <v>2</v>
      </c>
      <c r="Z39" s="525">
        <f>0</f>
        <v>0</v>
      </c>
      <c r="AA39" s="544">
        <v>100</v>
      </c>
      <c r="AB39" s="547"/>
      <c r="AC39" s="551">
        <v>0.88</v>
      </c>
      <c r="AD39" s="332">
        <f>VLOOKUP(MULTILANE_HIGHWAY_SPECIAL_GRADE[faixa (m)],'HCM2000'!$B$541:$C$547,2,TRUE)</f>
        <v>0</v>
      </c>
      <c r="AE39" s="332">
        <f>IF(MULTILANE_HIGHWAY_SPECIAL_GRADE[acost (m)]&gt;0,1.8,1.2)</f>
        <v>1.8</v>
      </c>
      <c r="AF39" s="332">
        <f>IF(MULTILANE_HIGHWAY_SPECIAL_GRADE[Separador]=$AU$6,$AW$6,IF(MULTILANE_HIGHWAY_SPECIAL_GRADE[Separador]=$AU$7,$AW$7,$AW$8))</f>
        <v>1.8</v>
      </c>
      <c r="AG39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39" s="332">
        <f>IF(MULTILANE_HIGHWAY_SPECIAL_GRADE[Separador]="Sinalização horizontal",'HCM2000'!$C$590,'HCM2000'!$C$591)</f>
        <v>0</v>
      </c>
      <c r="AI39" s="332">
        <f>MIN((2/3)*MULTILANE_HIGHWAY_SPECIAL_GRADE[acessos/km],16)</f>
        <v>1.3333333333333333</v>
      </c>
      <c r="AJ39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39" s="332">
        <f>IF(MULTILANE_HIGHWAY_SPECIAL_GRADE[plano/ondulado]="Montanhoso",#REF!,VLOOKUP(MULTILANE_HIGHWAY_SPECIAL_GRADE[plano/ondulado],'HCM2000'!$B$606:$C$608,2,FALSE))</f>
        <v>1.5</v>
      </c>
      <c r="AL39" s="684">
        <f>IF(MULTILANE_HIGHWAY_SPECIAL_GRADE[[#This Row],[plano/ondulado]]="Montanhoso",#REF!,VLOOKUP(MULTILANE_HIGHWAY_SPECIAL_GRADE[[#This Row],[plano/ondulado]],'HCM2000'!$E$606:$F$608,2,FALSE))</f>
        <v>1.2</v>
      </c>
      <c r="AM39" s="433">
        <f>1/(1+(MULTILANE_HIGHWAY_SPECIAL_GRADE[Pt]*(MULTILANE_HIGHWAY_SPECIAL_GRADE[Et2]-1))+(MULTILANE_HIGHWAY_SPECIAL_GRADE[PRv]*(MULTILANE_HIGHWAY_SPECIAL_GRADE[Er2]-1)))</f>
        <v>0.83944365668321086</v>
      </c>
      <c r="AN39" s="329">
        <f>MULTILANE_HIGHWAY_SPECIAL_GRADE[[#This Row],[Número de Faixas]]+IF(MULTILANE_HIGHWAY_SPECIAL_GRADE[[#This Row],[Num. Faixas Marg.]]="-",0,MULTILANE_HIGHWAY_SPECIAL_GRADE[[#This Row],[Num. Faixas Marg.]])</f>
        <v>2</v>
      </c>
      <c r="AO39" s="329">
        <f>MULTILANE_HIGHWAY_SPECIAL_GRADE[[#This Row],[Vzão]]/(MULTILANE_HIGHWAY_SPECIAL_GRADE[[#This Row],[PHF]]*MULTILANE_HIGHWAY_SPECIAL_GRADE[[#This Row],[N]]*MULTILANE_HIGHWAY_SPECIAL_GRADE[[#This Row],[fHV]])</f>
        <v>691.91524530818492</v>
      </c>
      <c r="AP39" s="332">
        <f>IF(MULTILANE_HIGHWAY_SPECIAL_GRADE[fLC]="Pista simples","-",MULTILANE_HIGHWAY_SPECIAL_GRADE[vp3]/MULTILANE_HIGHWAY_SPECIAL_GRADE[S])</f>
        <v>7.0126545132586307</v>
      </c>
      <c r="AQ39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39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39" s="308" t="str">
        <f>IF(MULTILANE_HIGHWAY_SPECIAL_GRADE[LOS_vp3]="F","F",VLOOKUP(MULTILANE_HIGHWAY_SPECIAL_GRADE[LOS_vp3],'HCM2000'!$R$655:$S$659,2))</f>
        <v>C</v>
      </c>
      <c r="AT39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4</v>
      </c>
      <c r="AU39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39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39" s="22">
        <v>4.5</v>
      </c>
      <c r="AX39" s="22">
        <v>2.0999999999997252</v>
      </c>
      <c r="AY39" s="22">
        <v>1.4999999999999991</v>
      </c>
      <c r="AZ39" s="22">
        <f>1.2</f>
        <v>1.2</v>
      </c>
      <c r="BA39" s="463">
        <f>IF(MULTILANE_HIGHWAY_SPECIAL_GRADE[Direction analysed ?]="up",MULTILANE_HIGHWAY_SPECIAL_GRADE[ET_UP],MULTILANE_HIGHWAY_SPECIAL_GRADE[ET_DOWN])</f>
        <v>4.5</v>
      </c>
      <c r="BB39" s="463">
        <f>IF(MULTILANE_HIGHWAY_SPECIAL_GRADE[Direction analysed ?]="up",MULTILANE_HIGHWAY_SPECIAL_GRADE[ER_UP],MULTILANE_HIGHWAY_SPECIAL_GRADE[ER_DOWN])</f>
        <v>2.0999999999997252</v>
      </c>
      <c r="BC39" s="433">
        <f>1/(1+(MULTILANE_HIGHWAY_SPECIAL_GRADE[Pt]*(MULTILANE_HIGHWAY_SPECIAL_GRADE[ET]-1))+(MULTILANE_HIGHWAY_SPECIAL_GRADE[PRv]*(MULTILANE_HIGHWAY_SPECIAL_GRADE[ER]-1)))</f>
        <v>0.42921102593187266</v>
      </c>
      <c r="BD39" s="331">
        <f>MULTILANE_HIGHWAY_SPECIAL_GRADE[Vzão]/(MULTILANE_HIGHWAY_SPECIAL_GRADE[PHF]*MULTILANE_HIGHWAY_SPECIAL_GRADE[N]*MULTILANE_HIGHWAY_SPECIAL_GRADE[fHV_SG])</f>
        <v>1353.2361205663808</v>
      </c>
      <c r="BE39" s="422">
        <f>IF(MULTILANE_HIGHWAY_SPECIAL_GRADE[fLC]="Pista simples","-",MULTILANE_HIGHWAY_SPECIAL_GRADE[VP_SG]/MULTILANE_HIGHWAY_SPECIAL_GRADE[S])</f>
        <v>13.715230951686291</v>
      </c>
      <c r="BF39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98.666666666666671</v>
      </c>
      <c r="BG39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39" s="308" t="str">
        <f>IF(MULTILANE_HIGHWAY_SPECIAL_GRADE[[#This Row],[LOS_vp3]]="F","F",VLOOKUP(MULTILANE_HIGHWAY_SPECIAL_GRADE[[#This Row],[LOS_vp3]],'HCM2000'!$R$655:$S$659,2))</f>
        <v>C</v>
      </c>
      <c r="BI39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39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39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39" s="440">
        <f>MULTILANE_HIGHWAY_SPECIAL_GRADE[VP_SG]</f>
        <v>1353.2361205663808</v>
      </c>
      <c r="BM39" s="440">
        <f>MULTILANE_HIGHWAY_SPECIAL_GRADE[D_SG]</f>
        <v>13.715230951686291</v>
      </c>
      <c r="BN39" s="440">
        <f>MULTILANE_HIGHWAY_SPECIAL_GRADE[S_SG]</f>
        <v>98.666666666666671</v>
      </c>
      <c r="CD39" s="416"/>
      <c r="CE39" s="416"/>
    </row>
    <row r="40" spans="2:83">
      <c r="B40" s="685">
        <v>27</v>
      </c>
      <c r="C40" s="686">
        <v>300</v>
      </c>
      <c r="D40" s="687" t="str">
        <f>"Dupla"</f>
        <v>Dupla</v>
      </c>
      <c r="E40" s="688">
        <v>4</v>
      </c>
      <c r="F40" s="689" t="s">
        <v>579</v>
      </c>
      <c r="G40" s="686">
        <v>2</v>
      </c>
      <c r="H40" s="689">
        <v>3.6</v>
      </c>
      <c r="I40" s="689">
        <v>3.6</v>
      </c>
      <c r="J40" s="689" t="s">
        <v>145</v>
      </c>
      <c r="K40" s="690"/>
      <c r="L40" s="544" t="s">
        <v>644</v>
      </c>
      <c r="M40" s="544" t="s">
        <v>381</v>
      </c>
      <c r="N40" s="22">
        <f>MULTILANE_HIGHWAY_SPECIAL_GRADE[Largura das Faixas]</f>
        <v>3.6</v>
      </c>
      <c r="O40" s="22">
        <f>MULTILANE_HIGHWAY_SPECIAL_GRADE[Largura Acost.]</f>
        <v>3.6</v>
      </c>
      <c r="P40" s="541">
        <v>6593.388795930482</v>
      </c>
      <c r="Q40" s="541">
        <v>5508.883931342245</v>
      </c>
      <c r="R40" s="399">
        <f>MULTILANE_HIGHWAY_SPECIAL_GRADE[passeio]+MULTILANE_HIGHWAY_SPECIAL_GRADE[pesado]</f>
        <v>12102.272727272728</v>
      </c>
      <c r="S40" s="435">
        <f>MULTILANE_HIGHWAY_SPECIAL_GRADE[pesado]/MULTILANE_HIGHWAY_SPECIAL_GRADE[vdma]</f>
        <v>0.45519416521888972</v>
      </c>
      <c r="T40" s="547">
        <v>0.03</v>
      </c>
      <c r="U40" s="547">
        <f>0.12</f>
        <v>0.12</v>
      </c>
      <c r="V40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1452.2727272727273</v>
      </c>
      <c r="W40" s="691">
        <v>0.55000000000000004</v>
      </c>
      <c r="X40" s="264">
        <f>MULTILANE_HIGHWAY_SPECIAL_GRADE[veic/h]*MULTILANE_HIGHWAY_SPECIAL_GRADE[distrib. direc.]</f>
        <v>798.75</v>
      </c>
      <c r="Y40" s="552">
        <v>3</v>
      </c>
      <c r="Z40" s="525">
        <f>0</f>
        <v>0</v>
      </c>
      <c r="AA40" s="544">
        <v>100</v>
      </c>
      <c r="AB40" s="547"/>
      <c r="AC40" s="551">
        <v>0.88</v>
      </c>
      <c r="AD40" s="332">
        <f>VLOOKUP(MULTILANE_HIGHWAY_SPECIAL_GRADE[faixa (m)],'HCM2000'!$B$541:$C$547,2,TRUE)</f>
        <v>0</v>
      </c>
      <c r="AE40" s="332">
        <f>IF(MULTILANE_HIGHWAY_SPECIAL_GRADE[acost (m)]&gt;0,1.8,1.2)</f>
        <v>1.8</v>
      </c>
      <c r="AF40" s="332">
        <f>IF(MULTILANE_HIGHWAY_SPECIAL_GRADE[Separador]=$AU$6,$AW$6,IF(MULTILANE_HIGHWAY_SPECIAL_GRADE[Separador]=$AU$7,$AW$7,$AW$8))</f>
        <v>1.8</v>
      </c>
      <c r="AG40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40" s="332">
        <f>IF(MULTILANE_HIGHWAY_SPECIAL_GRADE[Separador]="Sinalização horizontal",'HCM2000'!$C$590,'HCM2000'!$C$591)</f>
        <v>0</v>
      </c>
      <c r="AI40" s="332">
        <f>MIN((2/3)*MULTILANE_HIGHWAY_SPECIAL_GRADE[acessos/km],16)</f>
        <v>2</v>
      </c>
      <c r="AJ40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</v>
      </c>
      <c r="AK40" s="332">
        <f>IF(MULTILANE_HIGHWAY_SPECIAL_GRADE[plano/ondulado]="Montanhoso",#REF!,VLOOKUP(MULTILANE_HIGHWAY_SPECIAL_GRADE[plano/ondulado],'HCM2000'!$B$606:$C$608,2,FALSE))</f>
        <v>2.5</v>
      </c>
      <c r="AL40" s="684">
        <f>IF(MULTILANE_HIGHWAY_SPECIAL_GRADE[[#This Row],[plano/ondulado]]="Montanhoso",#REF!,VLOOKUP(MULTILANE_HIGHWAY_SPECIAL_GRADE[[#This Row],[plano/ondulado]],'HCM2000'!$E$606:$F$608,2,FALSE))</f>
        <v>2</v>
      </c>
      <c r="AM40" s="433">
        <f>1/(1+(MULTILANE_HIGHWAY_SPECIAL_GRADE[Pt]*(MULTILANE_HIGHWAY_SPECIAL_GRADE[Et2]-1))+(MULTILANE_HIGHWAY_SPECIAL_GRADE[PRv]*(MULTILANE_HIGHWAY_SPECIAL_GRADE[Er2]-1)))</f>
        <v>0.58384231077074344</v>
      </c>
      <c r="AN40" s="329">
        <f>MULTILANE_HIGHWAY_SPECIAL_GRADE[[#This Row],[Número de Faixas]]+IF(MULTILANE_HIGHWAY_SPECIAL_GRADE[[#This Row],[Num. Faixas Marg.]]="-",0,MULTILANE_HIGHWAY_SPECIAL_GRADE[[#This Row],[Num. Faixas Marg.]])</f>
        <v>2</v>
      </c>
      <c r="AO40" s="329">
        <f>MULTILANE_HIGHWAY_SPECIAL_GRADE[[#This Row],[Vzão]]/(MULTILANE_HIGHWAY_SPECIAL_GRADE[[#This Row],[PHF]]*MULTILANE_HIGHWAY_SPECIAL_GRADE[[#This Row],[N]]*MULTILANE_HIGHWAY_SPECIAL_GRADE[[#This Row],[fHV]])</f>
        <v>777.32500522891041</v>
      </c>
      <c r="AP40" s="332">
        <f>IF(MULTILANE_HIGHWAY_SPECIAL_GRADE[fLC]="Pista simples","-",MULTILANE_HIGHWAY_SPECIAL_GRADE[vp3]/MULTILANE_HIGHWAY_SPECIAL_GRADE[S])</f>
        <v>7.9318878084582698</v>
      </c>
      <c r="AQ40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</v>
      </c>
      <c r="AR40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40" s="308" t="str">
        <f>IF(MULTILANE_HIGHWAY_SPECIAL_GRADE[LOS_vp3]="F","F",VLOOKUP(MULTILANE_HIGHWAY_SPECIAL_GRADE[LOS_vp3],'HCM2000'!$R$655:$S$659,2))</f>
        <v>C</v>
      </c>
      <c r="AT40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4</v>
      </c>
      <c r="AU40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40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40" s="22">
        <v>4.5</v>
      </c>
      <c r="AX40" s="22">
        <v>2.0999999999997025</v>
      </c>
      <c r="AY40" s="22">
        <v>1.4999999999999991</v>
      </c>
      <c r="AZ40" s="22">
        <f>1.2</f>
        <v>1.2</v>
      </c>
      <c r="BA40" s="463">
        <f>IF(MULTILANE_HIGHWAY_SPECIAL_GRADE[Direction analysed ?]="up",MULTILANE_HIGHWAY_SPECIAL_GRADE[ET_UP],MULTILANE_HIGHWAY_SPECIAL_GRADE[ET_DOWN])</f>
        <v>4.5</v>
      </c>
      <c r="BB40" s="463">
        <f>IF(MULTILANE_HIGHWAY_SPECIAL_GRADE[Direction analysed ?]="up",MULTILANE_HIGHWAY_SPECIAL_GRADE[ER_UP],MULTILANE_HIGHWAY_SPECIAL_GRADE[ER_DOWN])</f>
        <v>2.0999999999997025</v>
      </c>
      <c r="BC40" s="433">
        <f>1/(1+(MULTILANE_HIGHWAY_SPECIAL_GRADE[Pt]*(MULTILANE_HIGHWAY_SPECIAL_GRADE[ET]-1))+(MULTILANE_HIGHWAY_SPECIAL_GRADE[PRv]*(MULTILANE_HIGHWAY_SPECIAL_GRADE[ER]-1)))</f>
        <v>0.38078127188097116</v>
      </c>
      <c r="BD40" s="331">
        <f>MULTILANE_HIGHWAY_SPECIAL_GRADE[Vzão]/(MULTILANE_HIGHWAY_SPECIAL_GRADE[PHF]*MULTILANE_HIGHWAY_SPECIAL_GRADE[N]*MULTILANE_HIGHWAY_SPECIAL_GRADE[fHV_SG])</f>
        <v>1191.8528057613928</v>
      </c>
      <c r="BE40" s="422">
        <f>IF(MULTILANE_HIGHWAY_SPECIAL_GRADE[fLC]="Pista simples","-",MULTILANE_HIGHWAY_SPECIAL_GRADE[VP_SG]/MULTILANE_HIGHWAY_SPECIAL_GRADE[S])</f>
        <v>12.161763324095844</v>
      </c>
      <c r="BF40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</v>
      </c>
      <c r="BG40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40" s="308" t="str">
        <f>IF(MULTILANE_HIGHWAY_SPECIAL_GRADE[[#This Row],[LOS_vp3]]="F","F",VLOOKUP(MULTILANE_HIGHWAY_SPECIAL_GRADE[[#This Row],[LOS_vp3]],'HCM2000'!$R$655:$S$659,2))</f>
        <v>C</v>
      </c>
      <c r="BI40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40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40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40" s="440">
        <f>MULTILANE_HIGHWAY_SPECIAL_GRADE[VP_SG]</f>
        <v>1191.8528057613928</v>
      </c>
      <c r="BM40" s="440">
        <f>MULTILANE_HIGHWAY_SPECIAL_GRADE[D_SG]</f>
        <v>12.161763324095844</v>
      </c>
      <c r="BN40" s="440">
        <f>MULTILANE_HIGHWAY_SPECIAL_GRADE[S_SG]</f>
        <v>98</v>
      </c>
      <c r="CD40" s="416"/>
      <c r="CE40" s="416"/>
    </row>
    <row r="41" spans="2:83">
      <c r="B41" s="685">
        <v>28</v>
      </c>
      <c r="C41" s="686">
        <v>300</v>
      </c>
      <c r="D41" s="687" t="str">
        <f>"Dupla"</f>
        <v>Dupla</v>
      </c>
      <c r="E41" s="688">
        <v>4</v>
      </c>
      <c r="F41" s="689" t="s">
        <v>579</v>
      </c>
      <c r="G41" s="686">
        <v>2</v>
      </c>
      <c r="H41" s="689">
        <v>3.6</v>
      </c>
      <c r="I41" s="689">
        <v>3.6</v>
      </c>
      <c r="J41" s="689" t="s">
        <v>145</v>
      </c>
      <c r="K41" s="690"/>
      <c r="L41" s="544" t="s">
        <v>644</v>
      </c>
      <c r="M41" s="544" t="s">
        <v>381</v>
      </c>
      <c r="N41" s="22">
        <f>MULTILANE_HIGHWAY_SPECIAL_GRADE[Largura das Faixas]</f>
        <v>3.6</v>
      </c>
      <c r="O41" s="22">
        <f>MULTILANE_HIGHWAY_SPECIAL_GRADE[Largura Acost.]</f>
        <v>3.6</v>
      </c>
      <c r="P41" s="541">
        <v>13102.500925196073</v>
      </c>
      <c r="Q41" s="541">
        <v>6261.1354384402903</v>
      </c>
      <c r="R41" s="399">
        <f>MULTILANE_HIGHWAY_SPECIAL_GRADE[passeio]+MULTILANE_HIGHWAY_SPECIAL_GRADE[pesado]</f>
        <v>19363.636363636364</v>
      </c>
      <c r="S41" s="435">
        <f>MULTILANE_HIGHWAY_SPECIAL_GRADE[pesado]/MULTILANE_HIGHWAY_SPECIAL_GRADE[vdma]</f>
        <v>0.32334502264245629</v>
      </c>
      <c r="T41" s="547">
        <v>0.03</v>
      </c>
      <c r="U41" s="547">
        <f>0.12</f>
        <v>0.12</v>
      </c>
      <c r="V41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2323.6363636363635</v>
      </c>
      <c r="W41" s="691">
        <v>0.55000000000000004</v>
      </c>
      <c r="X41" s="264">
        <f>MULTILANE_HIGHWAY_SPECIAL_GRADE[veic/h]*MULTILANE_HIGHWAY_SPECIAL_GRADE[distrib. direc.]</f>
        <v>1278</v>
      </c>
      <c r="Y41" s="552">
        <v>2</v>
      </c>
      <c r="Z41" s="525">
        <f>0</f>
        <v>0</v>
      </c>
      <c r="AA41" s="544">
        <v>100</v>
      </c>
      <c r="AB41" s="547"/>
      <c r="AC41" s="551">
        <v>0.88</v>
      </c>
      <c r="AD41" s="332">
        <f>VLOOKUP(MULTILANE_HIGHWAY_SPECIAL_GRADE[faixa (m)],'HCM2000'!$B$541:$C$547,2,TRUE)</f>
        <v>0</v>
      </c>
      <c r="AE41" s="332">
        <f>IF(MULTILANE_HIGHWAY_SPECIAL_GRADE[acost (m)]&gt;0,1.8,1.2)</f>
        <v>1.8</v>
      </c>
      <c r="AF41" s="332">
        <f>IF(MULTILANE_HIGHWAY_SPECIAL_GRADE[Separador]=$AU$6,$AW$6,IF(MULTILANE_HIGHWAY_SPECIAL_GRADE[Separador]=$AU$7,$AW$7,$AW$8))</f>
        <v>1.8</v>
      </c>
      <c r="AG41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41" s="332">
        <f>IF(MULTILANE_HIGHWAY_SPECIAL_GRADE[Separador]="Sinalização horizontal",'HCM2000'!$C$590,'HCM2000'!$C$591)</f>
        <v>0</v>
      </c>
      <c r="AI41" s="332">
        <f>MIN((2/3)*MULTILANE_HIGHWAY_SPECIAL_GRADE[acessos/km],16)</f>
        <v>1.3333333333333333</v>
      </c>
      <c r="AJ41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41" s="332">
        <f>IF(MULTILANE_HIGHWAY_SPECIAL_GRADE[plano/ondulado]="Montanhoso",#REF!,VLOOKUP(MULTILANE_HIGHWAY_SPECIAL_GRADE[plano/ondulado],'HCM2000'!$B$606:$C$608,2,FALSE))</f>
        <v>2.5</v>
      </c>
      <c r="AL41" s="684">
        <f>IF(MULTILANE_HIGHWAY_SPECIAL_GRADE[[#This Row],[plano/ondulado]]="Montanhoso",#REF!,VLOOKUP(MULTILANE_HIGHWAY_SPECIAL_GRADE[[#This Row],[plano/ondulado]],'HCM2000'!$E$606:$F$608,2,FALSE))</f>
        <v>2</v>
      </c>
      <c r="AM41" s="433">
        <f>1/(1+(MULTILANE_HIGHWAY_SPECIAL_GRADE[Pt]*(MULTILANE_HIGHWAY_SPECIAL_GRADE[Et2]-1))+(MULTILANE_HIGHWAY_SPECIAL_GRADE[PRv]*(MULTILANE_HIGHWAY_SPECIAL_GRADE[Er2]-1)))</f>
        <v>0.66005836736670431</v>
      </c>
      <c r="AN41" s="329">
        <f>MULTILANE_HIGHWAY_SPECIAL_GRADE[[#This Row],[Número de Faixas]]+IF(MULTILANE_HIGHWAY_SPECIAL_GRADE[[#This Row],[Num. Faixas Marg.]]="-",0,MULTILANE_HIGHWAY_SPECIAL_GRADE[[#This Row],[Num. Faixas Marg.]])</f>
        <v>2</v>
      </c>
      <c r="AO41" s="329">
        <f>MULTILANE_HIGHWAY_SPECIAL_GRADE[[#This Row],[Vzão]]/(MULTILANE_HIGHWAY_SPECIAL_GRADE[[#This Row],[PHF]]*MULTILANE_HIGHWAY_SPECIAL_GRADE[[#This Row],[N]]*MULTILANE_HIGHWAY_SPECIAL_GRADE[[#This Row],[fHV]])</f>
        <v>1100.1093229577207</v>
      </c>
      <c r="AP41" s="332">
        <f>IF(MULTILANE_HIGHWAY_SPECIAL_GRADE[fLC]="Pista simples","-",MULTILANE_HIGHWAY_SPECIAL_GRADE[vp3]/MULTILANE_HIGHWAY_SPECIAL_GRADE[S])</f>
        <v>11.149756651598519</v>
      </c>
      <c r="AQ41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41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3</v>
      </c>
      <c r="AS41" s="308" t="str">
        <f>IF(MULTILANE_HIGHWAY_SPECIAL_GRADE[LOS_vp3]="F","F",VLOOKUP(MULTILANE_HIGHWAY_SPECIAL_GRADE[LOS_vp3],'HCM2000'!$R$655:$S$659,2))</f>
        <v>D</v>
      </c>
      <c r="AT41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3</v>
      </c>
      <c r="AU41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41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41" s="22">
        <v>4.5</v>
      </c>
      <c r="AX41" s="22">
        <v>2.0999999999997376</v>
      </c>
      <c r="AY41" s="22">
        <v>1.4999999999999991</v>
      </c>
      <c r="AZ41" s="22">
        <f>1.2</f>
        <v>1.2</v>
      </c>
      <c r="BA41" s="463">
        <f>IF(MULTILANE_HIGHWAY_SPECIAL_GRADE[Direction analysed ?]="up",MULTILANE_HIGHWAY_SPECIAL_GRADE[ET_UP],MULTILANE_HIGHWAY_SPECIAL_GRADE[ET_DOWN])</f>
        <v>4.5</v>
      </c>
      <c r="BB41" s="463">
        <f>IF(MULTILANE_HIGHWAY_SPECIAL_GRADE[Direction analysed ?]="up",MULTILANE_HIGHWAY_SPECIAL_GRADE[ER_UP],MULTILANE_HIGHWAY_SPECIAL_GRADE[ER_DOWN])</f>
        <v>2.0999999999997376</v>
      </c>
      <c r="BC41" s="433">
        <f>1/(1+(MULTILANE_HIGHWAY_SPECIAL_GRADE[Pt]*(MULTILANE_HIGHWAY_SPECIAL_GRADE[ET]-1))+(MULTILANE_HIGHWAY_SPECIAL_GRADE[PRv]*(MULTILANE_HIGHWAY_SPECIAL_GRADE[ER]-1)))</f>
        <v>0.46195615961538739</v>
      </c>
      <c r="BD41" s="331">
        <f>MULTILANE_HIGHWAY_SPECIAL_GRADE[Vzão]/(MULTILANE_HIGHWAY_SPECIAL_GRADE[PHF]*MULTILANE_HIGHWAY_SPECIAL_GRADE[N]*MULTILANE_HIGHWAY_SPECIAL_GRADE[fHV_SG])</f>
        <v>1571.8728899316459</v>
      </c>
      <c r="BE41" s="422">
        <f>IF(MULTILANE_HIGHWAY_SPECIAL_GRADE[fLC]="Pista simples","-",MULTILANE_HIGHWAY_SPECIAL_GRADE[VP_SG]/MULTILANE_HIGHWAY_SPECIAL_GRADE[S])</f>
        <v>15.931144154712626</v>
      </c>
      <c r="BF41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97.078091445613367</v>
      </c>
      <c r="BG41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2</v>
      </c>
      <c r="BH41" s="308" t="str">
        <f>IF(MULTILANE_HIGHWAY_SPECIAL_GRADE[[#This Row],[LOS_vp3]]="F","F",VLOOKUP(MULTILANE_HIGHWAY_SPECIAL_GRADE[[#This Row],[LOS_vp3]],'HCM2000'!$R$655:$S$659,2))</f>
        <v>D</v>
      </c>
      <c r="BI41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41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41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41" s="440">
        <f>MULTILANE_HIGHWAY_SPECIAL_GRADE[VP_SG]</f>
        <v>1571.8728899316459</v>
      </c>
      <c r="BM41" s="440">
        <f>MULTILANE_HIGHWAY_SPECIAL_GRADE[D_SG]</f>
        <v>15.931144154712626</v>
      </c>
      <c r="BN41" s="440">
        <f>MULTILANE_HIGHWAY_SPECIAL_GRADE[S_SG]</f>
        <v>97.078091445613367</v>
      </c>
      <c r="CD41" s="416"/>
      <c r="CE41" s="416"/>
    </row>
    <row r="42" spans="2:83">
      <c r="B42" s="685">
        <v>29</v>
      </c>
      <c r="C42" s="686">
        <v>300</v>
      </c>
      <c r="D42" s="687" t="str">
        <f>"Dupla"</f>
        <v>Dupla</v>
      </c>
      <c r="E42" s="688">
        <v>4</v>
      </c>
      <c r="F42" s="689" t="s">
        <v>579</v>
      </c>
      <c r="G42" s="686">
        <v>3</v>
      </c>
      <c r="H42" s="689">
        <v>3.6</v>
      </c>
      <c r="I42" s="689">
        <v>3.6</v>
      </c>
      <c r="J42" s="689" t="s">
        <v>145</v>
      </c>
      <c r="K42" s="690"/>
      <c r="L42" s="544" t="s">
        <v>644</v>
      </c>
      <c r="M42" s="544" t="s">
        <v>381</v>
      </c>
      <c r="N42" s="22">
        <f>MULTILANE_HIGHWAY_SPECIAL_GRADE[Largura das Faixas]</f>
        <v>3.6</v>
      </c>
      <c r="O42" s="22">
        <f>MULTILANE_HIGHWAY_SPECIAL_GRADE[Largura Acost.]</f>
        <v>3.6</v>
      </c>
      <c r="P42" s="541">
        <v>24695.302987492425</v>
      </c>
      <c r="Q42" s="541">
        <v>4191.0606488712147</v>
      </c>
      <c r="R42" s="399">
        <f>MULTILANE_HIGHWAY_SPECIAL_GRADE[passeio]+MULTILANE_HIGHWAY_SPECIAL_GRADE[pesado]</f>
        <v>28886.36363636364</v>
      </c>
      <c r="S42" s="435">
        <f>MULTILANE_HIGHWAY_SPECIAL_GRADE[pesado]/MULTILANE_HIGHWAY_SPECIAL_GRADE[vdma]</f>
        <v>0.14508785881222142</v>
      </c>
      <c r="T42" s="547">
        <v>0.03</v>
      </c>
      <c r="U42" s="547">
        <f>0.12</f>
        <v>0.12</v>
      </c>
      <c r="V42" s="400">
        <f>IF(MULTILANE_HIGHWAY_SPECIAL_GRADE[[#This Row],[Pista]]="Pista Simples",MULTILANE_HIGHWAY_SPECIAL_GRADE[[#This Row],[vdma]]*MULTILANE_HIGHWAY_SPECIAL_GRADE[[#This Row],[fatK]],MULTILANE_HIGHWAY_SPECIAL_GRADE[[#This Row],[vdma]]*MULTILANE_HIGHWAY_SPECIAL_GRADE[[#This Row],[fatK]])</f>
        <v>3466.3636363636365</v>
      </c>
      <c r="W42" s="691">
        <v>0.55000000000000004</v>
      </c>
      <c r="X42" s="264">
        <f>MULTILANE_HIGHWAY_SPECIAL_GRADE[veic/h]*MULTILANE_HIGHWAY_SPECIAL_GRADE[distrib. direc.]</f>
        <v>1906.5000000000002</v>
      </c>
      <c r="Y42" s="552">
        <v>2</v>
      </c>
      <c r="Z42" s="525">
        <f>0</f>
        <v>0</v>
      </c>
      <c r="AA42" s="544">
        <v>100</v>
      </c>
      <c r="AB42" s="547"/>
      <c r="AC42" s="551">
        <v>0.88</v>
      </c>
      <c r="AD42" s="332">
        <f>VLOOKUP(MULTILANE_HIGHWAY_SPECIAL_GRADE[faixa (m)],'HCM2000'!$B$541:$C$547,2,TRUE)</f>
        <v>0</v>
      </c>
      <c r="AE42" s="332">
        <f>IF(MULTILANE_HIGHWAY_SPECIAL_GRADE[acost (m)]&gt;0,1.8,1.2)</f>
        <v>1.8</v>
      </c>
      <c r="AF42" s="332">
        <f>IF(MULTILANE_HIGHWAY_SPECIAL_GRADE[Separador]=$AU$6,$AW$6,IF(MULTILANE_HIGHWAY_SPECIAL_GRADE[Separador]=$AU$7,$AW$7,$AW$8))</f>
        <v>1.8</v>
      </c>
      <c r="AG42" s="332">
        <f>IF(MULTILANE_HIGHWAY_SPECIAL_GRADE[Número de Faixas]=2,VLOOKUP(MULTILANE_HIGHWAY_SPECIAL_GRADE[Lcr]+MULTILANE_HIGHWAY_SPECIAL_GRADE[Lcl],'HCM2000'!$B$551:$D$587,2,FALSE),IF(MULTILANE_HIGHWAY_SPECIAL_GRADE[Número de Faixas]&gt;=3,VLOOKUP(MULTILANE_HIGHWAY_SPECIAL_GRADE[Lcr]+MULTILANE_HIGHWAY_SPECIAL_GRADE[Lcl],'HCM2000'!$B$551:$D$587,3,FALSE),"Pista simples"))</f>
        <v>0</v>
      </c>
      <c r="AH42" s="332">
        <f>IF(MULTILANE_HIGHWAY_SPECIAL_GRADE[Separador]="Sinalização horizontal",'HCM2000'!$C$590,'HCM2000'!$C$591)</f>
        <v>0</v>
      </c>
      <c r="AI42" s="332">
        <f>MIN((2/3)*MULTILANE_HIGHWAY_SPECIAL_GRADE[acessos/km],16)</f>
        <v>1.3333333333333333</v>
      </c>
      <c r="AJ42" s="332">
        <f>IF(MULTILANE_HIGHWAY_SPECIAL_GRADE[fLC]="Pista simples","-",MULTILANE_HIGHWAY_SPECIAL_GRADE[BFFS]-MULTILANE_HIGHWAY_SPECIAL_GRADE[fLW]-MULTILANE_HIGHWAY_SPECIAL_GRADE[fLC]-MULTILANE_HIGHWAY_SPECIAL_GRADE[fM]-MULTILANE_HIGHWAY_SPECIAL_GRADE[fA2])</f>
        <v>98.666666666666671</v>
      </c>
      <c r="AK42" s="332">
        <f>IF(MULTILANE_HIGHWAY_SPECIAL_GRADE[plano/ondulado]="Montanhoso",#REF!,VLOOKUP(MULTILANE_HIGHWAY_SPECIAL_GRADE[plano/ondulado],'HCM2000'!$B$606:$C$608,2,FALSE))</f>
        <v>2.5</v>
      </c>
      <c r="AL42" s="684">
        <f>IF(MULTILANE_HIGHWAY_SPECIAL_GRADE[[#This Row],[plano/ondulado]]="Montanhoso",#REF!,VLOOKUP(MULTILANE_HIGHWAY_SPECIAL_GRADE[[#This Row],[plano/ondulado]],'HCM2000'!$E$606:$F$608,2,FALSE))</f>
        <v>2</v>
      </c>
      <c r="AM42" s="433">
        <f>1/(1+(MULTILANE_HIGHWAY_SPECIAL_GRADE[Pt]*(MULTILANE_HIGHWAY_SPECIAL_GRADE[Et2]-1))+(MULTILANE_HIGHWAY_SPECIAL_GRADE[PRv]*(MULTILANE_HIGHWAY_SPECIAL_GRADE[Er2]-1)))</f>
        <v>0.80151853250552385</v>
      </c>
      <c r="AN42" s="329">
        <f>MULTILANE_HIGHWAY_SPECIAL_GRADE[[#This Row],[Número de Faixas]]+IF(MULTILANE_HIGHWAY_SPECIAL_GRADE[[#This Row],[Num. Faixas Marg.]]="-",0,MULTILANE_HIGHWAY_SPECIAL_GRADE[[#This Row],[Num. Faixas Marg.]])</f>
        <v>3</v>
      </c>
      <c r="AO42" s="329">
        <f>MULTILANE_HIGHWAY_SPECIAL_GRADE[[#This Row],[Vzão]]/(MULTILANE_HIGHWAY_SPECIAL_GRADE[[#This Row],[PHF]]*MULTILANE_HIGHWAY_SPECIAL_GRADE[[#This Row],[N]]*MULTILANE_HIGHWAY_SPECIAL_GRADE[[#This Row],[fHV]])</f>
        <v>900.98863796903413</v>
      </c>
      <c r="AP42" s="332">
        <f>IF(MULTILANE_HIGHWAY_SPECIAL_GRADE[fLC]="Pista simples","-",MULTILANE_HIGHWAY_SPECIAL_GRADE[vp3]/MULTILANE_HIGHWAY_SPECIAL_GRADE[S])</f>
        <v>9.1316416010375079</v>
      </c>
      <c r="AQ42" s="332">
        <f>IF(MULTILANE_HIGHWAY_SPECIAL_GRADE[vp3]&lt;=1400,MULTILANE_HIGHWAY_SPECIAL_GRADE[FFS2],
IF(MULTILANE_HIGHWAY_SPECIAL_GRADE[FFS2]&lt;=70,MULTILANE_HIGHWAY_SPECIAL_GRADE[FFS2]-(($BB$7*MULTILANE_HIGHWAY_SPECIAL_GRADE[FFS2]-$BC$7)*((MULTILANE_HIGHWAY_SPECIAL_GRADE[vp3]-1400)/($BD$7*MULTILANE_HIGHWAY_SPECIAL_GRADE[FFS2]-$BE$7))^1.31),
IF(MULTILANE_HIGHWAY_SPECIAL_GRADE[FFS2]&lt;=80,MULTILANE_HIGHWAY_SPECIAL_GRADE[FFS2]-(($BB$6*MULTILANE_HIGHWAY_SPECIAL_GRADE[FFS2]-$BC$6)*((MULTILANE_HIGHWAY_SPECIAL_GRADE[vp3]-1400)/($BD$6*MULTILANE_HIGHWAY_SPECIAL_GRADE[FFS2]-$BE$6))^1.31),
IF(MULTILANE_HIGHWAY_SPECIAL_GRADE[FFS2]&lt;=90,MULTILANE_HIGHWAY_SPECIAL_GRADE[FFS2]-(($BB$5*MULTILANE_HIGHWAY_SPECIAL_GRADE[FFS2]-$BC$5)*((MULTILANE_HIGHWAY_SPECIAL_GRADE[vp3]-1400)/($BD$5*MULTILANE_HIGHWAY_SPECIAL_GRADE[FFS2]-$BE$5))^1.31),
IF(MULTILANE_HIGHWAY_SPECIAL_GRADE[FFS2]&lt;=120,MULTILANE_HIGHWAY_SPECIAL_GRADE[FFS2]-(($BB$4*MULTILANE_HIGHWAY_SPECIAL_GRADE[FFS2]-$BC$4)*((MULTILANE_HIGHWAY_SPECIAL_GRADE[vp3]-1400)/($BD$4*MULTILANE_HIGHWAY_SPECIAL_GRADE[FFS2]-$BE$4))^1.31))))))</f>
        <v>98.666666666666671</v>
      </c>
      <c r="AR42" s="329">
        <f>IF(ISNA(IF(MULTILANE_HIGHWAY_SPECIAL_GRADE[[#This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Row],[vp3]],'HCM2000'!$L$674:$P$674,-1))))),"F",IF(MULTILANE_HIGHWAY_SPECIAL_GRADE[[#This Row],[FFS2]]&gt;100,MATCH(MULTILANE_HIGHWAY_SPECIAL_GRADE[[#This Row],[vp3]],'HCM2000'!$L$659:$P$659,-1),IF(MULTILANE_HIGHWAY_SPECIAL_GRADE[[#This Row],[FFS2]]&gt;90,MATCH(MULTILANE_HIGHWAY_SPECIAL_GRADE[[#This Row],[vp3]],'HCM2000'!$L$664:$P$664,-1),IF(MULTILANE_HIGHWAY_SPECIAL_GRADE[[#This Row],[FFS2]]&gt;80,MATCH(MULTILANE_HIGHWAY_SPECIAL_GRADE[[#This Row],[vp3]],'HCM2000'!$L$669:$P$669,-1),MATCH(MULTILANE_HIGHWAY_SPECIAL_GRADE[[#This Row],[vp3]],'HCM2000'!$L$674:$P$674,-1)))))</f>
        <v>4</v>
      </c>
      <c r="AS42" s="308" t="str">
        <f>IF(MULTILANE_HIGHWAY_SPECIAL_GRADE[LOS_vp3]="F","F",VLOOKUP(MULTILANE_HIGHWAY_SPECIAL_GRADE[LOS_vp3],'HCM2000'!$R$655:$S$659,2))</f>
        <v>C</v>
      </c>
      <c r="AT42" s="308">
        <f>IF(ISNA(IF(MULTILANE_HIGHWAY_SPECIAL_GRADE[[#This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Row],[D]],'HCM2000'!$L$670:$P$670,-1)))))),"F",IF(MULTILANE_HIGHWAY_SPECIAL_GRADE[[#This Row],[fLC]]="Pista simples","-",IF(MULTILANE_HIGHWAY_SPECIAL_GRADE[[#This Row],[FFS2]]&gt;100,MATCH(MULTILANE_HIGHWAY_SPECIAL_GRADE[[#This Row],[D]],'HCM2000'!$L$656:$P$656,-1),IF(MULTILANE_HIGHWAY_SPECIAL_GRADE[[#This Row],[FFS2]]&gt;90,MATCH(MULTILANE_HIGHWAY_SPECIAL_GRADE[[#This Row],[D]],'HCM2000'!$L$660:$P$660,-1),IF(MULTILANE_HIGHWAY_SPECIAL_GRADE[[#This Row],[FFS2]]&gt;80,MATCH(MULTILANE_HIGHWAY_SPECIAL_GRADE[[#This Row],[D]],'HCM2000'!$L$665:$P$665,-1),MATCH(MULTILANE_HIGHWAY_SPECIAL_GRADE[[#This Row],[D]],'HCM2000'!$L$670:$P$670,-1))))))</f>
        <v>4</v>
      </c>
      <c r="AU42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AV42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Simples","-",VLOOKUP(MINA(MULTILANE_HIGHWAY_SPECIAL_GRADE[LOS_vp],MULTILANE_HIGHWAY_SPECIAL_GRADE[LOS_D]),'HCM2000'!$R$655:$S$659,2)))</f>
        <v>C</v>
      </c>
      <c r="AW42" s="22">
        <v>4.647364235632482</v>
      </c>
      <c r="AX42" s="22">
        <v>3.6000000000001715</v>
      </c>
      <c r="AY42" s="22">
        <v>3.0000000000000018</v>
      </c>
      <c r="AZ42" s="22">
        <f>1.2</f>
        <v>1.2</v>
      </c>
      <c r="BA42" s="463">
        <f>IF(MULTILANE_HIGHWAY_SPECIAL_GRADE[Direction analysed ?]="up",MULTILANE_HIGHWAY_SPECIAL_GRADE[ET_UP],MULTILANE_HIGHWAY_SPECIAL_GRADE[ET_DOWN])</f>
        <v>4.647364235632482</v>
      </c>
      <c r="BB42" s="463">
        <f>IF(MULTILANE_HIGHWAY_SPECIAL_GRADE[Direction analysed ?]="up",MULTILANE_HIGHWAY_SPECIAL_GRADE[ER_UP],MULTILANE_HIGHWAY_SPECIAL_GRADE[ER_DOWN])</f>
        <v>3.6000000000001715</v>
      </c>
      <c r="BC42" s="433">
        <f>1/(1+(MULTILANE_HIGHWAY_SPECIAL_GRADE[Pt]*(MULTILANE_HIGHWAY_SPECIAL_GRADE[ET]-1))+(MULTILANE_HIGHWAY_SPECIAL_GRADE[PRv]*(MULTILANE_HIGHWAY_SPECIAL_GRADE[ER]-1)))</f>
        <v>0.62220464171705736</v>
      </c>
      <c r="BD42" s="331">
        <f>MULTILANE_HIGHWAY_SPECIAL_GRADE[Vzão]/(MULTILANE_HIGHWAY_SPECIAL_GRADE[PHF]*MULTILANE_HIGHWAY_SPECIAL_GRADE[N]*MULTILANE_HIGHWAY_SPECIAL_GRADE[fHV_SG])</f>
        <v>1160.645618001492</v>
      </c>
      <c r="BE42" s="422">
        <f>IF(MULTILANE_HIGHWAY_SPECIAL_GRADE[fLC]="Pista simples","-",MULTILANE_HIGHWAY_SPECIAL_GRADE[VP_SG]/MULTILANE_HIGHWAY_SPECIAL_GRADE[S])</f>
        <v>11.763300182447553</v>
      </c>
      <c r="BF42" s="422">
        <f>IF(MULTILANE_HIGHWAY_SPECIAL_GRADE[VP_SG]&lt;=1400,MULTILANE_HIGHWAY_SPECIAL_GRADE[FFS2],
IF(MULTILANE_HIGHWAY_SPECIAL_GRADE[FFS2]&lt;=70,MULTILANE_HIGHWAY_SPECIAL_GRADE[FFS2]-(($BB$7*MULTILANE_HIGHWAY_SPECIAL_GRADE[FFS2]-$BC$7)*((MULTILANE_HIGHWAY_SPECIAL_GRADE[VP_SG]-1400)/($BD$7*MULTILANE_HIGHWAY_SPECIAL_GRADE[FFS2]-$BE$7))^1.31),
IF(MULTILANE_HIGHWAY_SPECIAL_GRADE[FFS2]&lt;=80,MULTILANE_HIGHWAY_SPECIAL_GRADE[FFS2]-(($BB$6*MULTILANE_HIGHWAY_SPECIAL_GRADE[FFS2]-$BC$6)*((MULTILANE_HIGHWAY_SPECIAL_GRADE[VP_SG]-1400)/($BD$6*MULTILANE_HIGHWAY_SPECIAL_GRADE[FFS2]-$BE$6))^1.31),
IF(MULTILANE_HIGHWAY_SPECIAL_GRADE[FFS2]&lt;=90,MULTILANE_HIGHWAY_SPECIAL_GRADE[FFS2]-(($BB$5*MULTILANE_HIGHWAY_SPECIAL_GRADE[FFS2]-$BC$5)*((MULTILANE_HIGHWAY_SPECIAL_GRADE[VP_SG]-1400)/($BD$5*MULTILANE_HIGHWAY_SPECIAL_GRADE[FFS2]-$BE$5))^1.31),
IF(MULTILANE_HIGHWAY_SPECIAL_GRADE[FFS2]&lt;=120,MULTILANE_HIGHWAY_SPECIAL_GRADE[FFS2]-(($BB$4*MULTILANE_HIGHWAY_SPECIAL_GRADE[FFS2]-$BC$4)*((MULTILANE_HIGHWAY_SPECIAL_GRADE[VP_SG]-1400)/($BD$4*MULTILANE_HIGHWAY_SPECIAL_GRADE[FFS2]-$BE$4))^1.31))))))</f>
        <v>98.666666666666671</v>
      </c>
      <c r="BG42" s="329">
        <f>IF(ISNA(IF(MULTILANE_HIGHWAY_SPECIAL_GRADE[[#This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Row],[VP_SG]],'HCM2000'!$L$674:$P$674,-1))))),"F",IF(MULTILANE_HIGHWAY_SPECIAL_GRADE[[#This Row],[FFS2]]&gt;100,MATCH(MULTILANE_HIGHWAY_SPECIAL_GRADE[[#This Row],[VP_SG]],'HCM2000'!$L$659:$P$659,-1),IF(MULTILANE_HIGHWAY_SPECIAL_GRADE[[#This Row],[FFS2]]&gt;90,MATCH(MULTILANE_HIGHWAY_SPECIAL_GRADE[[#This Row],[VP_SG]],'HCM2000'!$L$664:$P$664,-1),IF(MULTILANE_HIGHWAY_SPECIAL_GRADE[[#This Row],[FFS2]]&gt;80,MATCH(MULTILANE_HIGHWAY_SPECIAL_GRADE[[#This Row],[VP_SG]],'HCM2000'!$L$669:$P$669,-1),MATCH(MULTILANE_HIGHWAY_SPECIAL_GRADE[[#This Row],[VP_SG]],'HCM2000'!$L$674:$P$674,-1)))))</f>
        <v>3</v>
      </c>
      <c r="BH42" s="308" t="str">
        <f>IF(MULTILANE_HIGHWAY_SPECIAL_GRADE[[#This Row],[LOS_vp3]]="F","F",VLOOKUP(MULTILANE_HIGHWAY_SPECIAL_GRADE[[#This Row],[LOS_vp3]],'HCM2000'!$R$655:$S$659,2))</f>
        <v>C</v>
      </c>
      <c r="BI42" s="329">
        <f>IF(ISNA(IF(MULTILANE_HIGHWAY_SPECIAL_GRADE[[#This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Row],[D_SG]],'HCM2000'!$L$670:$P$670,-1)))))),"F",IF(MULTILANE_HIGHWAY_SPECIAL_GRADE[[#This Row],[fLC]]="Pista simples","-",IF(MULTILANE_HIGHWAY_SPECIAL_GRADE[[#This Row],[FFS2]]&gt;100,MATCH(MULTILANE_HIGHWAY_SPECIAL_GRADE[[#This Row],[D_SG]],'HCM2000'!$L$656:$P$656,-1),IF(MULTILANE_HIGHWAY_SPECIAL_GRADE[[#This Row],[FFS2]]&gt;90,MATCH(MULTILANE_HIGHWAY_SPECIAL_GRADE[[#This Row],[D_SG]],'HCM2000'!$L$660:$P$660,-1),IF(MULTILANE_HIGHWAY_SPECIAL_GRADE[[#This Row],[FFS2]]&gt;80,MATCH(MULTILANE_HIGHWAY_SPECIAL_GRADE[[#This Row],[D_SG]],'HCM2000'!$L$665:$P$665,-1),MATCH(MULTILANE_HIGHWAY_SPECIAL_GRADE[[#This Row],[D_SG]],'HCM2000'!$L$670:$P$670,-1))))))</f>
        <v>3</v>
      </c>
      <c r="BJ42" s="308" t="str">
        <f>IF(MULTILANE_HIGHWAY_SPECIAL_GRADE[[#This Row],[LOS_vp3]]="F","F",IF(MULTILANE_HIGHWAY_SPECIAL_GRADE[[#This Row],[fLC]]="Pista simples","-",VLOOKUP(MULTILANE_HIGHWAY_SPECIAL_GRADE[[#This Row],[LOS_D3]],'HCM2000'!$R$655:$S$659,2)))</f>
        <v>C</v>
      </c>
      <c r="BK42" s="280" t="str">
        <f>IF(OR(MULTILANE_HIGHWAY_SPECIAL_GRADE[[#This Row],[LOS_vp3]]="F",MULTILANE_HIGHWAY_SPECIAL_GRADE[[#This Row],[LOS_D3]]="F"),"F",IF(MULTILANE_HIGHWAY_SPECIAL_GRADE[[#This Row],[Pista]]="Pista Simples","-",VLOOKUP(MINA(MULTILANE_HIGHWAY_SPECIAL_GRADE[LOS_vp3],MULTILANE_HIGHWAY_SPECIAL_GRADE[LOS_D3]),'HCM2000'!$R$655:$S$659,2)))</f>
        <v>D</v>
      </c>
      <c r="BL42" s="440">
        <f>MULTILANE_HIGHWAY_SPECIAL_GRADE[VP_SG]</f>
        <v>1160.645618001492</v>
      </c>
      <c r="BM42" s="440">
        <f>MULTILANE_HIGHWAY_SPECIAL_GRADE[D_SG]</f>
        <v>11.763300182447553</v>
      </c>
      <c r="BN42" s="440">
        <f>MULTILANE_HIGHWAY_SPECIAL_GRADE[S_SG]</f>
        <v>98.666666666666671</v>
      </c>
      <c r="CD42" s="416"/>
      <c r="CE42" s="416"/>
    </row>
    <row r="43" spans="2:83">
      <c r="CD43" s="416"/>
      <c r="CE43" s="416"/>
    </row>
    <row r="44" spans="2:83">
      <c r="CD44" s="416"/>
      <c r="CE44" s="416"/>
    </row>
    <row r="45" spans="2:83">
      <c r="CD45" s="416"/>
      <c r="CE45" s="416"/>
    </row>
    <row r="46" spans="2:83">
      <c r="CD46" s="416"/>
      <c r="CE46" s="416"/>
    </row>
    <row r="47" spans="2:83">
      <c r="CD47" s="416"/>
      <c r="CE47" s="416"/>
    </row>
    <row r="48" spans="2:83">
      <c r="CD48" s="416"/>
      <c r="CE48" s="416"/>
    </row>
    <row r="49" spans="82:83">
      <c r="CD49" s="416"/>
      <c r="CE49" s="416"/>
    </row>
    <row r="50" spans="82:83">
      <c r="CD50" s="416"/>
      <c r="CE50" s="416"/>
    </row>
    <row r="51" spans="82:83">
      <c r="CD51" s="416"/>
      <c r="CE51" s="416"/>
    </row>
    <row r="52" spans="82:83">
      <c r="CD52" s="416"/>
      <c r="CE52" s="416"/>
    </row>
    <row r="53" spans="82:83">
      <c r="CD53" s="416"/>
      <c r="CE53" s="416"/>
    </row>
    <row r="54" spans="82:83">
      <c r="CD54" s="416"/>
      <c r="CE54" s="416"/>
    </row>
    <row r="55" spans="82:83">
      <c r="CD55" s="416"/>
      <c r="CE55" s="416"/>
    </row>
    <row r="56" spans="82:83">
      <c r="CD56" s="416"/>
      <c r="CE56" s="416"/>
    </row>
    <row r="57" spans="82:83">
      <c r="CD57" s="416"/>
      <c r="CE57" s="416"/>
    </row>
    <row r="58" spans="82:83">
      <c r="CD58" s="416"/>
      <c r="CE58" s="416"/>
    </row>
    <row r="59" spans="82:83">
      <c r="CD59" s="416"/>
      <c r="CE59" s="416"/>
    </row>
    <row r="60" spans="82:83">
      <c r="CD60" s="416"/>
      <c r="CE60" s="416"/>
    </row>
    <row r="61" spans="82:83">
      <c r="CD61" s="416"/>
      <c r="CE61" s="416"/>
    </row>
    <row r="62" spans="82:83">
      <c r="CD62" s="416"/>
      <c r="CE62" s="416"/>
    </row>
    <row r="63" spans="82:83">
      <c r="CD63" s="416"/>
      <c r="CE63" s="416"/>
    </row>
    <row r="64" spans="82:83">
      <c r="CD64" s="416"/>
      <c r="CE64" s="416"/>
    </row>
    <row r="65" spans="82:83">
      <c r="CD65" s="416"/>
      <c r="CE65" s="416"/>
    </row>
    <row r="66" spans="82:83">
      <c r="CD66" s="416"/>
      <c r="CE66" s="416"/>
    </row>
    <row r="67" spans="82:83">
      <c r="CD67" s="416"/>
      <c r="CE67" s="416"/>
    </row>
    <row r="68" spans="82:83">
      <c r="CD68" s="416"/>
      <c r="CE68" s="416"/>
    </row>
    <row r="69" spans="82:83">
      <c r="CD69" s="416"/>
      <c r="CE69" s="416"/>
    </row>
    <row r="70" spans="82:83">
      <c r="CD70" s="416"/>
      <c r="CE70" s="416"/>
    </row>
    <row r="71" spans="82:83">
      <c r="CD71" s="416"/>
      <c r="CE71" s="416"/>
    </row>
    <row r="72" spans="82:83">
      <c r="CD72" s="416"/>
      <c r="CE72" s="416"/>
    </row>
    <row r="73" spans="82:83">
      <c r="CD73" s="416"/>
      <c r="CE73" s="416"/>
    </row>
    <row r="74" spans="82:83">
      <c r="CD74" s="416"/>
      <c r="CE74" s="416"/>
    </row>
    <row r="75" spans="82:83">
      <c r="CD75" s="416"/>
      <c r="CE75" s="416"/>
    </row>
    <row r="76" spans="82:83">
      <c r="CD76" s="416"/>
      <c r="CE76" s="416"/>
    </row>
    <row r="77" spans="82:83">
      <c r="CD77" s="416"/>
      <c r="CE77" s="416"/>
    </row>
    <row r="78" spans="82:83">
      <c r="CD78" s="416"/>
      <c r="CE78" s="416"/>
    </row>
    <row r="79" spans="82:83">
      <c r="CD79" s="416"/>
      <c r="CE79" s="416"/>
    </row>
    <row r="80" spans="82:83">
      <c r="CD80" s="416"/>
      <c r="CE80" s="416"/>
    </row>
    <row r="81" spans="2:83" s="569" customFormat="1">
      <c r="B81" s="60"/>
      <c r="C81" s="60"/>
      <c r="D81" s="60"/>
      <c r="E81" s="60"/>
      <c r="F81" s="60"/>
      <c r="G81" s="60"/>
      <c r="H81" s="60"/>
      <c r="I81" s="60"/>
      <c r="J81" s="60"/>
      <c r="K81" s="61"/>
      <c r="L81" s="60"/>
      <c r="M81" s="60"/>
      <c r="N81" s="60"/>
      <c r="O81" s="60"/>
      <c r="P81" s="60"/>
      <c r="Q81" s="60"/>
      <c r="R81" s="60"/>
      <c r="S81" s="60"/>
      <c r="T81" s="60"/>
      <c r="U81" s="273"/>
      <c r="V81" s="273"/>
      <c r="W81" s="273"/>
      <c r="X81" s="273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8"/>
      <c r="BA81" s="58"/>
      <c r="BB81" s="58"/>
      <c r="BC81" s="58"/>
      <c r="BD81" s="58"/>
      <c r="BE81" s="58"/>
      <c r="BF81" s="58"/>
      <c r="BG81" s="58"/>
      <c r="BH81" s="58"/>
      <c r="BI81" s="58"/>
      <c r="BJ81" s="58"/>
      <c r="BK81" s="58"/>
      <c r="BL81" s="58"/>
      <c r="BM81" s="58"/>
      <c r="BN81" s="58"/>
      <c r="BO81" s="58"/>
      <c r="BP81" s="58"/>
      <c r="BQ81" s="58"/>
      <c r="BR81" s="58"/>
      <c r="BS81" s="58"/>
      <c r="BT81" s="58"/>
      <c r="BU81" s="58"/>
      <c r="BV81" s="58"/>
      <c r="BW81" s="58"/>
      <c r="BX81" s="58"/>
      <c r="BY81" s="58"/>
      <c r="BZ81" s="58"/>
      <c r="CA81" s="58"/>
      <c r="CB81" s="58"/>
      <c r="CC81" s="58"/>
      <c r="CD81" s="526"/>
      <c r="CE81" s="526"/>
    </row>
    <row r="82" spans="2:83">
      <c r="CD82" s="416"/>
      <c r="CE82" s="416"/>
    </row>
    <row r="83" spans="2:83">
      <c r="CD83" s="416"/>
      <c r="CE83" s="416"/>
    </row>
    <row r="84" spans="2:83">
      <c r="CD84" s="416"/>
      <c r="CE84" s="416"/>
    </row>
    <row r="85" spans="2:83">
      <c r="CD85" s="416"/>
      <c r="CE85" s="416"/>
    </row>
    <row r="86" spans="2:83">
      <c r="CD86" s="416"/>
      <c r="CE86" s="416"/>
    </row>
    <row r="87" spans="2:83">
      <c r="CD87" s="416"/>
      <c r="CE87" s="416"/>
    </row>
    <row r="88" spans="2:83">
      <c r="CD88" s="416"/>
      <c r="CE88" s="416"/>
    </row>
    <row r="89" spans="2:83">
      <c r="CD89" s="416"/>
      <c r="CE89" s="416"/>
    </row>
    <row r="90" spans="2:83">
      <c r="CD90" s="416"/>
      <c r="CE90" s="416"/>
    </row>
    <row r="91" spans="2:83" s="432" customFormat="1">
      <c r="B91" s="60"/>
      <c r="C91" s="60"/>
      <c r="D91" s="60"/>
      <c r="E91" s="60"/>
      <c r="F91" s="60"/>
      <c r="G91" s="60"/>
      <c r="H91" s="60"/>
      <c r="I91" s="60"/>
      <c r="J91" s="60"/>
      <c r="K91" s="61"/>
      <c r="L91" s="60"/>
      <c r="M91" s="60"/>
      <c r="N91" s="60"/>
      <c r="O91" s="60"/>
      <c r="P91" s="60"/>
      <c r="Q91" s="60"/>
      <c r="R91" s="60"/>
      <c r="S91" s="60"/>
      <c r="T91" s="60"/>
      <c r="U91" s="273"/>
      <c r="V91" s="273"/>
      <c r="W91" s="273"/>
      <c r="X91" s="273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8"/>
      <c r="BA91" s="58"/>
      <c r="BB91" s="58"/>
      <c r="BC91" s="58"/>
      <c r="BD91" s="58"/>
      <c r="BE91" s="58"/>
      <c r="BF91" s="58"/>
      <c r="BG91" s="58"/>
      <c r="BH91" s="58"/>
      <c r="BI91" s="58"/>
      <c r="BJ91" s="58"/>
      <c r="BK91" s="58"/>
      <c r="BL91" s="58"/>
      <c r="BM91" s="58"/>
      <c r="BN91" s="58"/>
      <c r="BO91" s="58"/>
      <c r="BP91" s="58"/>
      <c r="BQ91" s="58"/>
      <c r="BR91" s="58"/>
      <c r="BS91" s="58"/>
      <c r="BT91" s="58"/>
      <c r="BU91" s="58"/>
      <c r="BV91" s="58"/>
      <c r="BW91" s="58"/>
      <c r="BX91" s="58"/>
      <c r="BY91" s="58"/>
      <c r="BZ91" s="58"/>
      <c r="CA91" s="58"/>
      <c r="CB91" s="58"/>
      <c r="CC91" s="58"/>
      <c r="CD91" s="280"/>
      <c r="CE91" s="280"/>
    </row>
    <row r="121" spans="1:1">
      <c r="A121" s="434"/>
    </row>
  </sheetData>
  <mergeCells count="6">
    <mergeCell ref="AU8:AV8"/>
    <mergeCell ref="F1:G1"/>
    <mergeCell ref="AU4:AV4"/>
    <mergeCell ref="AU5:AV5"/>
    <mergeCell ref="AU6:AV6"/>
    <mergeCell ref="AU7:AV7"/>
  </mergeCells>
  <conditionalFormatting sqref="H1">
    <cfRule type="colorScale" priority="13">
      <colorScale>
        <cfvo type="min"/>
        <cfvo type="max"/>
        <color rgb="FFFCFCFF"/>
        <color rgb="FF63BE7B"/>
      </colorScale>
    </cfRule>
  </conditionalFormatting>
  <conditionalFormatting sqref="I43:I1048576 I10:I12 N1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57626E"/>
    <outlinePr summaryBelow="0"/>
  </sheetPr>
  <dimension ref="A1:AO686"/>
  <sheetViews>
    <sheetView topLeftCell="R63" zoomScaleNormal="100" workbookViewId="0">
      <selection activeCell="AF68" sqref="AF68"/>
    </sheetView>
  </sheetViews>
  <sheetFormatPr defaultRowHeight="12.75" outlineLevelRow="1"/>
  <cols>
    <col min="1" max="1" width="34.140625" style="3" customWidth="1"/>
    <col min="2" max="4" width="14.85546875" style="2" customWidth="1"/>
    <col min="5" max="5" width="14.85546875" style="14" customWidth="1"/>
    <col min="6" max="9" width="14.85546875" style="2" customWidth="1"/>
    <col min="10" max="13" width="14.85546875" style="3" customWidth="1"/>
    <col min="14" max="17" width="7.28515625" style="3" customWidth="1"/>
    <col min="18" max="32" width="14.85546875" style="3" customWidth="1"/>
    <col min="33" max="33" width="9.140625" style="3"/>
    <col min="34" max="34" width="32.85546875" style="3" customWidth="1"/>
    <col min="35" max="16384" width="9.140625" style="3"/>
  </cols>
  <sheetData>
    <row r="1" spans="1:20" s="58" customFormat="1">
      <c r="A1" s="58" t="s">
        <v>128</v>
      </c>
    </row>
    <row r="3" spans="1:20">
      <c r="A3" s="492" t="s">
        <v>263</v>
      </c>
      <c r="B3" s="492"/>
      <c r="C3" s="492"/>
      <c r="D3" s="492"/>
      <c r="E3" s="492"/>
      <c r="F3" s="492"/>
      <c r="G3" s="492"/>
      <c r="H3" s="492"/>
      <c r="I3" s="492"/>
      <c r="J3" s="492"/>
      <c r="K3" s="492"/>
      <c r="L3" s="492"/>
      <c r="M3" s="492"/>
      <c r="N3" s="492"/>
      <c r="O3" s="492"/>
      <c r="P3" s="492"/>
      <c r="Q3" s="492"/>
      <c r="R3" s="492"/>
      <c r="S3" s="492"/>
      <c r="T3" s="491"/>
    </row>
    <row r="4" spans="1:20" s="294" customFormat="1" outlineLevel="1">
      <c r="A4" s="494"/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4"/>
      <c r="O4" s="494"/>
      <c r="P4" s="494"/>
      <c r="Q4" s="494"/>
      <c r="R4" s="494"/>
      <c r="S4" s="494"/>
      <c r="T4" s="493"/>
    </row>
    <row r="5" spans="1:20" outlineLevel="1">
      <c r="A5" s="3" t="s">
        <v>6</v>
      </c>
    </row>
    <row r="6" spans="1:20" ht="76.5" outlineLevel="1">
      <c r="A6" s="3" t="s">
        <v>7</v>
      </c>
      <c r="B6" s="2" t="s">
        <v>19</v>
      </c>
    </row>
    <row r="7" spans="1:20" ht="76.5" outlineLevel="1">
      <c r="A7" s="3" t="s">
        <v>8</v>
      </c>
      <c r="B7" s="2" t="s">
        <v>20</v>
      </c>
    </row>
    <row r="8" spans="1:20" ht="25.5" outlineLevel="1">
      <c r="A8" s="3" t="s">
        <v>27</v>
      </c>
      <c r="B8" s="2">
        <v>0.88</v>
      </c>
      <c r="C8" s="2" t="s">
        <v>28</v>
      </c>
    </row>
    <row r="9" spans="1:20" ht="25.5" outlineLevel="1">
      <c r="B9" s="2">
        <v>0.92</v>
      </c>
      <c r="C9" s="2" t="s">
        <v>29</v>
      </c>
    </row>
    <row r="10" spans="1:20" ht="25.5" outlineLevel="1">
      <c r="A10" s="3" t="s">
        <v>0</v>
      </c>
      <c r="B10" s="4">
        <v>0.12</v>
      </c>
      <c r="C10" s="2" t="s">
        <v>26</v>
      </c>
    </row>
    <row r="11" spans="1:20" ht="51" outlineLevel="1">
      <c r="A11" s="3" t="s">
        <v>1</v>
      </c>
      <c r="B11" s="2" t="s">
        <v>2</v>
      </c>
    </row>
    <row r="12" spans="1:20" outlineLevel="1"/>
    <row r="13" spans="1:20" ht="25.5" outlineLevel="1">
      <c r="A13" s="2" t="s">
        <v>17</v>
      </c>
      <c r="B13" s="656" t="s">
        <v>3</v>
      </c>
      <c r="C13" s="656" t="s">
        <v>5</v>
      </c>
      <c r="D13" s="656" t="s">
        <v>4</v>
      </c>
      <c r="E13" s="15"/>
      <c r="F13" s="656" t="s">
        <v>6</v>
      </c>
      <c r="G13" s="656"/>
    </row>
    <row r="14" spans="1:20" outlineLevel="1">
      <c r="B14" s="656"/>
      <c r="C14" s="656"/>
      <c r="D14" s="656"/>
      <c r="E14" s="15"/>
      <c r="F14" s="483" t="s">
        <v>7</v>
      </c>
      <c r="G14" s="483" t="s">
        <v>8</v>
      </c>
    </row>
    <row r="15" spans="1:20" outlineLevel="1">
      <c r="B15" s="656" t="s">
        <v>9</v>
      </c>
      <c r="C15" s="483" t="s">
        <v>10</v>
      </c>
      <c r="D15" s="483" t="s">
        <v>11</v>
      </c>
      <c r="E15" s="15">
        <v>600</v>
      </c>
      <c r="F15" s="6">
        <v>1.7</v>
      </c>
      <c r="G15" s="6">
        <v>2.5</v>
      </c>
    </row>
    <row r="16" spans="1:20" outlineLevel="1">
      <c r="B16" s="656"/>
      <c r="C16" s="483" t="s">
        <v>12</v>
      </c>
      <c r="D16" s="483" t="s">
        <v>13</v>
      </c>
      <c r="E16" s="15">
        <v>1200</v>
      </c>
      <c r="F16" s="6">
        <v>1.2</v>
      </c>
      <c r="G16" s="6">
        <v>1.9</v>
      </c>
    </row>
    <row r="17" spans="1:10" outlineLevel="1">
      <c r="B17" s="656"/>
      <c r="C17" s="483" t="s">
        <v>14</v>
      </c>
      <c r="D17" s="483" t="s">
        <v>15</v>
      </c>
      <c r="E17" s="18" t="s">
        <v>73</v>
      </c>
      <c r="F17" s="6">
        <v>1.1000000000000001</v>
      </c>
      <c r="G17" s="6">
        <v>1.5</v>
      </c>
    </row>
    <row r="18" spans="1:10" outlineLevel="1">
      <c r="B18" s="656" t="s">
        <v>16</v>
      </c>
      <c r="C18" s="483" t="s">
        <v>10</v>
      </c>
      <c r="D18" s="483" t="s">
        <v>11</v>
      </c>
      <c r="E18" s="15">
        <v>600</v>
      </c>
      <c r="F18" s="6">
        <v>1</v>
      </c>
      <c r="G18" s="6">
        <v>1.1000000000000001</v>
      </c>
    </row>
    <row r="19" spans="1:10" outlineLevel="1">
      <c r="B19" s="656"/>
      <c r="C19" s="483" t="s">
        <v>12</v>
      </c>
      <c r="D19" s="483" t="s">
        <v>13</v>
      </c>
      <c r="E19" s="15">
        <v>1200</v>
      </c>
      <c r="F19" s="6">
        <v>1</v>
      </c>
      <c r="G19" s="6">
        <v>1.1000000000000001</v>
      </c>
    </row>
    <row r="20" spans="1:10" outlineLevel="1">
      <c r="B20" s="656"/>
      <c r="C20" s="483" t="s">
        <v>14</v>
      </c>
      <c r="D20" s="483" t="s">
        <v>15</v>
      </c>
      <c r="E20" s="18" t="s">
        <v>73</v>
      </c>
      <c r="F20" s="6">
        <v>1</v>
      </c>
      <c r="G20" s="6">
        <v>1.1000000000000001</v>
      </c>
    </row>
    <row r="21" spans="1:10" outlineLevel="1"/>
    <row r="22" spans="1:10" ht="51" outlineLevel="1">
      <c r="A22" s="2" t="s">
        <v>18</v>
      </c>
      <c r="B22" s="656" t="s">
        <v>3</v>
      </c>
      <c r="C22" s="656" t="s">
        <v>5</v>
      </c>
      <c r="D22" s="656" t="s">
        <v>4</v>
      </c>
      <c r="E22" s="15"/>
      <c r="F22" s="656" t="s">
        <v>6</v>
      </c>
      <c r="G22" s="656"/>
    </row>
    <row r="23" spans="1:10" outlineLevel="1">
      <c r="B23" s="656"/>
      <c r="C23" s="656"/>
      <c r="D23" s="656"/>
      <c r="E23" s="15"/>
      <c r="F23" s="483" t="s">
        <v>7</v>
      </c>
      <c r="G23" s="483" t="s">
        <v>8</v>
      </c>
    </row>
    <row r="24" spans="1:10" outlineLevel="1">
      <c r="B24" s="656" t="s">
        <v>9</v>
      </c>
      <c r="C24" s="483" t="s">
        <v>10</v>
      </c>
      <c r="D24" s="483" t="s">
        <v>11</v>
      </c>
      <c r="E24" s="15">
        <v>600</v>
      </c>
      <c r="F24" s="6">
        <v>1.1000000000000001</v>
      </c>
      <c r="G24" s="6">
        <v>1.8</v>
      </c>
    </row>
    <row r="25" spans="1:10" outlineLevel="1">
      <c r="A25" s="2"/>
      <c r="B25" s="656"/>
      <c r="C25" s="483" t="s">
        <v>12</v>
      </c>
      <c r="D25" s="483" t="s">
        <v>13</v>
      </c>
      <c r="E25" s="15">
        <v>1200</v>
      </c>
      <c r="F25" s="6">
        <v>1.1000000000000001</v>
      </c>
      <c r="G25" s="6">
        <v>1.5</v>
      </c>
    </row>
    <row r="26" spans="1:10" outlineLevel="1">
      <c r="A26" s="2"/>
      <c r="B26" s="656"/>
      <c r="C26" s="483" t="s">
        <v>14</v>
      </c>
      <c r="D26" s="483" t="s">
        <v>15</v>
      </c>
      <c r="E26" s="18" t="s">
        <v>73</v>
      </c>
      <c r="F26" s="6">
        <v>1</v>
      </c>
      <c r="G26" s="6">
        <v>1</v>
      </c>
    </row>
    <row r="27" spans="1:10" outlineLevel="1">
      <c r="A27" s="2"/>
      <c r="B27" s="656" t="s">
        <v>16</v>
      </c>
      <c r="C27" s="483" t="s">
        <v>10</v>
      </c>
      <c r="D27" s="483" t="s">
        <v>11</v>
      </c>
      <c r="E27" s="15">
        <v>600</v>
      </c>
      <c r="F27" s="6">
        <v>1</v>
      </c>
      <c r="G27" s="6">
        <v>1</v>
      </c>
    </row>
    <row r="28" spans="1:10" outlineLevel="1">
      <c r="A28" s="2"/>
      <c r="B28" s="656"/>
      <c r="C28" s="483" t="s">
        <v>12</v>
      </c>
      <c r="D28" s="483" t="s">
        <v>13</v>
      </c>
      <c r="E28" s="15">
        <v>1200</v>
      </c>
      <c r="F28" s="6">
        <v>1</v>
      </c>
      <c r="G28" s="6">
        <v>1</v>
      </c>
    </row>
    <row r="29" spans="1:10" outlineLevel="1">
      <c r="A29" s="2"/>
      <c r="B29" s="656"/>
      <c r="C29" s="483" t="s">
        <v>14</v>
      </c>
      <c r="D29" s="483" t="s">
        <v>15</v>
      </c>
      <c r="E29" s="18" t="s">
        <v>73</v>
      </c>
      <c r="F29" s="6">
        <v>1</v>
      </c>
      <c r="G29" s="6">
        <v>1</v>
      </c>
    </row>
    <row r="30" spans="1:10" outlineLevel="1">
      <c r="A30" s="2"/>
    </row>
    <row r="31" spans="1:10" outlineLevel="1">
      <c r="A31" s="2"/>
    </row>
    <row r="32" spans="1:10" ht="38.25" outlineLevel="1">
      <c r="A32" s="2" t="s">
        <v>22</v>
      </c>
      <c r="C32" s="671" t="s">
        <v>5</v>
      </c>
      <c r="D32" s="671" t="s">
        <v>4</v>
      </c>
      <c r="E32" s="16"/>
      <c r="F32" s="653" t="s">
        <v>6</v>
      </c>
      <c r="G32" s="655"/>
      <c r="J32" s="2"/>
    </row>
    <row r="33" spans="1:10" outlineLevel="1">
      <c r="A33" s="2"/>
      <c r="C33" s="672"/>
      <c r="D33" s="672"/>
      <c r="E33" s="17"/>
      <c r="F33" s="483" t="s">
        <v>7</v>
      </c>
      <c r="G33" s="483" t="s">
        <v>8</v>
      </c>
      <c r="J33" s="2"/>
    </row>
    <row r="34" spans="1:10" outlineLevel="1">
      <c r="A34" s="2"/>
      <c r="C34" s="483" t="s">
        <v>10</v>
      </c>
      <c r="D34" s="483" t="s">
        <v>11</v>
      </c>
      <c r="E34" s="15">
        <v>600</v>
      </c>
      <c r="F34" s="6">
        <v>1</v>
      </c>
      <c r="G34" s="6">
        <v>0.71</v>
      </c>
      <c r="J34" s="2"/>
    </row>
    <row r="35" spans="1:10" outlineLevel="1">
      <c r="A35" s="2"/>
      <c r="C35" s="483" t="s">
        <v>12</v>
      </c>
      <c r="D35" s="483" t="s">
        <v>13</v>
      </c>
      <c r="E35" s="15">
        <v>1200</v>
      </c>
      <c r="F35" s="6">
        <v>1</v>
      </c>
      <c r="G35" s="6">
        <v>0.93</v>
      </c>
      <c r="J35" s="2"/>
    </row>
    <row r="36" spans="1:10" outlineLevel="1">
      <c r="A36" s="2"/>
      <c r="C36" s="483" t="s">
        <v>14</v>
      </c>
      <c r="D36" s="483" t="s">
        <v>15</v>
      </c>
      <c r="E36" s="18" t="s">
        <v>73</v>
      </c>
      <c r="F36" s="6">
        <v>1</v>
      </c>
      <c r="G36" s="6">
        <v>0.99</v>
      </c>
      <c r="J36" s="2"/>
    </row>
    <row r="37" spans="1:10" outlineLevel="1">
      <c r="A37" s="2"/>
      <c r="J37" s="2"/>
    </row>
    <row r="38" spans="1:10" ht="38.25" outlineLevel="1">
      <c r="A38" s="2" t="s">
        <v>21</v>
      </c>
      <c r="C38" s="671" t="s">
        <v>5</v>
      </c>
      <c r="D38" s="671" t="s">
        <v>4</v>
      </c>
      <c r="E38" s="16"/>
      <c r="F38" s="653" t="s">
        <v>6</v>
      </c>
      <c r="G38" s="655"/>
      <c r="J38" s="2"/>
    </row>
    <row r="39" spans="1:10" outlineLevel="1">
      <c r="A39" s="2"/>
      <c r="C39" s="672"/>
      <c r="D39" s="672"/>
      <c r="E39" s="17"/>
      <c r="F39" s="483" t="s">
        <v>7</v>
      </c>
      <c r="G39" s="483" t="s">
        <v>8</v>
      </c>
      <c r="J39" s="2"/>
    </row>
    <row r="40" spans="1:10" outlineLevel="1">
      <c r="A40" s="2"/>
      <c r="C40" s="483" t="s">
        <v>10</v>
      </c>
      <c r="D40" s="483" t="s">
        <v>11</v>
      </c>
      <c r="E40" s="15">
        <v>600</v>
      </c>
      <c r="F40" s="6">
        <v>1</v>
      </c>
      <c r="G40" s="6">
        <v>0.77</v>
      </c>
      <c r="J40" s="2"/>
    </row>
    <row r="41" spans="1:10" outlineLevel="1">
      <c r="A41" s="2"/>
      <c r="C41" s="483" t="s">
        <v>12</v>
      </c>
      <c r="D41" s="483" t="s">
        <v>13</v>
      </c>
      <c r="E41" s="15">
        <v>1200</v>
      </c>
      <c r="F41" s="6">
        <v>1</v>
      </c>
      <c r="G41" s="6">
        <v>0.94</v>
      </c>
      <c r="J41" s="2"/>
    </row>
    <row r="42" spans="1:10" outlineLevel="1">
      <c r="A42" s="2"/>
      <c r="C42" s="483" t="s">
        <v>14</v>
      </c>
      <c r="D42" s="483" t="s">
        <v>15</v>
      </c>
      <c r="E42" s="18" t="s">
        <v>73</v>
      </c>
      <c r="F42" s="6">
        <v>1</v>
      </c>
      <c r="G42" s="6">
        <v>1</v>
      </c>
      <c r="J42" s="2"/>
    </row>
    <row r="43" spans="1:10" outlineLevel="1">
      <c r="A43" s="2"/>
    </row>
    <row r="44" spans="1:10" ht="25.5" outlineLevel="1">
      <c r="A44" s="2" t="s">
        <v>57</v>
      </c>
      <c r="B44" s="7" t="s">
        <v>23</v>
      </c>
    </row>
    <row r="45" spans="1:10" ht="25.5" outlineLevel="1">
      <c r="A45" s="2" t="s">
        <v>58</v>
      </c>
      <c r="B45" s="7" t="s">
        <v>23</v>
      </c>
    </row>
    <row r="46" spans="1:10" ht="25.5" outlineLevel="1">
      <c r="A46" s="2" t="s">
        <v>24</v>
      </c>
      <c r="B46" s="7" t="s">
        <v>25</v>
      </c>
      <c r="C46" s="2" t="s">
        <v>30</v>
      </c>
    </row>
    <row r="47" spans="1:10" outlineLevel="1">
      <c r="A47" s="2"/>
    </row>
    <row r="48" spans="1:10" ht="25.5" outlineLevel="1">
      <c r="A48" s="2" t="s">
        <v>32</v>
      </c>
      <c r="B48" s="656" t="s">
        <v>33</v>
      </c>
      <c r="C48" s="653" t="s">
        <v>34</v>
      </c>
      <c r="D48" s="654"/>
      <c r="E48" s="654"/>
      <c r="F48" s="655"/>
      <c r="I48" s="3"/>
    </row>
    <row r="49" spans="1:9" outlineLevel="1">
      <c r="B49" s="656"/>
      <c r="C49" s="653" t="s">
        <v>35</v>
      </c>
      <c r="D49" s="654"/>
      <c r="E49" s="654"/>
      <c r="F49" s="655"/>
      <c r="I49" s="3"/>
    </row>
    <row r="50" spans="1:9" outlineLevel="1">
      <c r="B50" s="656"/>
      <c r="C50" s="5" t="s">
        <v>40</v>
      </c>
      <c r="D50" s="5" t="s">
        <v>41</v>
      </c>
      <c r="E50" s="5" t="s">
        <v>42</v>
      </c>
      <c r="F50" s="5" t="s">
        <v>43</v>
      </c>
    </row>
    <row r="51" spans="1:9" outlineLevel="1">
      <c r="A51" s="3" t="s">
        <v>87</v>
      </c>
      <c r="B51" s="5" t="s">
        <v>36</v>
      </c>
      <c r="C51" s="8">
        <v>10.3</v>
      </c>
      <c r="D51" s="8">
        <v>7.7</v>
      </c>
      <c r="E51" s="8">
        <v>5.6</v>
      </c>
      <c r="F51" s="8">
        <v>3.5</v>
      </c>
    </row>
    <row r="52" spans="1:9" outlineLevel="1">
      <c r="A52" s="3" t="s">
        <v>88</v>
      </c>
      <c r="B52" s="5" t="s">
        <v>37</v>
      </c>
      <c r="C52" s="8">
        <v>8.5</v>
      </c>
      <c r="D52" s="8">
        <v>5.9</v>
      </c>
      <c r="E52" s="8">
        <v>3.8</v>
      </c>
      <c r="F52" s="8">
        <v>1.7</v>
      </c>
    </row>
    <row r="53" spans="1:9" outlineLevel="1">
      <c r="A53" s="3" t="s">
        <v>89</v>
      </c>
      <c r="B53" s="5" t="s">
        <v>38</v>
      </c>
      <c r="C53" s="8">
        <v>7.5</v>
      </c>
      <c r="D53" s="8">
        <v>4.9000000000000004</v>
      </c>
      <c r="E53" s="8">
        <v>2.8</v>
      </c>
      <c r="F53" s="8">
        <v>0.7</v>
      </c>
    </row>
    <row r="54" spans="1:9" outlineLevel="1">
      <c r="B54" s="5" t="s">
        <v>39</v>
      </c>
      <c r="C54" s="8">
        <v>6.8</v>
      </c>
      <c r="D54" s="8">
        <v>4.2</v>
      </c>
      <c r="E54" s="8">
        <v>2.1</v>
      </c>
      <c r="F54" s="8">
        <v>0</v>
      </c>
    </row>
    <row r="55" spans="1:9" outlineLevel="1">
      <c r="A55" s="2"/>
    </row>
    <row r="56" spans="1:9" ht="38.25" outlineLevel="1">
      <c r="A56" s="2" t="s">
        <v>44</v>
      </c>
      <c r="B56" s="483" t="s">
        <v>45</v>
      </c>
      <c r="C56" s="483" t="s">
        <v>46</v>
      </c>
    </row>
    <row r="57" spans="1:9" outlineLevel="1">
      <c r="B57" s="35">
        <v>0</v>
      </c>
      <c r="C57" s="6">
        <v>0</v>
      </c>
    </row>
    <row r="58" spans="1:9" outlineLevel="1">
      <c r="B58" s="35">
        <v>6</v>
      </c>
      <c r="C58" s="6">
        <v>4</v>
      </c>
      <c r="E58" s="14" t="s">
        <v>95</v>
      </c>
      <c r="F58" s="2">
        <v>12</v>
      </c>
    </row>
    <row r="59" spans="1:9" outlineLevel="1">
      <c r="B59" s="35">
        <v>12</v>
      </c>
      <c r="C59" s="6">
        <v>8</v>
      </c>
    </row>
    <row r="60" spans="1:9" outlineLevel="1">
      <c r="B60" s="35">
        <v>18</v>
      </c>
      <c r="C60" s="6">
        <v>12</v>
      </c>
    </row>
    <row r="61" spans="1:9" outlineLevel="1">
      <c r="B61" s="6" t="s">
        <v>47</v>
      </c>
      <c r="C61" s="6">
        <v>16</v>
      </c>
    </row>
    <row r="62" spans="1:9" outlineLevel="1"/>
    <row r="63" spans="1:9" ht="25.5" outlineLevel="1">
      <c r="A63" s="2" t="s">
        <v>48</v>
      </c>
      <c r="B63" s="7" t="s">
        <v>49</v>
      </c>
      <c r="E63" s="14">
        <v>673</v>
      </c>
    </row>
    <row r="64" spans="1:9" outlineLevel="1"/>
    <row r="65" spans="1:41" ht="63.75" outlineLevel="1">
      <c r="A65" s="2" t="s">
        <v>51</v>
      </c>
      <c r="B65" s="656" t="s">
        <v>52</v>
      </c>
      <c r="C65" s="656" t="s">
        <v>53</v>
      </c>
      <c r="D65" s="656"/>
      <c r="E65" s="656"/>
      <c r="F65" s="656"/>
      <c r="G65" s="656"/>
      <c r="H65" s="656"/>
      <c r="J65" s="2" t="s">
        <v>32</v>
      </c>
      <c r="K65" s="656" t="s">
        <v>33</v>
      </c>
      <c r="L65" s="653" t="s">
        <v>34</v>
      </c>
      <c r="M65" s="654"/>
      <c r="N65" s="654"/>
      <c r="O65" s="655"/>
      <c r="AH65" s="2" t="s">
        <v>51</v>
      </c>
    </row>
    <row r="66" spans="1:41" outlineLevel="1">
      <c r="B66" s="656"/>
      <c r="C66" s="656" t="s">
        <v>54</v>
      </c>
      <c r="D66" s="656"/>
      <c r="E66" s="656"/>
      <c r="F66" s="656"/>
      <c r="G66" s="656"/>
      <c r="H66" s="656"/>
      <c r="K66" s="656"/>
      <c r="L66" s="653" t="s">
        <v>35</v>
      </c>
      <c r="M66" s="654"/>
      <c r="N66" s="654"/>
      <c r="O66" s="655"/>
    </row>
    <row r="67" spans="1:41" outlineLevel="1">
      <c r="B67" s="656"/>
      <c r="C67" s="26">
        <v>0</v>
      </c>
      <c r="D67" s="26">
        <v>0.2</v>
      </c>
      <c r="E67" s="26">
        <v>0.4</v>
      </c>
      <c r="F67" s="26">
        <v>0.6</v>
      </c>
      <c r="G67" s="26">
        <v>0.8</v>
      </c>
      <c r="H67" s="26">
        <v>1</v>
      </c>
      <c r="I67" s="3"/>
      <c r="K67" s="671"/>
      <c r="L67" s="27">
        <v>0</v>
      </c>
      <c r="M67" s="27">
        <f t="shared" ref="M67:AE67" si="0">L67+0.1</f>
        <v>0.1</v>
      </c>
      <c r="N67" s="27">
        <f t="shared" si="0"/>
        <v>0.2</v>
      </c>
      <c r="O67" s="27">
        <f t="shared" si="0"/>
        <v>0.30000000000000004</v>
      </c>
      <c r="P67" s="27">
        <f t="shared" si="0"/>
        <v>0.4</v>
      </c>
      <c r="Q67" s="27">
        <f t="shared" si="0"/>
        <v>0.5</v>
      </c>
      <c r="R67" s="27">
        <f t="shared" si="0"/>
        <v>0.6</v>
      </c>
      <c r="S67" s="27">
        <f t="shared" si="0"/>
        <v>0.7</v>
      </c>
      <c r="T67" s="27">
        <f t="shared" si="0"/>
        <v>0.79999999999999993</v>
      </c>
      <c r="U67" s="27">
        <f t="shared" si="0"/>
        <v>0.89999999999999991</v>
      </c>
      <c r="V67" s="27">
        <f t="shared" si="0"/>
        <v>0.99999999999999989</v>
      </c>
      <c r="W67" s="27">
        <f t="shared" si="0"/>
        <v>1.0999999999999999</v>
      </c>
      <c r="X67" s="27">
        <f t="shared" si="0"/>
        <v>1.2</v>
      </c>
      <c r="Y67" s="27">
        <f t="shared" si="0"/>
        <v>1.3</v>
      </c>
      <c r="Z67" s="27">
        <f t="shared" si="0"/>
        <v>1.4000000000000001</v>
      </c>
      <c r="AA67" s="27">
        <f t="shared" si="0"/>
        <v>1.5000000000000002</v>
      </c>
      <c r="AB67" s="27">
        <f t="shared" si="0"/>
        <v>1.6000000000000003</v>
      </c>
      <c r="AC67" s="27">
        <f t="shared" si="0"/>
        <v>1.7000000000000004</v>
      </c>
      <c r="AD67" s="27">
        <f t="shared" si="0"/>
        <v>1.8000000000000005</v>
      </c>
      <c r="AE67" s="27">
        <f t="shared" si="0"/>
        <v>1.9000000000000006</v>
      </c>
      <c r="AF67" s="27">
        <v>10</v>
      </c>
      <c r="AJ67" s="26">
        <v>0</v>
      </c>
      <c r="AL67" s="26">
        <v>0.4</v>
      </c>
      <c r="AM67" s="26">
        <v>0.6</v>
      </c>
      <c r="AN67" s="26">
        <v>0.8</v>
      </c>
      <c r="AO67" s="26">
        <v>1</v>
      </c>
    </row>
    <row r="68" spans="1:41" outlineLevel="1">
      <c r="B68" s="5">
        <v>0</v>
      </c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3"/>
      <c r="K68" s="28">
        <v>2.7</v>
      </c>
      <c r="L68" s="32">
        <f t="shared" ref="L68:Q69" si="1">$Q$70</f>
        <v>10.3</v>
      </c>
      <c r="M68" s="32">
        <f t="shared" si="1"/>
        <v>10.3</v>
      </c>
      <c r="N68" s="32">
        <f t="shared" si="1"/>
        <v>10.3</v>
      </c>
      <c r="O68" s="32">
        <f t="shared" si="1"/>
        <v>10.3</v>
      </c>
      <c r="P68" s="30">
        <f t="shared" si="1"/>
        <v>10.3</v>
      </c>
      <c r="Q68" s="30">
        <f t="shared" si="1"/>
        <v>10.3</v>
      </c>
      <c r="R68" s="22">
        <v>7.7</v>
      </c>
      <c r="S68" s="22">
        <v>7.7</v>
      </c>
      <c r="T68" s="22">
        <v>7.7</v>
      </c>
      <c r="U68" s="22">
        <v>7.7</v>
      </c>
      <c r="V68" s="22">
        <v>7.7</v>
      </c>
      <c r="W68" s="22">
        <v>7.7</v>
      </c>
      <c r="X68" s="30">
        <v>5.6</v>
      </c>
      <c r="Y68" s="30">
        <v>5.6</v>
      </c>
      <c r="Z68" s="30">
        <v>5.6</v>
      </c>
      <c r="AA68" s="30">
        <v>5.6</v>
      </c>
      <c r="AB68" s="30">
        <v>5.6</v>
      </c>
      <c r="AC68" s="30">
        <v>5.6</v>
      </c>
      <c r="AD68" s="22">
        <v>3.5</v>
      </c>
      <c r="AE68" s="22">
        <v>3.5</v>
      </c>
      <c r="AF68" s="22">
        <v>3.5</v>
      </c>
      <c r="AI68" s="5">
        <v>0</v>
      </c>
      <c r="AJ68" s="6">
        <v>0</v>
      </c>
      <c r="AK68" s="26">
        <v>0</v>
      </c>
    </row>
    <row r="69" spans="1:41" outlineLevel="1">
      <c r="B69" s="5">
        <v>200</v>
      </c>
      <c r="C69" s="6">
        <v>0</v>
      </c>
      <c r="D69" s="6">
        <v>1</v>
      </c>
      <c r="E69" s="6">
        <v>2.2999999999999998</v>
      </c>
      <c r="F69" s="6">
        <v>3.8</v>
      </c>
      <c r="G69" s="6">
        <v>4.2</v>
      </c>
      <c r="H69" s="6">
        <v>5.6</v>
      </c>
      <c r="I69" s="3"/>
      <c r="K69" s="28">
        <v>2.8</v>
      </c>
      <c r="L69" s="32">
        <f t="shared" si="1"/>
        <v>10.3</v>
      </c>
      <c r="M69" s="32">
        <f t="shared" si="1"/>
        <v>10.3</v>
      </c>
      <c r="N69" s="32">
        <f t="shared" si="1"/>
        <v>10.3</v>
      </c>
      <c r="O69" s="32">
        <f t="shared" si="1"/>
        <v>10.3</v>
      </c>
      <c r="P69" s="30">
        <f t="shared" si="1"/>
        <v>10.3</v>
      </c>
      <c r="Q69" s="30">
        <f t="shared" si="1"/>
        <v>10.3</v>
      </c>
      <c r="R69" s="22">
        <v>7.7</v>
      </c>
      <c r="S69" s="22">
        <v>7.7</v>
      </c>
      <c r="T69" s="22">
        <v>7.7</v>
      </c>
      <c r="U69" s="22">
        <v>7.7</v>
      </c>
      <c r="V69" s="22">
        <v>7.7</v>
      </c>
      <c r="W69" s="22">
        <v>7.7</v>
      </c>
      <c r="X69" s="30">
        <v>5.6</v>
      </c>
      <c r="Y69" s="30">
        <v>5.6</v>
      </c>
      <c r="Z69" s="30">
        <v>5.6</v>
      </c>
      <c r="AA69" s="30">
        <v>5.6</v>
      </c>
      <c r="AB69" s="30">
        <v>5.6</v>
      </c>
      <c r="AC69" s="30">
        <v>5.6</v>
      </c>
      <c r="AD69" s="22">
        <v>3.5</v>
      </c>
      <c r="AE69" s="22">
        <v>3.5</v>
      </c>
      <c r="AF69" s="22">
        <v>3.5</v>
      </c>
      <c r="AI69" s="5">
        <v>200</v>
      </c>
      <c r="AJ69" s="6">
        <v>0</v>
      </c>
      <c r="AK69" s="26">
        <v>0</v>
      </c>
    </row>
    <row r="70" spans="1:41" outlineLevel="1">
      <c r="B70" s="5">
        <v>400</v>
      </c>
      <c r="C70" s="6">
        <v>0</v>
      </c>
      <c r="D70" s="6">
        <v>2.7</v>
      </c>
      <c r="E70" s="6">
        <v>4.3</v>
      </c>
      <c r="F70" s="6">
        <v>5.7</v>
      </c>
      <c r="G70" s="6">
        <v>6.3</v>
      </c>
      <c r="H70" s="6">
        <v>7.3</v>
      </c>
      <c r="I70" s="3">
        <v>700</v>
      </c>
      <c r="J70" s="3" t="s">
        <v>373</v>
      </c>
      <c r="K70" s="28">
        <v>2.9</v>
      </c>
      <c r="L70" s="32">
        <f>$Q$70</f>
        <v>10.3</v>
      </c>
      <c r="M70" s="32">
        <f>$Q$70</f>
        <v>10.3</v>
      </c>
      <c r="N70" s="32">
        <f>$Q$70</f>
        <v>10.3</v>
      </c>
      <c r="O70" s="32">
        <f>$Q$70</f>
        <v>10.3</v>
      </c>
      <c r="P70" s="30">
        <f>$Q$70</f>
        <v>10.3</v>
      </c>
      <c r="Q70" s="30">
        <f>C51</f>
        <v>10.3</v>
      </c>
      <c r="R70" s="22">
        <v>7.7</v>
      </c>
      <c r="S70" s="22">
        <v>7.7</v>
      </c>
      <c r="T70" s="22">
        <v>7.7</v>
      </c>
      <c r="U70" s="22">
        <v>7.7</v>
      </c>
      <c r="V70" s="22">
        <v>7.7</v>
      </c>
      <c r="W70" s="22">
        <v>7.7</v>
      </c>
      <c r="X70" s="30">
        <v>5.6</v>
      </c>
      <c r="Y70" s="30">
        <v>5.6</v>
      </c>
      <c r="Z70" s="30">
        <v>5.6</v>
      </c>
      <c r="AA70" s="30">
        <v>5.6</v>
      </c>
      <c r="AB70" s="30">
        <v>5.6</v>
      </c>
      <c r="AC70" s="30">
        <v>5.6</v>
      </c>
      <c r="AD70" s="22">
        <v>3.5</v>
      </c>
      <c r="AE70" s="22">
        <v>3.5</v>
      </c>
      <c r="AF70" s="22">
        <v>3.5</v>
      </c>
      <c r="AI70" s="5">
        <v>400</v>
      </c>
      <c r="AJ70" s="6">
        <v>0</v>
      </c>
      <c r="AK70" s="26">
        <v>0</v>
      </c>
    </row>
    <row r="71" spans="1:41" outlineLevel="1">
      <c r="B71" s="5">
        <v>600</v>
      </c>
      <c r="C71" s="6">
        <v>0</v>
      </c>
      <c r="D71" s="393">
        <v>2.5</v>
      </c>
      <c r="E71" s="393">
        <v>3.8</v>
      </c>
      <c r="F71" s="6">
        <v>4.9000000000000004</v>
      </c>
      <c r="G71" s="6">
        <v>5.5</v>
      </c>
      <c r="H71" s="6">
        <v>6.2</v>
      </c>
      <c r="I71" s="431">
        <v>0.3</v>
      </c>
      <c r="J71" s="3" t="s">
        <v>418</v>
      </c>
      <c r="K71" s="28">
        <v>3</v>
      </c>
      <c r="L71" s="29">
        <v>8.5</v>
      </c>
      <c r="M71" s="29">
        <v>8.5</v>
      </c>
      <c r="N71" s="29">
        <v>8.5</v>
      </c>
      <c r="O71" s="29">
        <v>8.5</v>
      </c>
      <c r="P71" s="22">
        <v>8.5</v>
      </c>
      <c r="Q71" s="22">
        <v>8.5</v>
      </c>
      <c r="R71" s="30">
        <v>5.9</v>
      </c>
      <c r="S71" s="30">
        <v>5.9</v>
      </c>
      <c r="T71" s="30">
        <v>5.9</v>
      </c>
      <c r="U71" s="30">
        <v>5.9</v>
      </c>
      <c r="V71" s="30">
        <v>5.9</v>
      </c>
      <c r="W71" s="30">
        <v>5.9</v>
      </c>
      <c r="X71" s="22">
        <v>3.8</v>
      </c>
      <c r="Y71" s="22">
        <v>3.8</v>
      </c>
      <c r="Z71" s="22">
        <v>3.8</v>
      </c>
      <c r="AA71" s="22">
        <v>3.8</v>
      </c>
      <c r="AB71" s="22">
        <v>3.8</v>
      </c>
      <c r="AC71" s="22">
        <v>3.8</v>
      </c>
      <c r="AD71" s="30">
        <v>1.7</v>
      </c>
      <c r="AE71" s="30">
        <v>1.7</v>
      </c>
      <c r="AF71" s="30">
        <v>1.7</v>
      </c>
      <c r="AI71" s="5">
        <v>600</v>
      </c>
      <c r="AJ71" s="6">
        <v>0</v>
      </c>
      <c r="AK71" s="26">
        <v>0</v>
      </c>
    </row>
    <row r="72" spans="1:41" outlineLevel="1">
      <c r="B72" s="5">
        <v>800</v>
      </c>
      <c r="C72" s="6">
        <v>0</v>
      </c>
      <c r="D72" s="393">
        <v>2.2000000000000002</v>
      </c>
      <c r="E72" s="393">
        <v>3.1</v>
      </c>
      <c r="F72" s="6">
        <v>3.9</v>
      </c>
      <c r="G72" s="6">
        <v>4.3</v>
      </c>
      <c r="H72" s="6">
        <v>4.9000000000000004</v>
      </c>
      <c r="I72" s="3"/>
      <c r="K72" s="28">
        <v>3.1</v>
      </c>
      <c r="L72" s="22">
        <v>8.5</v>
      </c>
      <c r="M72" s="22">
        <v>8.5</v>
      </c>
      <c r="N72" s="22">
        <v>8.5</v>
      </c>
      <c r="O72" s="22">
        <v>8.5</v>
      </c>
      <c r="P72" s="22">
        <v>8.5</v>
      </c>
      <c r="Q72" s="22">
        <v>8.5</v>
      </c>
      <c r="R72" s="30">
        <v>5.9</v>
      </c>
      <c r="S72" s="30">
        <v>5.9</v>
      </c>
      <c r="T72" s="30">
        <v>5.9</v>
      </c>
      <c r="U72" s="30">
        <v>5.9</v>
      </c>
      <c r="V72" s="30">
        <v>5.9</v>
      </c>
      <c r="W72" s="30">
        <v>5.9</v>
      </c>
      <c r="X72" s="22">
        <v>3.8</v>
      </c>
      <c r="Y72" s="22">
        <v>3.8</v>
      </c>
      <c r="Z72" s="22">
        <v>3.8</v>
      </c>
      <c r="AA72" s="22">
        <v>3.8</v>
      </c>
      <c r="AB72" s="22">
        <v>3.8</v>
      </c>
      <c r="AC72" s="22">
        <v>3.8</v>
      </c>
      <c r="AD72" s="30">
        <v>1.7</v>
      </c>
      <c r="AE72" s="30">
        <v>1.7</v>
      </c>
      <c r="AF72" s="30">
        <v>1.7</v>
      </c>
      <c r="AI72" s="5">
        <v>800</v>
      </c>
      <c r="AJ72" s="6">
        <v>0</v>
      </c>
      <c r="AK72" s="26">
        <v>0</v>
      </c>
    </row>
    <row r="73" spans="1:41" outlineLevel="1">
      <c r="B73" s="5">
        <v>1000</v>
      </c>
      <c r="C73" s="6">
        <v>0</v>
      </c>
      <c r="D73" s="6">
        <v>1.8</v>
      </c>
      <c r="E73" s="6">
        <v>2.5</v>
      </c>
      <c r="F73" s="6">
        <v>3.2</v>
      </c>
      <c r="G73" s="6">
        <v>3.6</v>
      </c>
      <c r="H73" s="6">
        <v>4.2</v>
      </c>
      <c r="I73" s="3"/>
      <c r="K73" s="28">
        <v>3.2</v>
      </c>
      <c r="L73" s="22">
        <v>8.5</v>
      </c>
      <c r="M73" s="22">
        <v>8.5</v>
      </c>
      <c r="N73" s="22">
        <v>8.5</v>
      </c>
      <c r="O73" s="22">
        <v>8.5</v>
      </c>
      <c r="P73" s="22">
        <v>8.5</v>
      </c>
      <c r="Q73" s="22">
        <v>8.5</v>
      </c>
      <c r="R73" s="30">
        <v>5.9</v>
      </c>
      <c r="S73" s="30">
        <v>5.9</v>
      </c>
      <c r="T73" s="30">
        <v>5.9</v>
      </c>
      <c r="U73" s="30">
        <v>5.9</v>
      </c>
      <c r="V73" s="30">
        <v>5.9</v>
      </c>
      <c r="W73" s="30">
        <v>5.9</v>
      </c>
      <c r="X73" s="22">
        <v>3.8</v>
      </c>
      <c r="Y73" s="22">
        <v>3.8</v>
      </c>
      <c r="Z73" s="22">
        <v>3.8</v>
      </c>
      <c r="AA73" s="22">
        <v>3.8</v>
      </c>
      <c r="AB73" s="22">
        <v>3.8</v>
      </c>
      <c r="AC73" s="22">
        <v>3.8</v>
      </c>
      <c r="AD73" s="30">
        <v>1.7</v>
      </c>
      <c r="AE73" s="30">
        <v>1.7</v>
      </c>
      <c r="AF73" s="30">
        <v>1.7</v>
      </c>
      <c r="AI73" s="5">
        <v>1000</v>
      </c>
      <c r="AJ73" s="6">
        <v>0</v>
      </c>
      <c r="AK73" s="26">
        <v>0</v>
      </c>
    </row>
    <row r="74" spans="1:41" outlineLevel="1">
      <c r="B74" s="5">
        <v>1200</v>
      </c>
      <c r="C74" s="6">
        <v>0</v>
      </c>
      <c r="D74" s="6">
        <v>1.3</v>
      </c>
      <c r="E74" s="6">
        <v>2</v>
      </c>
      <c r="F74" s="6">
        <v>2.6</v>
      </c>
      <c r="G74" s="6">
        <v>3</v>
      </c>
      <c r="H74" s="6">
        <v>3.4</v>
      </c>
      <c r="I74" s="3"/>
      <c r="K74" s="28">
        <v>3.3</v>
      </c>
      <c r="L74" s="30">
        <v>7.5</v>
      </c>
      <c r="M74" s="30">
        <v>7.5</v>
      </c>
      <c r="N74" s="30">
        <v>7.5</v>
      </c>
      <c r="O74" s="30">
        <v>7.5</v>
      </c>
      <c r="P74" s="30">
        <v>7.5</v>
      </c>
      <c r="Q74" s="30">
        <v>7.5</v>
      </c>
      <c r="R74" s="22">
        <v>4.9000000000000004</v>
      </c>
      <c r="S74" s="22">
        <v>4.9000000000000004</v>
      </c>
      <c r="T74" s="22">
        <v>4.9000000000000004</v>
      </c>
      <c r="U74" s="22">
        <v>4.9000000000000004</v>
      </c>
      <c r="V74" s="22">
        <v>4.9000000000000004</v>
      </c>
      <c r="W74" s="22">
        <v>4.9000000000000004</v>
      </c>
      <c r="X74" s="30">
        <v>2.8</v>
      </c>
      <c r="Y74" s="30">
        <v>2.8</v>
      </c>
      <c r="Z74" s="30">
        <v>2.8</v>
      </c>
      <c r="AA74" s="30">
        <v>2.8</v>
      </c>
      <c r="AB74" s="30">
        <v>2.8</v>
      </c>
      <c r="AC74" s="30">
        <v>2.8</v>
      </c>
      <c r="AD74" s="22">
        <v>0.7</v>
      </c>
      <c r="AE74" s="22">
        <v>0.7</v>
      </c>
      <c r="AF74" s="22">
        <v>0.7</v>
      </c>
      <c r="AI74" s="5">
        <v>1200</v>
      </c>
      <c r="AJ74" s="6">
        <v>0</v>
      </c>
      <c r="AK74" s="26">
        <v>0</v>
      </c>
    </row>
    <row r="75" spans="1:41" outlineLevel="1">
      <c r="B75" s="5">
        <v>1400</v>
      </c>
      <c r="C75" s="6">
        <v>0</v>
      </c>
      <c r="D75" s="6">
        <v>0.9</v>
      </c>
      <c r="E75" s="6">
        <v>1.4</v>
      </c>
      <c r="F75" s="6">
        <v>1.9</v>
      </c>
      <c r="G75" s="6">
        <v>2.2999999999999998</v>
      </c>
      <c r="H75" s="6">
        <v>2.7</v>
      </c>
      <c r="I75" s="3"/>
      <c r="K75" s="28">
        <v>3.4</v>
      </c>
      <c r="L75" s="30">
        <v>7.5</v>
      </c>
      <c r="M75" s="30">
        <v>7.5</v>
      </c>
      <c r="N75" s="30">
        <v>7.5</v>
      </c>
      <c r="O75" s="30">
        <v>7.5</v>
      </c>
      <c r="P75" s="30">
        <v>7.5</v>
      </c>
      <c r="Q75" s="30">
        <v>7.5</v>
      </c>
      <c r="R75" s="22">
        <v>4.9000000000000004</v>
      </c>
      <c r="S75" s="22">
        <v>4.9000000000000004</v>
      </c>
      <c r="T75" s="22">
        <v>4.9000000000000004</v>
      </c>
      <c r="U75" s="22">
        <v>4.9000000000000004</v>
      </c>
      <c r="V75" s="22">
        <v>4.9000000000000004</v>
      </c>
      <c r="W75" s="22">
        <v>4.9000000000000004</v>
      </c>
      <c r="X75" s="30">
        <v>2.8</v>
      </c>
      <c r="Y75" s="30">
        <v>2.8</v>
      </c>
      <c r="Z75" s="30">
        <v>2.8</v>
      </c>
      <c r="AA75" s="30">
        <v>2.8</v>
      </c>
      <c r="AB75" s="30">
        <v>2.8</v>
      </c>
      <c r="AC75" s="30">
        <v>2.8</v>
      </c>
      <c r="AD75" s="22">
        <v>0.7</v>
      </c>
      <c r="AE75" s="22">
        <v>0.7</v>
      </c>
      <c r="AF75" s="22">
        <v>0.7</v>
      </c>
      <c r="AI75" s="5">
        <v>1400</v>
      </c>
      <c r="AJ75" s="6">
        <v>0</v>
      </c>
      <c r="AK75" s="26">
        <v>0</v>
      </c>
    </row>
    <row r="76" spans="1:41" outlineLevel="1">
      <c r="B76" s="5">
        <v>1600</v>
      </c>
      <c r="C76" s="6">
        <v>0</v>
      </c>
      <c r="D76" s="6">
        <v>0.9</v>
      </c>
      <c r="E76" s="6">
        <v>1.3</v>
      </c>
      <c r="F76" s="6">
        <v>1.7</v>
      </c>
      <c r="G76" s="6">
        <v>2.1</v>
      </c>
      <c r="H76" s="6">
        <v>2.4</v>
      </c>
      <c r="I76" s="3"/>
      <c r="K76" s="28">
        <v>3.5</v>
      </c>
      <c r="L76" s="30">
        <v>7.5</v>
      </c>
      <c r="M76" s="30">
        <v>7.5</v>
      </c>
      <c r="N76" s="30">
        <v>7.5</v>
      </c>
      <c r="O76" s="30">
        <v>7.5</v>
      </c>
      <c r="P76" s="30">
        <v>7.5</v>
      </c>
      <c r="Q76" s="30">
        <v>7.5</v>
      </c>
      <c r="R76" s="22">
        <v>4.9000000000000004</v>
      </c>
      <c r="S76" s="22">
        <v>4.9000000000000004</v>
      </c>
      <c r="T76" s="22">
        <v>4.9000000000000004</v>
      </c>
      <c r="U76" s="22">
        <v>4.9000000000000004</v>
      </c>
      <c r="V76" s="22">
        <v>4.9000000000000004</v>
      </c>
      <c r="W76" s="22">
        <v>4.9000000000000004</v>
      </c>
      <c r="X76" s="30">
        <v>2.8</v>
      </c>
      <c r="Y76" s="30">
        <v>2.8</v>
      </c>
      <c r="Z76" s="30">
        <v>2.8</v>
      </c>
      <c r="AA76" s="30">
        <v>2.8</v>
      </c>
      <c r="AB76" s="30">
        <v>2.8</v>
      </c>
      <c r="AC76" s="30">
        <v>2.8</v>
      </c>
      <c r="AD76" s="22">
        <v>0.7</v>
      </c>
      <c r="AE76" s="22">
        <v>0.7</v>
      </c>
      <c r="AF76" s="22">
        <v>0.7</v>
      </c>
      <c r="AI76" s="5">
        <v>1600</v>
      </c>
      <c r="AJ76" s="6">
        <v>0</v>
      </c>
      <c r="AK76" s="26">
        <v>0</v>
      </c>
    </row>
    <row r="77" spans="1:41" outlineLevel="1">
      <c r="B77" s="5">
        <v>1800</v>
      </c>
      <c r="C77" s="6">
        <v>0</v>
      </c>
      <c r="D77" s="6">
        <v>0.8</v>
      </c>
      <c r="E77" s="6">
        <v>1.1000000000000001</v>
      </c>
      <c r="F77" s="6">
        <v>1.6</v>
      </c>
      <c r="G77" s="6">
        <v>1.8</v>
      </c>
      <c r="H77" s="6">
        <v>2.1</v>
      </c>
      <c r="I77" s="3"/>
      <c r="K77" s="28">
        <v>3.6</v>
      </c>
      <c r="L77" s="22">
        <v>6.8</v>
      </c>
      <c r="M77" s="22">
        <v>6.8</v>
      </c>
      <c r="N77" s="22">
        <v>6.8</v>
      </c>
      <c r="O77" s="22">
        <v>6.8</v>
      </c>
      <c r="P77" s="22">
        <v>6.8</v>
      </c>
      <c r="Q77" s="22">
        <v>6.8</v>
      </c>
      <c r="R77" s="30">
        <v>4.2</v>
      </c>
      <c r="S77" s="30">
        <v>4.2</v>
      </c>
      <c r="T77" s="30">
        <v>4.2</v>
      </c>
      <c r="U77" s="30">
        <v>4.2</v>
      </c>
      <c r="V77" s="30">
        <v>4.2</v>
      </c>
      <c r="W77" s="30">
        <v>4.2</v>
      </c>
      <c r="X77" s="31">
        <v>2.1</v>
      </c>
      <c r="Y77" s="31">
        <v>2.1</v>
      </c>
      <c r="Z77" s="31">
        <v>2.1</v>
      </c>
      <c r="AA77" s="31">
        <v>2.1</v>
      </c>
      <c r="AB77" s="31">
        <v>2.1</v>
      </c>
      <c r="AC77" s="31">
        <v>2.1</v>
      </c>
      <c r="AD77" s="30">
        <v>0</v>
      </c>
      <c r="AE77" s="30">
        <v>0</v>
      </c>
      <c r="AF77" s="30">
        <v>0</v>
      </c>
      <c r="AI77" s="5">
        <v>1800</v>
      </c>
      <c r="AJ77" s="6">
        <v>0</v>
      </c>
      <c r="AK77" s="26">
        <v>0</v>
      </c>
    </row>
    <row r="78" spans="1:41" outlineLevel="1">
      <c r="B78" s="5">
        <v>2000</v>
      </c>
      <c r="C78" s="6">
        <v>0</v>
      </c>
      <c r="D78" s="6">
        <v>0.8</v>
      </c>
      <c r="E78" s="6">
        <v>1</v>
      </c>
      <c r="F78" s="6">
        <v>1.4</v>
      </c>
      <c r="G78" s="6">
        <v>1.6</v>
      </c>
      <c r="H78" s="6">
        <v>1.8</v>
      </c>
      <c r="I78" s="3"/>
      <c r="K78" s="28">
        <v>3.7</v>
      </c>
      <c r="L78" s="22">
        <v>6.8</v>
      </c>
      <c r="M78" s="22">
        <v>6.8</v>
      </c>
      <c r="N78" s="22">
        <v>6.8</v>
      </c>
      <c r="O78" s="22">
        <v>6.8</v>
      </c>
      <c r="P78" s="22">
        <v>6.8</v>
      </c>
      <c r="Q78" s="22">
        <v>6.8</v>
      </c>
      <c r="R78" s="30">
        <v>4.2</v>
      </c>
      <c r="S78" s="30">
        <v>4.2</v>
      </c>
      <c r="T78" s="30">
        <v>4.2</v>
      </c>
      <c r="U78" s="30">
        <v>4.2</v>
      </c>
      <c r="V78" s="30">
        <v>4.2</v>
      </c>
      <c r="W78" s="30">
        <v>4.2</v>
      </c>
      <c r="X78" s="31">
        <v>2.1</v>
      </c>
      <c r="Y78" s="31">
        <v>2.1</v>
      </c>
      <c r="Z78" s="31">
        <v>2.1</v>
      </c>
      <c r="AA78" s="31">
        <v>2.1</v>
      </c>
      <c r="AB78" s="31">
        <v>2.1</v>
      </c>
      <c r="AC78" s="31">
        <v>2.1</v>
      </c>
      <c r="AD78" s="30">
        <v>0</v>
      </c>
      <c r="AE78" s="30">
        <v>0</v>
      </c>
      <c r="AF78" s="30">
        <v>0</v>
      </c>
      <c r="AI78" s="5">
        <v>2000</v>
      </c>
      <c r="AJ78" s="6">
        <v>0</v>
      </c>
      <c r="AK78" s="26">
        <v>0</v>
      </c>
    </row>
    <row r="79" spans="1:41" outlineLevel="1">
      <c r="B79" s="5">
        <v>2200</v>
      </c>
      <c r="C79" s="6">
        <v>0</v>
      </c>
      <c r="D79" s="6">
        <v>0.8</v>
      </c>
      <c r="E79" s="6">
        <v>1</v>
      </c>
      <c r="F79" s="6">
        <v>1.4</v>
      </c>
      <c r="G79" s="6">
        <v>1.5</v>
      </c>
      <c r="H79" s="6">
        <v>1.7</v>
      </c>
      <c r="I79" s="3"/>
      <c r="K79" s="28">
        <v>3.8</v>
      </c>
      <c r="L79" s="22">
        <v>6.8</v>
      </c>
      <c r="M79" s="22">
        <v>6.8</v>
      </c>
      <c r="N79" s="22">
        <v>6.8</v>
      </c>
      <c r="O79" s="22">
        <v>6.8</v>
      </c>
      <c r="P79" s="22">
        <v>6.8</v>
      </c>
      <c r="Q79" s="22">
        <v>6.8</v>
      </c>
      <c r="R79" s="30">
        <v>4.2</v>
      </c>
      <c r="S79" s="30">
        <v>4.2</v>
      </c>
      <c r="T79" s="30">
        <v>4.2</v>
      </c>
      <c r="U79" s="30">
        <v>4.2</v>
      </c>
      <c r="V79" s="30">
        <v>4.2</v>
      </c>
      <c r="W79" s="30">
        <v>4.2</v>
      </c>
      <c r="X79" s="31">
        <v>2.1</v>
      </c>
      <c r="Y79" s="31">
        <v>2.1</v>
      </c>
      <c r="Z79" s="31">
        <v>2.1</v>
      </c>
      <c r="AA79" s="31">
        <v>2.1</v>
      </c>
      <c r="AB79" s="31">
        <v>2.1</v>
      </c>
      <c r="AC79" s="31">
        <v>2.1</v>
      </c>
      <c r="AD79" s="30">
        <v>0</v>
      </c>
      <c r="AE79" s="30">
        <v>0</v>
      </c>
      <c r="AF79" s="30">
        <v>0</v>
      </c>
      <c r="AI79" s="5">
        <v>2200</v>
      </c>
      <c r="AJ79" s="6">
        <v>0</v>
      </c>
      <c r="AK79" s="26">
        <v>0</v>
      </c>
    </row>
    <row r="80" spans="1:41" outlineLevel="1">
      <c r="B80" s="5">
        <v>2400</v>
      </c>
      <c r="C80" s="6">
        <v>0</v>
      </c>
      <c r="D80" s="6">
        <v>0.8</v>
      </c>
      <c r="E80" s="6">
        <v>1</v>
      </c>
      <c r="F80" s="6">
        <v>1.3</v>
      </c>
      <c r="G80" s="6">
        <v>1.5</v>
      </c>
      <c r="H80" s="6">
        <v>1.7</v>
      </c>
      <c r="I80" s="3"/>
      <c r="K80" s="28">
        <v>3.9</v>
      </c>
      <c r="L80" s="22">
        <v>6.8</v>
      </c>
      <c r="M80" s="22">
        <v>6.8</v>
      </c>
      <c r="N80" s="22">
        <v>6.8</v>
      </c>
      <c r="O80" s="22">
        <v>6.8</v>
      </c>
      <c r="P80" s="22">
        <v>6.8</v>
      </c>
      <c r="Q80" s="22">
        <v>6.8</v>
      </c>
      <c r="R80" s="30">
        <v>4.2</v>
      </c>
      <c r="S80" s="30">
        <v>4.2</v>
      </c>
      <c r="T80" s="30">
        <v>4.2</v>
      </c>
      <c r="U80" s="30">
        <v>4.2</v>
      </c>
      <c r="V80" s="30">
        <v>4.2</v>
      </c>
      <c r="W80" s="30">
        <v>4.2</v>
      </c>
      <c r="X80" s="31">
        <v>2.1</v>
      </c>
      <c r="Y80" s="31">
        <v>2.1</v>
      </c>
      <c r="Z80" s="31">
        <v>2.1</v>
      </c>
      <c r="AA80" s="31">
        <v>2.1</v>
      </c>
      <c r="AB80" s="31">
        <v>2.1</v>
      </c>
      <c r="AC80" s="31">
        <v>2.1</v>
      </c>
      <c r="AD80" s="30">
        <v>0</v>
      </c>
      <c r="AE80" s="30">
        <v>0</v>
      </c>
      <c r="AF80" s="30">
        <v>0</v>
      </c>
      <c r="AI80" s="5">
        <v>2400</v>
      </c>
      <c r="AJ80" s="6">
        <v>0</v>
      </c>
      <c r="AK80" s="26">
        <v>0</v>
      </c>
    </row>
    <row r="81" spans="1:37" outlineLevel="1">
      <c r="B81" s="5">
        <v>2600</v>
      </c>
      <c r="C81" s="6">
        <v>0</v>
      </c>
      <c r="D81" s="6">
        <v>0.8</v>
      </c>
      <c r="E81" s="6">
        <v>1</v>
      </c>
      <c r="F81" s="6">
        <v>1.3</v>
      </c>
      <c r="G81" s="6">
        <v>1.4</v>
      </c>
      <c r="H81" s="6">
        <v>1.6</v>
      </c>
      <c r="I81" s="3"/>
      <c r="K81" s="28">
        <v>4</v>
      </c>
      <c r="L81" s="22">
        <v>6.8</v>
      </c>
      <c r="M81" s="22">
        <v>6.8</v>
      </c>
      <c r="N81" s="22">
        <v>6.8</v>
      </c>
      <c r="O81" s="22">
        <v>6.8</v>
      </c>
      <c r="P81" s="22">
        <v>6.8</v>
      </c>
      <c r="Q81" s="22">
        <v>6.8</v>
      </c>
      <c r="R81" s="30">
        <v>4.2</v>
      </c>
      <c r="S81" s="30">
        <v>4.2</v>
      </c>
      <c r="T81" s="30">
        <v>4.2</v>
      </c>
      <c r="U81" s="30">
        <v>4.2</v>
      </c>
      <c r="V81" s="30">
        <v>4.2</v>
      </c>
      <c r="W81" s="30">
        <v>4.2</v>
      </c>
      <c r="X81" s="31">
        <v>2.1</v>
      </c>
      <c r="Y81" s="31">
        <v>2.1</v>
      </c>
      <c r="Z81" s="31">
        <v>2.1</v>
      </c>
      <c r="AA81" s="31">
        <v>2.1</v>
      </c>
      <c r="AB81" s="31">
        <v>2.1</v>
      </c>
      <c r="AC81" s="31">
        <v>2.1</v>
      </c>
      <c r="AD81" s="30">
        <v>0</v>
      </c>
      <c r="AE81" s="30">
        <v>0</v>
      </c>
      <c r="AF81" s="30">
        <v>0</v>
      </c>
      <c r="AI81" s="5">
        <v>2600</v>
      </c>
      <c r="AJ81" s="6">
        <v>0</v>
      </c>
      <c r="AK81" s="26">
        <v>0</v>
      </c>
    </row>
    <row r="82" spans="1:37" outlineLevel="1">
      <c r="B82" s="5">
        <v>2800</v>
      </c>
      <c r="C82" s="6">
        <v>0</v>
      </c>
      <c r="D82" s="6">
        <v>0.8</v>
      </c>
      <c r="E82" s="6">
        <v>1</v>
      </c>
      <c r="F82" s="6">
        <v>1.2</v>
      </c>
      <c r="G82" s="6">
        <v>1.3</v>
      </c>
      <c r="H82" s="6">
        <v>1.4</v>
      </c>
      <c r="I82" s="3"/>
      <c r="K82" s="28">
        <v>4.0999999999999996</v>
      </c>
      <c r="L82" s="22">
        <v>6.8</v>
      </c>
      <c r="M82" s="22">
        <v>6.8</v>
      </c>
      <c r="N82" s="22">
        <v>6.8</v>
      </c>
      <c r="O82" s="22">
        <v>6.8</v>
      </c>
      <c r="P82" s="22">
        <v>6.8</v>
      </c>
      <c r="Q82" s="22">
        <v>6.8</v>
      </c>
      <c r="R82" s="30">
        <v>4.2</v>
      </c>
      <c r="S82" s="30">
        <v>4.2</v>
      </c>
      <c r="T82" s="30">
        <v>4.2</v>
      </c>
      <c r="U82" s="30">
        <v>4.2</v>
      </c>
      <c r="V82" s="30">
        <v>4.2</v>
      </c>
      <c r="W82" s="30">
        <v>4.2</v>
      </c>
      <c r="X82" s="31">
        <v>2.1</v>
      </c>
      <c r="Y82" s="31">
        <v>2.1</v>
      </c>
      <c r="Z82" s="31">
        <v>2.1</v>
      </c>
      <c r="AA82" s="31">
        <v>2.1</v>
      </c>
      <c r="AB82" s="31">
        <v>2.1</v>
      </c>
      <c r="AC82" s="31">
        <v>2.1</v>
      </c>
      <c r="AD82" s="30">
        <v>0</v>
      </c>
      <c r="AE82" s="30">
        <v>0</v>
      </c>
      <c r="AF82" s="30">
        <v>0</v>
      </c>
      <c r="AI82" s="5">
        <v>2800</v>
      </c>
      <c r="AJ82" s="6">
        <v>0</v>
      </c>
      <c r="AK82" s="26">
        <v>0</v>
      </c>
    </row>
    <row r="83" spans="1:37" outlineLevel="1">
      <c r="B83" s="5">
        <v>3000</v>
      </c>
      <c r="C83" s="6">
        <v>0</v>
      </c>
      <c r="D83" s="6">
        <v>0.8</v>
      </c>
      <c r="E83" s="6">
        <v>0.9</v>
      </c>
      <c r="F83" s="6">
        <v>1.1000000000000001</v>
      </c>
      <c r="G83" s="6">
        <v>1.1000000000000001</v>
      </c>
      <c r="H83" s="6">
        <v>1.3</v>
      </c>
      <c r="I83" s="3"/>
      <c r="K83" s="28">
        <v>4.2</v>
      </c>
      <c r="L83" s="22">
        <v>6.8</v>
      </c>
      <c r="M83" s="22">
        <v>6.8</v>
      </c>
      <c r="N83" s="22">
        <v>6.8</v>
      </c>
      <c r="O83" s="22">
        <v>6.8</v>
      </c>
      <c r="P83" s="22">
        <v>6.8</v>
      </c>
      <c r="Q83" s="22">
        <v>6.8</v>
      </c>
      <c r="R83" s="30">
        <v>4.2</v>
      </c>
      <c r="S83" s="30">
        <v>4.2</v>
      </c>
      <c r="T83" s="30">
        <v>4.2</v>
      </c>
      <c r="U83" s="30">
        <v>4.2</v>
      </c>
      <c r="V83" s="30">
        <v>4.2</v>
      </c>
      <c r="W83" s="30">
        <v>4.2</v>
      </c>
      <c r="X83" s="31">
        <v>2.1</v>
      </c>
      <c r="Y83" s="31">
        <v>2.1</v>
      </c>
      <c r="Z83" s="31">
        <v>2.1</v>
      </c>
      <c r="AA83" s="31">
        <v>2.1</v>
      </c>
      <c r="AB83" s="31">
        <v>2.1</v>
      </c>
      <c r="AC83" s="31">
        <v>2.1</v>
      </c>
      <c r="AD83" s="30">
        <v>0</v>
      </c>
      <c r="AE83" s="30">
        <v>0</v>
      </c>
      <c r="AF83" s="30">
        <v>0</v>
      </c>
      <c r="AI83" s="5">
        <v>3000</v>
      </c>
      <c r="AJ83" s="6">
        <v>0</v>
      </c>
      <c r="AK83" s="26">
        <v>0</v>
      </c>
    </row>
    <row r="84" spans="1:37" outlineLevel="1">
      <c r="B84" s="5">
        <v>3200</v>
      </c>
      <c r="C84" s="6">
        <v>0</v>
      </c>
      <c r="D84" s="6">
        <v>0.8</v>
      </c>
      <c r="E84" s="6">
        <v>0.9</v>
      </c>
      <c r="F84" s="6">
        <v>1</v>
      </c>
      <c r="G84" s="6">
        <v>1</v>
      </c>
      <c r="H84" s="6">
        <v>1.1000000000000001</v>
      </c>
      <c r="I84" s="3"/>
      <c r="AI84" s="5">
        <v>3200</v>
      </c>
      <c r="AJ84" s="6">
        <v>0</v>
      </c>
      <c r="AK84" s="26">
        <v>0</v>
      </c>
    </row>
    <row r="85" spans="1:37" outlineLevel="1">
      <c r="AI85" s="5">
        <v>0</v>
      </c>
      <c r="AJ85" s="6">
        <v>0</v>
      </c>
      <c r="AK85" s="26">
        <v>0.2</v>
      </c>
    </row>
    <row r="86" spans="1:37" ht="12.75" customHeight="1" outlineLevel="1">
      <c r="A86" s="3" t="s">
        <v>103</v>
      </c>
      <c r="B86" s="671" t="s">
        <v>52</v>
      </c>
      <c r="C86" s="653" t="s">
        <v>54</v>
      </c>
      <c r="D86" s="654"/>
      <c r="E86" s="654"/>
      <c r="F86" s="654"/>
      <c r="G86" s="654"/>
      <c r="H86" s="655"/>
      <c r="J86" s="656" t="s">
        <v>54</v>
      </c>
      <c r="K86" s="656"/>
      <c r="L86" s="656"/>
      <c r="M86" s="656"/>
      <c r="N86" s="656"/>
      <c r="O86" s="656"/>
      <c r="AI86" s="5">
        <v>200</v>
      </c>
      <c r="AJ86" s="6">
        <v>1</v>
      </c>
      <c r="AK86" s="26">
        <v>0.2</v>
      </c>
    </row>
    <row r="87" spans="1:37" outlineLevel="1">
      <c r="B87" s="672"/>
      <c r="C87" s="26">
        <v>0</v>
      </c>
      <c r="D87" s="26">
        <v>0.2</v>
      </c>
      <c r="E87" s="26">
        <v>0.4</v>
      </c>
      <c r="F87" s="26">
        <v>0.6</v>
      </c>
      <c r="G87" s="26">
        <v>0.8</v>
      </c>
      <c r="H87" s="26">
        <v>1</v>
      </c>
      <c r="J87" s="26">
        <v>0</v>
      </c>
      <c r="K87" s="26">
        <v>0.2</v>
      </c>
      <c r="L87" s="26">
        <v>0.4</v>
      </c>
      <c r="M87" s="26">
        <v>0.6</v>
      </c>
      <c r="N87" s="26">
        <v>0.8</v>
      </c>
      <c r="O87" s="26">
        <v>1</v>
      </c>
      <c r="AI87" s="5">
        <v>400</v>
      </c>
      <c r="AJ87" s="6">
        <v>2.7</v>
      </c>
      <c r="AK87" s="26">
        <v>0.2</v>
      </c>
    </row>
    <row r="88" spans="1:37" outlineLevel="1">
      <c r="B88" s="36">
        <v>0</v>
      </c>
      <c r="C88" s="34">
        <v>0</v>
      </c>
      <c r="D88" s="34">
        <v>10.1</v>
      </c>
      <c r="E88" s="34">
        <v>17.2</v>
      </c>
      <c r="F88" s="34">
        <v>20.2</v>
      </c>
      <c r="G88" s="34">
        <v>21</v>
      </c>
      <c r="H88" s="34">
        <v>21.8</v>
      </c>
      <c r="J88" s="34">
        <v>0</v>
      </c>
      <c r="K88" s="34">
        <v>10.1</v>
      </c>
      <c r="L88" s="34">
        <v>17.2</v>
      </c>
      <c r="M88" s="34">
        <v>20.2</v>
      </c>
      <c r="N88" s="34">
        <v>21</v>
      </c>
      <c r="O88" s="34">
        <v>21.8</v>
      </c>
      <c r="AI88" s="5">
        <v>600</v>
      </c>
      <c r="AJ88" s="393">
        <v>2.5</v>
      </c>
      <c r="AK88" s="26">
        <v>0.2</v>
      </c>
    </row>
    <row r="89" spans="1:37" outlineLevel="1">
      <c r="B89" s="36">
        <v>200</v>
      </c>
      <c r="C89" s="34">
        <v>0</v>
      </c>
      <c r="D89" s="34">
        <v>10.1</v>
      </c>
      <c r="E89" s="34">
        <v>17.2</v>
      </c>
      <c r="F89" s="34">
        <v>20.2</v>
      </c>
      <c r="G89" s="34">
        <v>21</v>
      </c>
      <c r="H89" s="34">
        <v>21.8</v>
      </c>
      <c r="J89" s="34">
        <v>0</v>
      </c>
      <c r="K89" s="34">
        <v>10.1</v>
      </c>
      <c r="L89" s="34">
        <v>17.2</v>
      </c>
      <c r="M89" s="34">
        <v>20.2</v>
      </c>
      <c r="N89" s="34">
        <v>21</v>
      </c>
      <c r="O89" s="34">
        <v>21.8</v>
      </c>
      <c r="AI89" s="5">
        <v>800</v>
      </c>
      <c r="AJ89" s="393">
        <v>2.2000000000000002</v>
      </c>
      <c r="AK89" s="26">
        <v>0.2</v>
      </c>
    </row>
    <row r="90" spans="1:37" outlineLevel="1">
      <c r="B90" s="5">
        <v>400</v>
      </c>
      <c r="C90" s="34">
        <v>0</v>
      </c>
      <c r="D90" s="34">
        <v>12.4</v>
      </c>
      <c r="E90" s="34">
        <v>19</v>
      </c>
      <c r="F90" s="34">
        <v>22.7</v>
      </c>
      <c r="G90" s="34">
        <v>23.8</v>
      </c>
      <c r="H90" s="34">
        <v>24.8</v>
      </c>
      <c r="J90" s="34">
        <v>0</v>
      </c>
      <c r="K90" s="34">
        <v>12.4</v>
      </c>
      <c r="L90" s="34">
        <v>19</v>
      </c>
      <c r="M90" s="34">
        <v>22.7</v>
      </c>
      <c r="N90" s="34">
        <v>23.8</v>
      </c>
      <c r="O90" s="34">
        <v>24.8</v>
      </c>
      <c r="AI90" s="5">
        <v>1000</v>
      </c>
      <c r="AJ90" s="6">
        <v>1.8</v>
      </c>
      <c r="AK90" s="26">
        <v>0.2</v>
      </c>
    </row>
    <row r="91" spans="1:37" outlineLevel="1">
      <c r="B91" s="36">
        <v>600</v>
      </c>
      <c r="C91" s="34">
        <v>0</v>
      </c>
      <c r="D91" s="34">
        <v>11.2</v>
      </c>
      <c r="E91" s="34">
        <v>16</v>
      </c>
      <c r="F91" s="34">
        <v>18.7</v>
      </c>
      <c r="G91" s="34">
        <v>19.7</v>
      </c>
      <c r="H91" s="34">
        <v>20.5</v>
      </c>
      <c r="J91" s="34">
        <v>0</v>
      </c>
      <c r="K91" s="34">
        <v>11.2</v>
      </c>
      <c r="L91" s="34">
        <v>16</v>
      </c>
      <c r="M91" s="34">
        <v>18.7</v>
      </c>
      <c r="N91" s="34">
        <v>19.7</v>
      </c>
      <c r="O91" s="34">
        <v>20.5</v>
      </c>
      <c r="AI91" s="5">
        <v>1200</v>
      </c>
      <c r="AJ91" s="6">
        <v>1.3</v>
      </c>
      <c r="AK91" s="26">
        <v>0.2</v>
      </c>
    </row>
    <row r="92" spans="1:37" outlineLevel="1">
      <c r="B92" s="5">
        <v>800</v>
      </c>
      <c r="C92" s="34">
        <v>0</v>
      </c>
      <c r="D92" s="34">
        <v>9</v>
      </c>
      <c r="E92" s="34">
        <v>12.3</v>
      </c>
      <c r="F92" s="34">
        <v>14.1</v>
      </c>
      <c r="G92" s="34">
        <v>14.5</v>
      </c>
      <c r="H92" s="34">
        <v>15.4</v>
      </c>
      <c r="J92" s="34">
        <v>0</v>
      </c>
      <c r="K92" s="34">
        <v>9</v>
      </c>
      <c r="L92" s="34">
        <v>12.3</v>
      </c>
      <c r="M92" s="34">
        <v>14.1</v>
      </c>
      <c r="N92" s="34">
        <v>14.5</v>
      </c>
      <c r="O92" s="34">
        <v>15.4</v>
      </c>
      <c r="AI92" s="5">
        <v>1400</v>
      </c>
      <c r="AJ92" s="6">
        <v>0.9</v>
      </c>
      <c r="AK92" s="26">
        <v>0.2</v>
      </c>
    </row>
    <row r="93" spans="1:37" outlineLevel="1">
      <c r="B93" s="36">
        <v>1000</v>
      </c>
      <c r="C93" s="34">
        <v>0</v>
      </c>
      <c r="D93" s="388">
        <v>7.2</v>
      </c>
      <c r="E93" s="388">
        <v>10.033333333333335</v>
      </c>
      <c r="F93" s="388">
        <v>11.633333333333333</v>
      </c>
      <c r="G93" s="388">
        <v>12.1</v>
      </c>
      <c r="H93" s="388">
        <v>12.9</v>
      </c>
      <c r="I93" s="387">
        <f>(D92-D95)*2/3+D95</f>
        <v>7.2</v>
      </c>
      <c r="J93" s="34">
        <v>0</v>
      </c>
      <c r="K93" s="388">
        <f>(K92-K95)*2/3+K95</f>
        <v>7.2</v>
      </c>
      <c r="L93" s="388">
        <f>(L92-L95)*2/3+L95</f>
        <v>10.033333333333335</v>
      </c>
      <c r="M93" s="388">
        <f>(M92-M95)*2/3+M95</f>
        <v>11.633333333333333</v>
      </c>
      <c r="N93" s="388">
        <f>(N92-N95)*2/3+N95</f>
        <v>12.1</v>
      </c>
      <c r="O93" s="388">
        <f>(O92-O95)*2/3+O95</f>
        <v>12.9</v>
      </c>
      <c r="AI93" s="5">
        <v>1600</v>
      </c>
      <c r="AJ93" s="6">
        <v>0.9</v>
      </c>
      <c r="AK93" s="26">
        <v>0.2</v>
      </c>
    </row>
    <row r="94" spans="1:37" outlineLevel="1">
      <c r="B94" s="36">
        <v>1200</v>
      </c>
      <c r="C94" s="34">
        <v>0</v>
      </c>
      <c r="D94" s="388">
        <v>5.4</v>
      </c>
      <c r="E94" s="388">
        <v>7.7666666666666675</v>
      </c>
      <c r="F94" s="388">
        <v>9.1666666666666661</v>
      </c>
      <c r="G94" s="388">
        <v>9.6999999999999993</v>
      </c>
      <c r="H94" s="388">
        <v>10.4</v>
      </c>
      <c r="I94" s="387">
        <f>(D92-D95)*1/3+D95</f>
        <v>5.4</v>
      </c>
      <c r="J94" s="34">
        <v>0</v>
      </c>
      <c r="K94" s="388">
        <f>(K92-K95)*1/3+K95</f>
        <v>5.4</v>
      </c>
      <c r="L94" s="388">
        <f>(L92-L95)*1/3+L95</f>
        <v>7.7666666666666675</v>
      </c>
      <c r="M94" s="388">
        <f>(M92-M95)*1/3+M95</f>
        <v>9.1666666666666661</v>
      </c>
      <c r="N94" s="388">
        <f>(N92-N95)*1/3+N95</f>
        <v>9.6999999999999993</v>
      </c>
      <c r="O94" s="388">
        <f>(O92-O95)*1/3+O95</f>
        <v>10.4</v>
      </c>
      <c r="AI94" s="5">
        <v>1800</v>
      </c>
      <c r="AJ94" s="6">
        <v>0.8</v>
      </c>
      <c r="AK94" s="26">
        <v>0.2</v>
      </c>
    </row>
    <row r="95" spans="1:37" outlineLevel="1">
      <c r="B95" s="36">
        <v>1400</v>
      </c>
      <c r="C95" s="34">
        <v>0</v>
      </c>
      <c r="D95" s="34">
        <v>3.6</v>
      </c>
      <c r="E95" s="34">
        <v>5.5</v>
      </c>
      <c r="F95" s="34">
        <v>6.7</v>
      </c>
      <c r="G95" s="34">
        <v>7.3</v>
      </c>
      <c r="H95" s="34">
        <v>7.9</v>
      </c>
      <c r="J95" s="34">
        <v>0</v>
      </c>
      <c r="K95" s="34">
        <v>3.6</v>
      </c>
      <c r="L95" s="34">
        <v>5.5</v>
      </c>
      <c r="M95" s="34">
        <v>6.7</v>
      </c>
      <c r="N95" s="34">
        <v>7.3</v>
      </c>
      <c r="O95" s="34">
        <v>7.9</v>
      </c>
      <c r="AI95" s="5">
        <v>2000</v>
      </c>
      <c r="AJ95" s="6">
        <v>0.8</v>
      </c>
      <c r="AK95" s="26">
        <v>0.2</v>
      </c>
    </row>
    <row r="96" spans="1:37" outlineLevel="1">
      <c r="B96" s="5">
        <v>1600</v>
      </c>
      <c r="C96" s="34">
        <v>0</v>
      </c>
      <c r="D96" s="388">
        <v>3</v>
      </c>
      <c r="E96" s="388">
        <v>4.6333333333333329</v>
      </c>
      <c r="F96" s="388">
        <v>5.7</v>
      </c>
      <c r="G96" s="388">
        <v>6.2333333333333325</v>
      </c>
      <c r="H96" s="388">
        <v>6.7333333333333343</v>
      </c>
      <c r="I96" s="387">
        <f>(D95-D98)*2/3+D98</f>
        <v>3</v>
      </c>
      <c r="J96" s="34">
        <v>0</v>
      </c>
      <c r="K96" s="388">
        <f>(K95-K98)*2/3+K98</f>
        <v>3</v>
      </c>
      <c r="L96" s="388">
        <f>(L95-L98)*2/3+L98</f>
        <v>4.6333333333333329</v>
      </c>
      <c r="M96" s="388">
        <f>(M95-M98)*2/3+M98</f>
        <v>5.7</v>
      </c>
      <c r="N96" s="388">
        <f>(N95-N98)*2/3+N98</f>
        <v>6.2333333333333325</v>
      </c>
      <c r="O96" s="388">
        <f>(O95-O98)*2/3+O98</f>
        <v>6.7333333333333343</v>
      </c>
      <c r="AI96" s="5">
        <v>2200</v>
      </c>
      <c r="AJ96" s="6">
        <v>0.8</v>
      </c>
      <c r="AK96" s="26">
        <v>0.2</v>
      </c>
    </row>
    <row r="97" spans="1:37" outlineLevel="1">
      <c r="B97" s="5">
        <v>1800</v>
      </c>
      <c r="C97" s="34">
        <v>0</v>
      </c>
      <c r="D97" s="388">
        <v>2.4</v>
      </c>
      <c r="E97" s="388">
        <v>3.7666666666666666</v>
      </c>
      <c r="F97" s="388">
        <v>4.7</v>
      </c>
      <c r="G97" s="388">
        <v>5.1666666666666661</v>
      </c>
      <c r="H97" s="388">
        <v>5.5666666666666673</v>
      </c>
      <c r="I97" s="387">
        <f>(D95-D98)*1/3+D98</f>
        <v>2.4</v>
      </c>
      <c r="J97" s="34">
        <v>0</v>
      </c>
      <c r="K97" s="388">
        <f>(K95-K98)*1/3+K98</f>
        <v>2.4</v>
      </c>
      <c r="L97" s="388">
        <f>(L95-L98)*1/3+L98</f>
        <v>3.7666666666666666</v>
      </c>
      <c r="M97" s="388">
        <f>(M95-M98)*1/3+M98</f>
        <v>4.7</v>
      </c>
      <c r="N97" s="388">
        <f>(N95-N98)*1/3+N98</f>
        <v>5.1666666666666661</v>
      </c>
      <c r="O97" s="388">
        <f>(O95-O98)*1/3+O98</f>
        <v>5.5666666666666673</v>
      </c>
      <c r="AI97" s="5">
        <v>2400</v>
      </c>
      <c r="AJ97" s="6">
        <v>0.8</v>
      </c>
      <c r="AK97" s="26">
        <v>0.2</v>
      </c>
    </row>
    <row r="98" spans="1:37" outlineLevel="1">
      <c r="B98" s="5">
        <v>2000</v>
      </c>
      <c r="C98" s="34">
        <v>0</v>
      </c>
      <c r="D98" s="34">
        <v>1.8</v>
      </c>
      <c r="E98" s="34">
        <v>2.9</v>
      </c>
      <c r="F98" s="34">
        <v>3.7</v>
      </c>
      <c r="G98" s="34">
        <v>4.0999999999999996</v>
      </c>
      <c r="H98" s="34">
        <v>4.4000000000000004</v>
      </c>
      <c r="J98" s="34">
        <v>0</v>
      </c>
      <c r="K98" s="34">
        <v>1.8</v>
      </c>
      <c r="L98" s="34">
        <v>2.9</v>
      </c>
      <c r="M98" s="34">
        <v>3.7</v>
      </c>
      <c r="N98" s="34">
        <v>4.0999999999999996</v>
      </c>
      <c r="O98" s="34">
        <v>4.4000000000000004</v>
      </c>
      <c r="AI98" s="5">
        <v>2600</v>
      </c>
      <c r="AJ98" s="6">
        <v>0.8</v>
      </c>
      <c r="AK98" s="26">
        <v>0.2</v>
      </c>
    </row>
    <row r="99" spans="1:37" outlineLevel="1">
      <c r="B99" s="36">
        <v>2200</v>
      </c>
      <c r="C99" s="34">
        <v>0</v>
      </c>
      <c r="D99" s="388">
        <v>1.5666666666666667</v>
      </c>
      <c r="E99" s="388">
        <v>2.4666666666666668</v>
      </c>
      <c r="F99" s="388">
        <v>3.1333333333333337</v>
      </c>
      <c r="G99" s="388">
        <v>3.5</v>
      </c>
      <c r="H99" s="388">
        <v>3.7333333333333334</v>
      </c>
      <c r="I99" s="387">
        <f>(D98-D101)*2/3+D101</f>
        <v>1.5666666666666667</v>
      </c>
      <c r="J99" s="34">
        <v>0</v>
      </c>
      <c r="K99" s="388">
        <f>(K98-K101)*2/3+K101</f>
        <v>1.5666666666666667</v>
      </c>
      <c r="L99" s="388">
        <f>(L98-L101)*2/3+L101</f>
        <v>2.4666666666666668</v>
      </c>
      <c r="M99" s="388">
        <f>(M98-M101)*2/3+M101</f>
        <v>3.1333333333333337</v>
      </c>
      <c r="N99" s="388">
        <f>(N98-N101)*2/3+N101</f>
        <v>3.5</v>
      </c>
      <c r="O99" s="388">
        <f>(O98-O101)*2/3+O101</f>
        <v>3.7333333333333334</v>
      </c>
      <c r="AI99" s="5">
        <v>2800</v>
      </c>
      <c r="AJ99" s="6">
        <v>0.8</v>
      </c>
      <c r="AK99" s="26">
        <v>0.2</v>
      </c>
    </row>
    <row r="100" spans="1:37" outlineLevel="1">
      <c r="B100" s="36">
        <v>2400</v>
      </c>
      <c r="C100" s="34">
        <v>0</v>
      </c>
      <c r="D100" s="388">
        <v>1.3333333333333335</v>
      </c>
      <c r="E100" s="388">
        <v>2.0333333333333332</v>
      </c>
      <c r="F100" s="388">
        <v>2.5666666666666669</v>
      </c>
      <c r="G100" s="388">
        <v>2.9</v>
      </c>
      <c r="H100" s="388">
        <v>3.0666666666666669</v>
      </c>
      <c r="I100" s="387">
        <f>(D98-D101)*1/3+D101</f>
        <v>1.3333333333333335</v>
      </c>
      <c r="J100" s="34">
        <v>0</v>
      </c>
      <c r="K100" s="388">
        <f>(K98-K101)*1/3+K101</f>
        <v>1.3333333333333335</v>
      </c>
      <c r="L100" s="388">
        <f>(L98-L101)*1/3+L101</f>
        <v>2.0333333333333332</v>
      </c>
      <c r="M100" s="388">
        <f>(M98-M101)*1/3+M101</f>
        <v>2.5666666666666669</v>
      </c>
      <c r="N100" s="388">
        <f>(N98-N101)*1/3+N101</f>
        <v>2.9</v>
      </c>
      <c r="O100" s="388">
        <f>(O98-O101)*1/3+O101</f>
        <v>3.0666666666666669</v>
      </c>
      <c r="AI100" s="5">
        <v>3000</v>
      </c>
      <c r="AJ100" s="6">
        <v>0.8</v>
      </c>
      <c r="AK100" s="26">
        <v>0.2</v>
      </c>
    </row>
    <row r="101" spans="1:37" outlineLevel="1">
      <c r="B101" s="36">
        <v>2600</v>
      </c>
      <c r="C101" s="34">
        <v>0</v>
      </c>
      <c r="D101" s="34">
        <v>1.1000000000000001</v>
      </c>
      <c r="E101" s="34">
        <v>1.6</v>
      </c>
      <c r="F101" s="34">
        <v>2</v>
      </c>
      <c r="G101" s="34">
        <v>2.2999999999999998</v>
      </c>
      <c r="H101" s="34">
        <v>2.4</v>
      </c>
      <c r="J101" s="34">
        <v>0</v>
      </c>
      <c r="K101" s="34">
        <v>1.1000000000000001</v>
      </c>
      <c r="L101" s="34">
        <v>1.6</v>
      </c>
      <c r="M101" s="34">
        <v>2</v>
      </c>
      <c r="N101" s="34">
        <v>2.2999999999999998</v>
      </c>
      <c r="O101" s="34">
        <v>2.4</v>
      </c>
      <c r="AI101" s="5">
        <v>3200</v>
      </c>
      <c r="AJ101" s="6">
        <v>0.8</v>
      </c>
      <c r="AK101" s="26">
        <v>0.2</v>
      </c>
    </row>
    <row r="102" spans="1:37" outlineLevel="1">
      <c r="B102" s="5">
        <v>2800</v>
      </c>
      <c r="C102" s="34">
        <v>0</v>
      </c>
      <c r="D102" s="34">
        <v>0.7</v>
      </c>
      <c r="E102" s="34">
        <v>0.9</v>
      </c>
      <c r="F102" s="34">
        <v>1.1000000000000001</v>
      </c>
      <c r="G102" s="34">
        <v>1.2</v>
      </c>
      <c r="H102" s="34">
        <v>1.4</v>
      </c>
      <c r="J102" s="34">
        <v>0</v>
      </c>
      <c r="K102" s="34">
        <v>0.7</v>
      </c>
      <c r="L102" s="34">
        <v>0.9</v>
      </c>
      <c r="M102" s="34">
        <v>1.1000000000000001</v>
      </c>
      <c r="N102" s="34">
        <v>1.2</v>
      </c>
      <c r="O102" s="34">
        <v>1.4</v>
      </c>
      <c r="AI102" s="5">
        <v>0</v>
      </c>
      <c r="AJ102" s="6">
        <v>0</v>
      </c>
      <c r="AK102" s="26">
        <v>0.4</v>
      </c>
    </row>
    <row r="103" spans="1:37" outlineLevel="1">
      <c r="B103" s="5">
        <v>3000</v>
      </c>
      <c r="C103" s="34">
        <v>0</v>
      </c>
      <c r="D103" s="34">
        <v>0.7</v>
      </c>
      <c r="E103" s="34">
        <v>0.9</v>
      </c>
      <c r="F103" s="34">
        <v>1.1000000000000001</v>
      </c>
      <c r="G103" s="34">
        <v>1.2</v>
      </c>
      <c r="H103" s="34">
        <v>1.4</v>
      </c>
      <c r="J103" s="34">
        <v>0</v>
      </c>
      <c r="K103" s="34">
        <v>0.7</v>
      </c>
      <c r="L103" s="34">
        <v>0.9</v>
      </c>
      <c r="M103" s="34">
        <v>1.1000000000000001</v>
      </c>
      <c r="N103" s="34">
        <v>1.2</v>
      </c>
      <c r="O103" s="34">
        <v>1.4</v>
      </c>
      <c r="AI103" s="5">
        <v>200</v>
      </c>
      <c r="AJ103" s="6">
        <v>2.2999999999999998</v>
      </c>
      <c r="AK103" s="26">
        <v>0.4</v>
      </c>
    </row>
    <row r="104" spans="1:37" outlineLevel="1">
      <c r="B104" s="5">
        <v>3200</v>
      </c>
      <c r="C104" s="34">
        <v>0</v>
      </c>
      <c r="D104" s="34">
        <v>0.7</v>
      </c>
      <c r="E104" s="34">
        <v>0.9</v>
      </c>
      <c r="F104" s="34">
        <v>1.1000000000000001</v>
      </c>
      <c r="G104" s="34">
        <v>1.2</v>
      </c>
      <c r="H104" s="34">
        <v>1.4</v>
      </c>
      <c r="J104" s="34">
        <v>0</v>
      </c>
      <c r="K104" s="34">
        <v>0.7</v>
      </c>
      <c r="L104" s="34">
        <v>0.9</v>
      </c>
      <c r="M104" s="34">
        <v>1.1000000000000001</v>
      </c>
      <c r="N104" s="34">
        <v>1.2</v>
      </c>
      <c r="O104" s="34">
        <v>1.4</v>
      </c>
      <c r="AI104" s="5">
        <v>400</v>
      </c>
      <c r="AJ104" s="6">
        <v>4.3</v>
      </c>
      <c r="AK104" s="26">
        <v>0.4</v>
      </c>
    </row>
    <row r="105" spans="1:37" outlineLevel="1">
      <c r="J105" s="2"/>
      <c r="K105" s="2"/>
      <c r="L105" s="14"/>
      <c r="M105" s="2"/>
      <c r="N105" s="2"/>
      <c r="O105" s="2"/>
      <c r="AI105" s="5">
        <v>600</v>
      </c>
      <c r="AJ105" s="393">
        <v>3.8</v>
      </c>
      <c r="AK105" s="26">
        <v>0.4</v>
      </c>
    </row>
    <row r="106" spans="1:37" ht="12.75" customHeight="1" outlineLevel="1">
      <c r="A106" s="3" t="s">
        <v>386</v>
      </c>
      <c r="B106" s="671" t="s">
        <v>52</v>
      </c>
      <c r="C106" s="653" t="s">
        <v>54</v>
      </c>
      <c r="D106" s="654"/>
      <c r="E106" s="654"/>
      <c r="F106" s="654"/>
      <c r="G106" s="654"/>
      <c r="H106" s="655"/>
      <c r="J106" s="656" t="s">
        <v>54</v>
      </c>
      <c r="K106" s="656"/>
      <c r="L106" s="656"/>
      <c r="M106" s="656"/>
      <c r="N106" s="656"/>
      <c r="O106" s="656"/>
      <c r="AI106" s="5">
        <v>800</v>
      </c>
      <c r="AJ106" s="393">
        <v>3.1</v>
      </c>
      <c r="AK106" s="26">
        <v>0.4</v>
      </c>
    </row>
    <row r="107" spans="1:37" outlineLevel="1">
      <c r="B107" s="672"/>
      <c r="C107" s="26">
        <v>0</v>
      </c>
      <c r="D107" s="26">
        <v>0.2</v>
      </c>
      <c r="E107" s="26">
        <v>0.4</v>
      </c>
      <c r="F107" s="26">
        <v>0.6</v>
      </c>
      <c r="G107" s="26">
        <v>0.8</v>
      </c>
      <c r="H107" s="26">
        <v>1</v>
      </c>
      <c r="J107" s="26">
        <v>0</v>
      </c>
      <c r="K107" s="26">
        <v>0.2</v>
      </c>
      <c r="L107" s="26">
        <v>0.4</v>
      </c>
      <c r="M107" s="26">
        <v>0.6</v>
      </c>
      <c r="N107" s="26">
        <v>0.8</v>
      </c>
      <c r="O107" s="26">
        <v>1</v>
      </c>
      <c r="AI107" s="5">
        <v>1000</v>
      </c>
      <c r="AJ107" s="6">
        <v>2.5</v>
      </c>
      <c r="AK107" s="26">
        <v>0.4</v>
      </c>
    </row>
    <row r="108" spans="1:37" outlineLevel="1">
      <c r="B108" s="36">
        <v>0</v>
      </c>
      <c r="C108" s="34">
        <v>1.6</v>
      </c>
      <c r="D108" s="34">
        <v>11.8</v>
      </c>
      <c r="E108" s="34">
        <v>17.2</v>
      </c>
      <c r="F108" s="34">
        <v>22.5</v>
      </c>
      <c r="G108" s="34">
        <v>23.1</v>
      </c>
      <c r="H108" s="34">
        <v>23.7</v>
      </c>
      <c r="J108" s="34">
        <v>1.6</v>
      </c>
      <c r="K108" s="34">
        <v>11.8</v>
      </c>
      <c r="L108" s="34">
        <v>17.2</v>
      </c>
      <c r="M108" s="34">
        <v>22.5</v>
      </c>
      <c r="N108" s="34">
        <v>23.1</v>
      </c>
      <c r="O108" s="34">
        <v>23.7</v>
      </c>
      <c r="AI108" s="5">
        <v>1200</v>
      </c>
      <c r="AJ108" s="6">
        <v>2</v>
      </c>
      <c r="AK108" s="26">
        <v>0.4</v>
      </c>
    </row>
    <row r="109" spans="1:37" outlineLevel="1">
      <c r="B109" s="36">
        <v>200</v>
      </c>
      <c r="C109" s="34">
        <v>1.6</v>
      </c>
      <c r="D109" s="34">
        <v>11.8</v>
      </c>
      <c r="E109" s="34">
        <v>17.2</v>
      </c>
      <c r="F109" s="34">
        <v>22.5</v>
      </c>
      <c r="G109" s="34">
        <v>23.1</v>
      </c>
      <c r="H109" s="34">
        <v>23.7</v>
      </c>
      <c r="J109" s="34">
        <v>1.6</v>
      </c>
      <c r="K109" s="34">
        <v>11.8</v>
      </c>
      <c r="L109" s="34">
        <v>17.2</v>
      </c>
      <c r="M109" s="34">
        <v>22.5</v>
      </c>
      <c r="N109" s="34">
        <v>23.1</v>
      </c>
      <c r="O109" s="34">
        <v>23.7</v>
      </c>
      <c r="AI109" s="5">
        <v>1400</v>
      </c>
      <c r="AJ109" s="6">
        <v>1.4</v>
      </c>
      <c r="AK109" s="26">
        <v>0.4</v>
      </c>
    </row>
    <row r="110" spans="1:37" outlineLevel="1">
      <c r="B110" s="5">
        <v>400</v>
      </c>
      <c r="C110" s="34">
        <v>0.5</v>
      </c>
      <c r="D110" s="34">
        <v>11.7</v>
      </c>
      <c r="E110" s="34">
        <v>16.2</v>
      </c>
      <c r="F110" s="34">
        <v>20.7</v>
      </c>
      <c r="G110" s="34">
        <v>21.5</v>
      </c>
      <c r="H110" s="34">
        <v>22.2</v>
      </c>
      <c r="J110" s="34">
        <v>0.5</v>
      </c>
      <c r="K110" s="34">
        <v>11.7</v>
      </c>
      <c r="L110" s="34">
        <v>16.2</v>
      </c>
      <c r="M110" s="34">
        <v>20.7</v>
      </c>
      <c r="N110" s="34">
        <v>21.5</v>
      </c>
      <c r="O110" s="34">
        <v>22.2</v>
      </c>
      <c r="AI110" s="5">
        <v>1600</v>
      </c>
      <c r="AJ110" s="6">
        <v>1.3</v>
      </c>
      <c r="AK110" s="26">
        <v>0.4</v>
      </c>
    </row>
    <row r="111" spans="1:37" outlineLevel="1">
      <c r="B111" s="36">
        <v>600</v>
      </c>
      <c r="C111" s="34">
        <v>0</v>
      </c>
      <c r="D111" s="34">
        <v>11.5</v>
      </c>
      <c r="E111" s="34">
        <v>15.2</v>
      </c>
      <c r="F111" s="34">
        <v>18.899999999999999</v>
      </c>
      <c r="G111" s="34">
        <v>19.8</v>
      </c>
      <c r="H111" s="34">
        <v>20.7</v>
      </c>
      <c r="J111" s="34">
        <v>0</v>
      </c>
      <c r="K111" s="34">
        <v>11.5</v>
      </c>
      <c r="L111" s="34">
        <v>15.2</v>
      </c>
      <c r="M111" s="34">
        <v>18.899999999999999</v>
      </c>
      <c r="N111" s="34">
        <v>19.8</v>
      </c>
      <c r="O111" s="34">
        <v>20.7</v>
      </c>
      <c r="AI111" s="5">
        <v>1800</v>
      </c>
      <c r="AJ111" s="6">
        <v>1.1000000000000001</v>
      </c>
      <c r="AK111" s="26">
        <v>0.4</v>
      </c>
    </row>
    <row r="112" spans="1:37" outlineLevel="1">
      <c r="B112" s="5">
        <v>800</v>
      </c>
      <c r="C112" s="34">
        <v>0</v>
      </c>
      <c r="D112" s="34">
        <v>7.6</v>
      </c>
      <c r="E112" s="34">
        <v>10.3</v>
      </c>
      <c r="F112" s="34">
        <v>13</v>
      </c>
      <c r="G112" s="34">
        <v>13.7</v>
      </c>
      <c r="H112" s="34">
        <v>14.4</v>
      </c>
      <c r="J112" s="34">
        <v>0</v>
      </c>
      <c r="K112" s="34">
        <v>7.6</v>
      </c>
      <c r="L112" s="34">
        <v>10.3</v>
      </c>
      <c r="M112" s="34">
        <v>13</v>
      </c>
      <c r="N112" s="34">
        <v>13.7</v>
      </c>
      <c r="O112" s="34">
        <v>14.4</v>
      </c>
      <c r="AI112" s="5">
        <v>2000</v>
      </c>
      <c r="AJ112" s="6">
        <v>1</v>
      </c>
      <c r="AK112" s="26">
        <v>0.4</v>
      </c>
    </row>
    <row r="113" spans="1:37" outlineLevel="1">
      <c r="B113" s="36">
        <v>1000</v>
      </c>
      <c r="C113" s="34">
        <v>0</v>
      </c>
      <c r="D113" s="388">
        <v>6.3</v>
      </c>
      <c r="E113" s="388">
        <v>8.6666666666666679</v>
      </c>
      <c r="F113" s="388">
        <v>11.033333333333333</v>
      </c>
      <c r="G113" s="388">
        <v>11.666666666666666</v>
      </c>
      <c r="H113" s="388">
        <v>12.3</v>
      </c>
      <c r="J113" s="34">
        <v>0</v>
      </c>
      <c r="K113" s="388">
        <f>(K112-K115)*2/3+K115</f>
        <v>6.3</v>
      </c>
      <c r="L113" s="388">
        <f>(L112-L115)*2/3+L115</f>
        <v>8.6666666666666679</v>
      </c>
      <c r="M113" s="388">
        <f>(M112-M115)*2/3+M115</f>
        <v>11.033333333333333</v>
      </c>
      <c r="N113" s="388">
        <f>(N112-N115)*2/3+N115</f>
        <v>11.666666666666666</v>
      </c>
      <c r="O113" s="388">
        <f>(O112-O115)*2/3+O115</f>
        <v>12.3</v>
      </c>
      <c r="AI113" s="5">
        <v>2200</v>
      </c>
      <c r="AJ113" s="6">
        <v>1</v>
      </c>
      <c r="AK113" s="26">
        <v>0.4</v>
      </c>
    </row>
    <row r="114" spans="1:37" outlineLevel="1">
      <c r="B114" s="36">
        <v>1200</v>
      </c>
      <c r="C114" s="34">
        <v>0</v>
      </c>
      <c r="D114" s="388">
        <v>5</v>
      </c>
      <c r="E114" s="388">
        <v>7.0333333333333341</v>
      </c>
      <c r="F114" s="388">
        <v>9.0666666666666664</v>
      </c>
      <c r="G114" s="388">
        <v>9.6333333333333329</v>
      </c>
      <c r="H114" s="388">
        <v>10.199999999999999</v>
      </c>
      <c r="I114" s="3"/>
      <c r="J114" s="34">
        <v>0</v>
      </c>
      <c r="K114" s="388">
        <f>(K112-K115)*1/3+K115</f>
        <v>5</v>
      </c>
      <c r="L114" s="388">
        <f>(L112-L115)*1/3+L115</f>
        <v>7.0333333333333341</v>
      </c>
      <c r="M114" s="388">
        <f>(M112-M115)*1/3+M115</f>
        <v>9.0666666666666664</v>
      </c>
      <c r="N114" s="388">
        <f>(N112-N115)*1/3+N115</f>
        <v>9.6333333333333329</v>
      </c>
      <c r="O114" s="388">
        <f>(O112-O115)*1/3+O115</f>
        <v>10.199999999999999</v>
      </c>
      <c r="AI114" s="5">
        <v>2400</v>
      </c>
      <c r="AJ114" s="6">
        <v>1</v>
      </c>
      <c r="AK114" s="26">
        <v>0.4</v>
      </c>
    </row>
    <row r="115" spans="1:37" outlineLevel="1">
      <c r="A115" s="387"/>
      <c r="B115" s="36">
        <v>1400</v>
      </c>
      <c r="C115" s="34">
        <v>0</v>
      </c>
      <c r="D115" s="483">
        <v>3.7</v>
      </c>
      <c r="E115" s="34">
        <v>5.4</v>
      </c>
      <c r="F115" s="34">
        <v>7.1</v>
      </c>
      <c r="G115" s="34">
        <v>7.6</v>
      </c>
      <c r="H115" s="34">
        <v>8.1</v>
      </c>
      <c r="I115" s="3"/>
      <c r="J115" s="34">
        <v>0</v>
      </c>
      <c r="K115" s="483">
        <v>3.7</v>
      </c>
      <c r="L115" s="34">
        <v>5.4</v>
      </c>
      <c r="M115" s="34">
        <v>7.1</v>
      </c>
      <c r="N115" s="34">
        <v>7.6</v>
      </c>
      <c r="O115" s="34">
        <v>8.1</v>
      </c>
      <c r="AI115" s="5">
        <v>2600</v>
      </c>
      <c r="AJ115" s="6">
        <v>1</v>
      </c>
      <c r="AK115" s="26">
        <v>0.4</v>
      </c>
    </row>
    <row r="116" spans="1:37" outlineLevel="1">
      <c r="B116" s="5">
        <v>1600</v>
      </c>
      <c r="C116" s="34">
        <v>0</v>
      </c>
      <c r="D116" s="388">
        <v>3.2333333333333334</v>
      </c>
      <c r="E116" s="388">
        <v>4.7333333333333334</v>
      </c>
      <c r="F116" s="388">
        <v>5.9333333333333336</v>
      </c>
      <c r="G116" s="388">
        <v>6.4</v>
      </c>
      <c r="H116" s="388">
        <v>6.833333333333333</v>
      </c>
      <c r="I116" s="3"/>
      <c r="J116" s="34">
        <v>0</v>
      </c>
      <c r="K116" s="388">
        <f>(K115-K118)*2/3+K118</f>
        <v>3.2333333333333334</v>
      </c>
      <c r="L116" s="388">
        <f>(L115-L118)*2/3+L118</f>
        <v>4.7333333333333334</v>
      </c>
      <c r="M116" s="388">
        <f>(M115-M118)*2/3+M118</f>
        <v>5.9333333333333336</v>
      </c>
      <c r="N116" s="388">
        <f>(N115-N118)*2/3+N118</f>
        <v>6.4</v>
      </c>
      <c r="O116" s="388">
        <f>(O115-O118)*2/3+O118</f>
        <v>6.833333333333333</v>
      </c>
      <c r="AI116" s="5">
        <v>2800</v>
      </c>
      <c r="AJ116" s="6">
        <v>1</v>
      </c>
      <c r="AK116" s="26">
        <v>0.4</v>
      </c>
    </row>
    <row r="117" spans="1:37" outlineLevel="1">
      <c r="B117" s="5">
        <v>1800</v>
      </c>
      <c r="C117" s="34">
        <v>0</v>
      </c>
      <c r="D117" s="388">
        <v>2.7666666666666666</v>
      </c>
      <c r="E117" s="388">
        <v>4.0666666666666664</v>
      </c>
      <c r="F117" s="388">
        <v>4.7666666666666666</v>
      </c>
      <c r="G117" s="388">
        <v>5.2</v>
      </c>
      <c r="H117" s="388">
        <v>5.5666666666666664</v>
      </c>
      <c r="I117" s="3"/>
      <c r="J117" s="34">
        <v>0</v>
      </c>
      <c r="K117" s="388">
        <f>(K115-K118)*1/3+K118</f>
        <v>2.7666666666666666</v>
      </c>
      <c r="L117" s="388">
        <f>(L115-L118)*1/3+L118</f>
        <v>4.0666666666666664</v>
      </c>
      <c r="M117" s="388">
        <f>(M115-M118)*1/3+M118</f>
        <v>4.7666666666666666</v>
      </c>
      <c r="N117" s="388">
        <f>(N115-N118)*1/3+N118</f>
        <v>5.2</v>
      </c>
      <c r="O117" s="388">
        <f>(O115-O118)*1/3+O118</f>
        <v>5.5666666666666664</v>
      </c>
      <c r="AI117" s="5">
        <v>3000</v>
      </c>
      <c r="AJ117" s="6">
        <v>0.9</v>
      </c>
      <c r="AK117" s="26">
        <v>0.4</v>
      </c>
    </row>
    <row r="118" spans="1:37" outlineLevel="1">
      <c r="A118" s="2"/>
      <c r="B118" s="5">
        <v>2000</v>
      </c>
      <c r="C118" s="34">
        <v>0</v>
      </c>
      <c r="D118" s="34">
        <v>2.2999999999999998</v>
      </c>
      <c r="E118" s="34">
        <v>3.4</v>
      </c>
      <c r="F118" s="34">
        <v>3.6</v>
      </c>
      <c r="G118" s="34">
        <v>4</v>
      </c>
      <c r="H118" s="34">
        <v>4.3</v>
      </c>
      <c r="I118" s="3"/>
      <c r="J118" s="34">
        <v>0</v>
      </c>
      <c r="K118" s="34">
        <v>2.2999999999999998</v>
      </c>
      <c r="L118" s="34">
        <v>3.4</v>
      </c>
      <c r="M118" s="34">
        <v>3.6</v>
      </c>
      <c r="N118" s="34">
        <v>4</v>
      </c>
      <c r="O118" s="34">
        <v>4.3</v>
      </c>
      <c r="AI118" s="5">
        <v>3200</v>
      </c>
      <c r="AJ118" s="6">
        <v>0.9</v>
      </c>
      <c r="AK118" s="26">
        <v>0.4</v>
      </c>
    </row>
    <row r="119" spans="1:37" outlineLevel="1">
      <c r="B119" s="36">
        <v>2200</v>
      </c>
      <c r="C119" s="34">
        <v>0</v>
      </c>
      <c r="D119" s="388">
        <v>1.8333333333333333</v>
      </c>
      <c r="E119" s="388">
        <v>2.7333333333333334</v>
      </c>
      <c r="F119" s="388">
        <v>3.0333333333333332</v>
      </c>
      <c r="G119" s="388">
        <v>3.3666666666666667</v>
      </c>
      <c r="H119" s="388">
        <v>3.5999999999999996</v>
      </c>
      <c r="I119" s="3"/>
      <c r="J119" s="34">
        <v>0</v>
      </c>
      <c r="K119" s="388">
        <f>(K118-K121)*2/3+K121</f>
        <v>1.8333333333333333</v>
      </c>
      <c r="L119" s="388">
        <f>(L118-L121)*2/3+L121</f>
        <v>2.7333333333333334</v>
      </c>
      <c r="M119" s="388">
        <f>(M118-M121)*2/3+M121</f>
        <v>3.0333333333333332</v>
      </c>
      <c r="N119" s="388">
        <f>(N118-N121)*2/3+N121</f>
        <v>3.3666666666666667</v>
      </c>
      <c r="O119" s="388">
        <f>(O118-O121)*2/3+O121</f>
        <v>3.5999999999999996</v>
      </c>
      <c r="AI119" s="5">
        <v>0</v>
      </c>
      <c r="AJ119" s="6">
        <v>0</v>
      </c>
      <c r="AK119" s="26">
        <v>0.6</v>
      </c>
    </row>
    <row r="120" spans="1:37" outlineLevel="1">
      <c r="B120" s="36">
        <v>2400</v>
      </c>
      <c r="C120" s="34">
        <v>0</v>
      </c>
      <c r="D120" s="388">
        <v>1.3666666666666667</v>
      </c>
      <c r="E120" s="388">
        <v>2.0666666666666664</v>
      </c>
      <c r="F120" s="388">
        <v>2.4666666666666668</v>
      </c>
      <c r="G120" s="388">
        <v>2.7333333333333334</v>
      </c>
      <c r="H120" s="388">
        <v>2.9</v>
      </c>
      <c r="I120" s="3"/>
      <c r="J120" s="34">
        <v>0</v>
      </c>
      <c r="K120" s="388">
        <f>(K118-K121)*1/3+K121</f>
        <v>1.3666666666666667</v>
      </c>
      <c r="L120" s="388">
        <f>(L118-L121)*1/3+L121</f>
        <v>2.0666666666666664</v>
      </c>
      <c r="M120" s="388">
        <f>(M118-M121)*1/3+M121</f>
        <v>2.4666666666666668</v>
      </c>
      <c r="N120" s="388">
        <f>(N118-N121)*1/3+N121</f>
        <v>2.7333333333333334</v>
      </c>
      <c r="O120" s="388">
        <f>(O118-O121)*1/3+O121</f>
        <v>2.9</v>
      </c>
      <c r="AI120" s="5">
        <v>200</v>
      </c>
      <c r="AJ120" s="6">
        <v>3.8</v>
      </c>
      <c r="AK120" s="26">
        <v>0.6</v>
      </c>
    </row>
    <row r="121" spans="1:37" outlineLevel="1">
      <c r="A121" s="2"/>
      <c r="B121" s="36">
        <v>2600</v>
      </c>
      <c r="C121" s="34">
        <v>0</v>
      </c>
      <c r="D121" s="34">
        <v>0.9</v>
      </c>
      <c r="E121" s="34">
        <v>1.4</v>
      </c>
      <c r="F121" s="34">
        <v>1.9</v>
      </c>
      <c r="G121" s="34">
        <v>2.1</v>
      </c>
      <c r="H121" s="34">
        <v>2.2000000000000002</v>
      </c>
      <c r="I121" s="3"/>
      <c r="J121" s="34">
        <v>0</v>
      </c>
      <c r="K121" s="34">
        <v>0.9</v>
      </c>
      <c r="L121" s="34">
        <v>1.4</v>
      </c>
      <c r="M121" s="34">
        <v>1.9</v>
      </c>
      <c r="N121" s="34">
        <v>2.1</v>
      </c>
      <c r="O121" s="34">
        <v>2.2000000000000002</v>
      </c>
      <c r="AI121" s="5">
        <v>400</v>
      </c>
      <c r="AJ121" s="6">
        <v>5.7</v>
      </c>
      <c r="AK121" s="26">
        <v>0.6</v>
      </c>
    </row>
    <row r="122" spans="1:37" outlineLevel="1">
      <c r="A122" s="387"/>
      <c r="B122" s="5">
        <v>2800</v>
      </c>
      <c r="C122" s="34">
        <v>0</v>
      </c>
      <c r="D122" s="34">
        <v>0.9</v>
      </c>
      <c r="E122" s="34">
        <v>1.4</v>
      </c>
      <c r="F122" s="34">
        <v>1.9</v>
      </c>
      <c r="G122" s="34">
        <v>2.1</v>
      </c>
      <c r="H122" s="34">
        <v>2.2000000000000002</v>
      </c>
      <c r="J122" s="34">
        <v>0</v>
      </c>
      <c r="K122" s="34">
        <v>0.9</v>
      </c>
      <c r="L122" s="34">
        <v>1.4</v>
      </c>
      <c r="M122" s="34">
        <v>1.9</v>
      </c>
      <c r="N122" s="34">
        <v>2.1</v>
      </c>
      <c r="O122" s="34">
        <v>2.2000000000000002</v>
      </c>
      <c r="AI122" s="5">
        <v>600</v>
      </c>
      <c r="AJ122" s="6">
        <v>4.9000000000000004</v>
      </c>
      <c r="AK122" s="26">
        <v>0.6</v>
      </c>
    </row>
    <row r="123" spans="1:37" outlineLevel="1">
      <c r="A123" s="387"/>
      <c r="B123" s="5">
        <v>3000</v>
      </c>
      <c r="C123" s="34">
        <v>0</v>
      </c>
      <c r="D123" s="34">
        <v>0.9</v>
      </c>
      <c r="E123" s="34">
        <v>1.4</v>
      </c>
      <c r="F123" s="34">
        <v>1.9</v>
      </c>
      <c r="G123" s="34">
        <v>2.1</v>
      </c>
      <c r="H123" s="34">
        <v>2.2000000000000002</v>
      </c>
      <c r="J123" s="34">
        <v>0</v>
      </c>
      <c r="K123" s="34">
        <v>0.9</v>
      </c>
      <c r="L123" s="34">
        <v>1.4</v>
      </c>
      <c r="M123" s="34">
        <v>1.9</v>
      </c>
      <c r="N123" s="34">
        <v>2.1</v>
      </c>
      <c r="O123" s="34">
        <v>2.2000000000000002</v>
      </c>
      <c r="AI123" s="5">
        <v>800</v>
      </c>
      <c r="AJ123" s="6">
        <v>3.9</v>
      </c>
      <c r="AK123" s="26">
        <v>0.6</v>
      </c>
    </row>
    <row r="124" spans="1:37" outlineLevel="1">
      <c r="B124" s="5">
        <v>3200</v>
      </c>
      <c r="C124" s="34">
        <v>0</v>
      </c>
      <c r="D124" s="34">
        <v>0.9</v>
      </c>
      <c r="E124" s="34">
        <v>1.4</v>
      </c>
      <c r="F124" s="34">
        <v>1.9</v>
      </c>
      <c r="G124" s="34">
        <v>2.1</v>
      </c>
      <c r="H124" s="34">
        <v>2.2000000000000002</v>
      </c>
      <c r="J124" s="34">
        <v>0</v>
      </c>
      <c r="K124" s="34">
        <v>0.9</v>
      </c>
      <c r="L124" s="34">
        <v>1.4</v>
      </c>
      <c r="M124" s="34">
        <v>1.9</v>
      </c>
      <c r="N124" s="34">
        <v>2.1</v>
      </c>
      <c r="O124" s="34">
        <v>2.2000000000000002</v>
      </c>
      <c r="AI124" s="5">
        <v>1000</v>
      </c>
      <c r="AJ124" s="6">
        <v>3.2</v>
      </c>
      <c r="AK124" s="26">
        <v>0.6</v>
      </c>
    </row>
    <row r="125" spans="1:37" outlineLevel="1">
      <c r="AI125" s="5">
        <v>1200</v>
      </c>
      <c r="AJ125" s="6">
        <v>2.6</v>
      </c>
      <c r="AK125" s="26">
        <v>0.6</v>
      </c>
    </row>
    <row r="126" spans="1:37" ht="25.5" outlineLevel="1">
      <c r="A126" s="2" t="s">
        <v>55</v>
      </c>
      <c r="B126" s="7" t="s">
        <v>56</v>
      </c>
      <c r="L126" s="3" t="s">
        <v>91</v>
      </c>
      <c r="M126" s="22">
        <v>3.5</v>
      </c>
      <c r="AI126" s="5">
        <v>1400</v>
      </c>
      <c r="AJ126" s="6">
        <v>1.9</v>
      </c>
      <c r="AK126" s="26">
        <v>0.6</v>
      </c>
    </row>
    <row r="127" spans="1:37" outlineLevel="1">
      <c r="L127" s="3" t="s">
        <v>92</v>
      </c>
      <c r="M127" s="22">
        <v>0.5</v>
      </c>
      <c r="AI127" s="5">
        <v>1600</v>
      </c>
      <c r="AJ127" s="6">
        <v>1.7</v>
      </c>
      <c r="AK127" s="26">
        <v>0.6</v>
      </c>
    </row>
    <row r="128" spans="1:37" ht="25.5" outlineLevel="1">
      <c r="A128" s="3" t="s">
        <v>59</v>
      </c>
      <c r="B128" s="7" t="s">
        <v>60</v>
      </c>
      <c r="AI128" s="5">
        <v>1800</v>
      </c>
      <c r="AJ128" s="6">
        <v>1.6</v>
      </c>
      <c r="AK128" s="26">
        <v>0.6</v>
      </c>
    </row>
    <row r="129" spans="1:37" outlineLevel="1">
      <c r="A129" s="3" t="s">
        <v>62</v>
      </c>
      <c r="B129" s="2" t="s">
        <v>63</v>
      </c>
      <c r="AI129" s="5">
        <v>2000</v>
      </c>
      <c r="AJ129" s="6">
        <v>1.4</v>
      </c>
      <c r="AK129" s="26">
        <v>0.6</v>
      </c>
    </row>
    <row r="130" spans="1:37" outlineLevel="1">
      <c r="AI130" s="5">
        <v>2200</v>
      </c>
      <c r="AJ130" s="6">
        <v>1.4</v>
      </c>
      <c r="AK130" s="26">
        <v>0.6</v>
      </c>
    </row>
    <row r="131" spans="1:37" outlineLevel="1">
      <c r="AI131" s="5">
        <v>2400</v>
      </c>
      <c r="AJ131" s="6">
        <v>1.3</v>
      </c>
      <c r="AK131" s="26">
        <v>0.6</v>
      </c>
    </row>
    <row r="132" spans="1:37" outlineLevel="1">
      <c r="B132" s="572" t="s">
        <v>101</v>
      </c>
      <c r="C132" s="675" t="s">
        <v>83</v>
      </c>
      <c r="D132" s="675"/>
      <c r="E132" s="675"/>
      <c r="F132" s="675"/>
      <c r="G132" s="675"/>
      <c r="H132" s="675"/>
      <c r="I132" s="675"/>
      <c r="J132" s="675"/>
      <c r="K132" s="675"/>
      <c r="L132" s="675"/>
      <c r="M132" s="675"/>
      <c r="N132" s="676"/>
      <c r="AI132" s="5">
        <v>2600</v>
      </c>
      <c r="AJ132" s="6">
        <v>1.3</v>
      </c>
      <c r="AK132" s="26">
        <v>0.6</v>
      </c>
    </row>
    <row r="133" spans="1:37" outlineLevel="1">
      <c r="B133" s="573"/>
      <c r="C133" s="47">
        <v>0</v>
      </c>
      <c r="D133" s="47">
        <f t="shared" ref="D133:N133" si="2">C133+10</f>
        <v>10</v>
      </c>
      <c r="E133" s="47">
        <f t="shared" si="2"/>
        <v>20</v>
      </c>
      <c r="F133" s="47">
        <f t="shared" si="2"/>
        <v>30</v>
      </c>
      <c r="G133" s="47">
        <f t="shared" si="2"/>
        <v>40</v>
      </c>
      <c r="H133" s="47">
        <f t="shared" si="2"/>
        <v>50</v>
      </c>
      <c r="I133" s="47">
        <f t="shared" si="2"/>
        <v>60</v>
      </c>
      <c r="J133" s="47">
        <f t="shared" si="2"/>
        <v>70</v>
      </c>
      <c r="K133" s="47">
        <f t="shared" si="2"/>
        <v>80</v>
      </c>
      <c r="L133" s="47">
        <f t="shared" si="2"/>
        <v>90</v>
      </c>
      <c r="M133" s="47">
        <f t="shared" si="2"/>
        <v>100</v>
      </c>
      <c r="N133" s="48">
        <f t="shared" si="2"/>
        <v>110</v>
      </c>
      <c r="AI133" s="5">
        <v>2800</v>
      </c>
      <c r="AJ133" s="6">
        <v>1.2</v>
      </c>
      <c r="AK133" s="26">
        <v>0.6</v>
      </c>
    </row>
    <row r="134" spans="1:37" ht="21" outlineLevel="1">
      <c r="B134" s="46">
        <v>0</v>
      </c>
      <c r="C134" s="38" t="s">
        <v>65</v>
      </c>
      <c r="D134" s="38" t="s">
        <v>65</v>
      </c>
      <c r="E134" s="38" t="s">
        <v>65</v>
      </c>
      <c r="F134" s="38" t="s">
        <v>65</v>
      </c>
      <c r="G134" s="38" t="s">
        <v>65</v>
      </c>
      <c r="H134" s="38" t="s">
        <v>65</v>
      </c>
      <c r="I134" s="38" t="s">
        <v>65</v>
      </c>
      <c r="J134" s="41" t="s">
        <v>106</v>
      </c>
      <c r="K134" s="39" t="s">
        <v>64</v>
      </c>
      <c r="L134" s="41" t="s">
        <v>105</v>
      </c>
      <c r="M134" s="39" t="s">
        <v>104</v>
      </c>
      <c r="N134" s="40" t="s">
        <v>104</v>
      </c>
      <c r="AI134" s="5">
        <v>3000</v>
      </c>
      <c r="AJ134" s="6">
        <v>1.1000000000000001</v>
      </c>
      <c r="AK134" s="26">
        <v>0.6</v>
      </c>
    </row>
    <row r="135" spans="1:37" ht="21" outlineLevel="1">
      <c r="B135" s="46">
        <f t="shared" ref="B135:B154" si="3">B134+5</f>
        <v>5</v>
      </c>
      <c r="C135" s="38" t="s">
        <v>65</v>
      </c>
      <c r="D135" s="38" t="s">
        <v>65</v>
      </c>
      <c r="E135" s="38" t="s">
        <v>65</v>
      </c>
      <c r="F135" s="38" t="s">
        <v>65</v>
      </c>
      <c r="G135" s="38" t="s">
        <v>65</v>
      </c>
      <c r="H135" s="38" t="s">
        <v>65</v>
      </c>
      <c r="I135" s="38" t="s">
        <v>65</v>
      </c>
      <c r="J135" s="41" t="s">
        <v>106</v>
      </c>
      <c r="K135" s="39" t="s">
        <v>64</v>
      </c>
      <c r="L135" s="41" t="s">
        <v>105</v>
      </c>
      <c r="M135" s="39" t="s">
        <v>104</v>
      </c>
      <c r="N135" s="40" t="s">
        <v>104</v>
      </c>
      <c r="AI135" s="5">
        <v>3200</v>
      </c>
      <c r="AJ135" s="6">
        <v>1</v>
      </c>
      <c r="AK135" s="26">
        <v>0.6</v>
      </c>
    </row>
    <row r="136" spans="1:37" ht="21" outlineLevel="1">
      <c r="B136" s="46">
        <f t="shared" si="3"/>
        <v>10</v>
      </c>
      <c r="C136" s="38" t="s">
        <v>65</v>
      </c>
      <c r="D136" s="38" t="s">
        <v>65</v>
      </c>
      <c r="E136" s="38" t="s">
        <v>65</v>
      </c>
      <c r="F136" s="38" t="s">
        <v>65</v>
      </c>
      <c r="G136" s="38" t="s">
        <v>65</v>
      </c>
      <c r="H136" s="38" t="s">
        <v>65</v>
      </c>
      <c r="I136" s="38" t="s">
        <v>65</v>
      </c>
      <c r="J136" s="41" t="s">
        <v>106</v>
      </c>
      <c r="K136" s="39" t="s">
        <v>64</v>
      </c>
      <c r="L136" s="41" t="s">
        <v>105</v>
      </c>
      <c r="M136" s="39" t="s">
        <v>104</v>
      </c>
      <c r="N136" s="40" t="s">
        <v>104</v>
      </c>
      <c r="P136" s="44" t="s">
        <v>114</v>
      </c>
      <c r="Q136" s="45">
        <v>36</v>
      </c>
      <c r="AI136" s="5">
        <v>0</v>
      </c>
      <c r="AJ136" s="6">
        <v>0</v>
      </c>
      <c r="AK136" s="26">
        <v>0.8</v>
      </c>
    </row>
    <row r="137" spans="1:37" ht="21" outlineLevel="1">
      <c r="B137" s="46">
        <f t="shared" si="3"/>
        <v>15</v>
      </c>
      <c r="C137" s="38" t="s">
        <v>65</v>
      </c>
      <c r="D137" s="38" t="s">
        <v>65</v>
      </c>
      <c r="E137" s="38" t="s">
        <v>65</v>
      </c>
      <c r="F137" s="38" t="s">
        <v>65</v>
      </c>
      <c r="G137" s="38" t="s">
        <v>65</v>
      </c>
      <c r="H137" s="38" t="s">
        <v>65</v>
      </c>
      <c r="I137" s="38" t="s">
        <v>65</v>
      </c>
      <c r="J137" s="41" t="s">
        <v>106</v>
      </c>
      <c r="K137" s="39" t="s">
        <v>64</v>
      </c>
      <c r="L137" s="41" t="s">
        <v>105</v>
      </c>
      <c r="M137" s="39" t="s">
        <v>104</v>
      </c>
      <c r="N137" s="40" t="s">
        <v>104</v>
      </c>
      <c r="P137" s="44" t="s">
        <v>115</v>
      </c>
      <c r="Q137" s="45">
        <v>95</v>
      </c>
      <c r="AI137" s="5">
        <v>200</v>
      </c>
      <c r="AJ137" s="6">
        <v>4.2</v>
      </c>
      <c r="AK137" s="26">
        <v>0.8</v>
      </c>
    </row>
    <row r="138" spans="1:37" ht="21" outlineLevel="1">
      <c r="B138" s="46">
        <f t="shared" si="3"/>
        <v>20</v>
      </c>
      <c r="C138" s="38" t="s">
        <v>65</v>
      </c>
      <c r="D138" s="38" t="s">
        <v>65</v>
      </c>
      <c r="E138" s="38" t="s">
        <v>65</v>
      </c>
      <c r="F138" s="38" t="s">
        <v>65</v>
      </c>
      <c r="G138" s="38" t="s">
        <v>65</v>
      </c>
      <c r="H138" s="38" t="s">
        <v>65</v>
      </c>
      <c r="I138" s="38" t="s">
        <v>65</v>
      </c>
      <c r="J138" s="41" t="s">
        <v>106</v>
      </c>
      <c r="K138" s="39" t="s">
        <v>64</v>
      </c>
      <c r="L138" s="41" t="s">
        <v>105</v>
      </c>
      <c r="M138" s="39" t="s">
        <v>104</v>
      </c>
      <c r="N138" s="40" t="s">
        <v>104</v>
      </c>
      <c r="Q138" s="37"/>
      <c r="AI138" s="5">
        <v>400</v>
      </c>
      <c r="AJ138" s="6">
        <v>6.3</v>
      </c>
      <c r="AK138" s="26">
        <v>0.8</v>
      </c>
    </row>
    <row r="139" spans="1:37" ht="21" outlineLevel="1">
      <c r="B139" s="46">
        <f t="shared" si="3"/>
        <v>25</v>
      </c>
      <c r="C139" s="38" t="s">
        <v>65</v>
      </c>
      <c r="D139" s="38" t="s">
        <v>65</v>
      </c>
      <c r="E139" s="38" t="s">
        <v>65</v>
      </c>
      <c r="F139" s="38" t="s">
        <v>65</v>
      </c>
      <c r="G139" s="38" t="s">
        <v>65</v>
      </c>
      <c r="H139" s="38" t="s">
        <v>65</v>
      </c>
      <c r="I139" s="38" t="s">
        <v>65</v>
      </c>
      <c r="J139" s="41" t="s">
        <v>106</v>
      </c>
      <c r="K139" s="39" t="s">
        <v>64</v>
      </c>
      <c r="L139" s="41" t="s">
        <v>105</v>
      </c>
      <c r="M139" s="39" t="s">
        <v>104</v>
      </c>
      <c r="N139" s="40" t="s">
        <v>104</v>
      </c>
      <c r="AI139" s="5">
        <v>600</v>
      </c>
      <c r="AJ139" s="6">
        <v>5.5</v>
      </c>
      <c r="AK139" s="26">
        <v>0.8</v>
      </c>
    </row>
    <row r="140" spans="1:37" ht="21" outlineLevel="1">
      <c r="B140" s="46">
        <f t="shared" si="3"/>
        <v>30</v>
      </c>
      <c r="C140" s="38" t="s">
        <v>65</v>
      </c>
      <c r="D140" s="38" t="s">
        <v>65</v>
      </c>
      <c r="E140" s="38" t="s">
        <v>65</v>
      </c>
      <c r="F140" s="38" t="s">
        <v>65</v>
      </c>
      <c r="G140" s="38" t="s">
        <v>65</v>
      </c>
      <c r="H140" s="38" t="s">
        <v>65</v>
      </c>
      <c r="I140" s="38" t="s">
        <v>65</v>
      </c>
      <c r="J140" s="41" t="s">
        <v>106</v>
      </c>
      <c r="K140" s="39" t="s">
        <v>64</v>
      </c>
      <c r="L140" s="41" t="s">
        <v>105</v>
      </c>
      <c r="M140" s="39" t="s">
        <v>104</v>
      </c>
      <c r="N140" s="40" t="s">
        <v>104</v>
      </c>
      <c r="AI140" s="5">
        <v>800</v>
      </c>
      <c r="AJ140" s="6">
        <v>4.3</v>
      </c>
      <c r="AK140" s="26">
        <v>0.8</v>
      </c>
    </row>
    <row r="141" spans="1:37" ht="21" outlineLevel="1">
      <c r="B141" s="46">
        <f t="shared" si="3"/>
        <v>35</v>
      </c>
      <c r="C141" s="38" t="s">
        <v>65</v>
      </c>
      <c r="D141" s="38" t="s">
        <v>65</v>
      </c>
      <c r="E141" s="38" t="s">
        <v>65</v>
      </c>
      <c r="F141" s="38" t="s">
        <v>65</v>
      </c>
      <c r="G141" s="38" t="s">
        <v>65</v>
      </c>
      <c r="H141" s="38" t="s">
        <v>65</v>
      </c>
      <c r="I141" s="38" t="s">
        <v>65</v>
      </c>
      <c r="J141" s="41" t="s">
        <v>106</v>
      </c>
      <c r="K141" s="39" t="s">
        <v>64</v>
      </c>
      <c r="L141" s="41" t="s">
        <v>105</v>
      </c>
      <c r="M141" s="39" t="s">
        <v>104</v>
      </c>
      <c r="N141" s="40" t="s">
        <v>104</v>
      </c>
      <c r="AI141" s="5">
        <v>1000</v>
      </c>
      <c r="AJ141" s="6">
        <v>3.6</v>
      </c>
      <c r="AK141" s="26">
        <v>0.8</v>
      </c>
    </row>
    <row r="142" spans="1:37" ht="21" outlineLevel="1">
      <c r="B142" s="46">
        <f t="shared" si="3"/>
        <v>40</v>
      </c>
      <c r="C142" s="38" t="s">
        <v>65</v>
      </c>
      <c r="D142" s="38" t="s">
        <v>65</v>
      </c>
      <c r="E142" s="38" t="s">
        <v>65</v>
      </c>
      <c r="F142" s="38" t="s">
        <v>65</v>
      </c>
      <c r="G142" s="38" t="s">
        <v>65</v>
      </c>
      <c r="H142" s="38" t="s">
        <v>65</v>
      </c>
      <c r="I142" s="38" t="s">
        <v>65</v>
      </c>
      <c r="J142" s="41" t="s">
        <v>106</v>
      </c>
      <c r="K142" s="39" t="s">
        <v>64</v>
      </c>
      <c r="L142" s="41" t="s">
        <v>105</v>
      </c>
      <c r="M142" s="41" t="s">
        <v>105</v>
      </c>
      <c r="N142" s="41" t="s">
        <v>105</v>
      </c>
      <c r="AI142" s="5">
        <v>1200</v>
      </c>
      <c r="AJ142" s="6">
        <v>3</v>
      </c>
      <c r="AK142" s="26">
        <v>0.8</v>
      </c>
    </row>
    <row r="143" spans="1:37" ht="21" outlineLevel="1">
      <c r="B143" s="46">
        <f t="shared" si="3"/>
        <v>45</v>
      </c>
      <c r="C143" s="38" t="s">
        <v>65</v>
      </c>
      <c r="D143" s="38" t="s">
        <v>65</v>
      </c>
      <c r="E143" s="38" t="s">
        <v>65</v>
      </c>
      <c r="F143" s="38" t="s">
        <v>65</v>
      </c>
      <c r="G143" s="38" t="s">
        <v>65</v>
      </c>
      <c r="H143" s="38" t="s">
        <v>65</v>
      </c>
      <c r="I143" s="38" t="s">
        <v>65</v>
      </c>
      <c r="J143" s="41" t="s">
        <v>106</v>
      </c>
      <c r="K143" s="39" t="s">
        <v>64</v>
      </c>
      <c r="L143" s="41" t="s">
        <v>105</v>
      </c>
      <c r="M143" s="41" t="s">
        <v>105</v>
      </c>
      <c r="N143" s="41" t="s">
        <v>105</v>
      </c>
      <c r="AI143" s="5">
        <v>1400</v>
      </c>
      <c r="AJ143" s="6">
        <v>2.2999999999999998</v>
      </c>
      <c r="AK143" s="26">
        <v>0.8</v>
      </c>
    </row>
    <row r="144" spans="1:37" ht="21" outlineLevel="1">
      <c r="B144" s="46">
        <f t="shared" si="3"/>
        <v>50</v>
      </c>
      <c r="C144" s="38" t="s">
        <v>65</v>
      </c>
      <c r="D144" s="38" t="s">
        <v>65</v>
      </c>
      <c r="E144" s="38" t="s">
        <v>65</v>
      </c>
      <c r="F144" s="38" t="s">
        <v>65</v>
      </c>
      <c r="G144" s="38" t="s">
        <v>65</v>
      </c>
      <c r="H144" s="38" t="s">
        <v>65</v>
      </c>
      <c r="I144" s="38" t="s">
        <v>65</v>
      </c>
      <c r="J144" s="41" t="s">
        <v>106</v>
      </c>
      <c r="K144" s="39" t="s">
        <v>64</v>
      </c>
      <c r="L144" s="41" t="s">
        <v>105</v>
      </c>
      <c r="M144" s="41" t="s">
        <v>105</v>
      </c>
      <c r="N144" s="41" t="s">
        <v>105</v>
      </c>
      <c r="AI144" s="5">
        <v>1600</v>
      </c>
      <c r="AJ144" s="6">
        <v>2.1</v>
      </c>
      <c r="AK144" s="26">
        <v>0.8</v>
      </c>
    </row>
    <row r="145" spans="1:37" ht="21" outlineLevel="1">
      <c r="B145" s="46">
        <f t="shared" si="3"/>
        <v>55</v>
      </c>
      <c r="C145" s="38" t="s">
        <v>65</v>
      </c>
      <c r="D145" s="38" t="s">
        <v>65</v>
      </c>
      <c r="E145" s="38" t="s">
        <v>65</v>
      </c>
      <c r="F145" s="38" t="s">
        <v>65</v>
      </c>
      <c r="G145" s="38" t="s">
        <v>65</v>
      </c>
      <c r="H145" s="38" t="s">
        <v>65</v>
      </c>
      <c r="I145" s="38" t="s">
        <v>65</v>
      </c>
      <c r="J145" s="41" t="s">
        <v>106</v>
      </c>
      <c r="K145" s="39" t="s">
        <v>64</v>
      </c>
      <c r="L145" s="39" t="s">
        <v>64</v>
      </c>
      <c r="M145" s="39" t="s">
        <v>64</v>
      </c>
      <c r="N145" s="39" t="s">
        <v>64</v>
      </c>
      <c r="AI145" s="5">
        <v>1800</v>
      </c>
      <c r="AJ145" s="6">
        <v>1.8</v>
      </c>
      <c r="AK145" s="26">
        <v>0.8</v>
      </c>
    </row>
    <row r="146" spans="1:37" ht="21" outlineLevel="1">
      <c r="B146" s="46">
        <f t="shared" si="3"/>
        <v>60</v>
      </c>
      <c r="C146" s="38" t="s">
        <v>65</v>
      </c>
      <c r="D146" s="38" t="s">
        <v>65</v>
      </c>
      <c r="E146" s="38" t="s">
        <v>65</v>
      </c>
      <c r="F146" s="38" t="s">
        <v>65</v>
      </c>
      <c r="G146" s="38" t="s">
        <v>65</v>
      </c>
      <c r="H146" s="38" t="s">
        <v>65</v>
      </c>
      <c r="I146" s="38" t="s">
        <v>65</v>
      </c>
      <c r="J146" s="41" t="s">
        <v>106</v>
      </c>
      <c r="K146" s="39" t="s">
        <v>64</v>
      </c>
      <c r="L146" s="39" t="s">
        <v>64</v>
      </c>
      <c r="M146" s="39" t="s">
        <v>64</v>
      </c>
      <c r="N146" s="39" t="s">
        <v>64</v>
      </c>
      <c r="AI146" s="5">
        <v>2000</v>
      </c>
      <c r="AJ146" s="6">
        <v>1.6</v>
      </c>
      <c r="AK146" s="26">
        <v>0.8</v>
      </c>
    </row>
    <row r="147" spans="1:37" ht="21" outlineLevel="1">
      <c r="B147" s="46">
        <f t="shared" si="3"/>
        <v>65</v>
      </c>
      <c r="C147" s="38" t="s">
        <v>65</v>
      </c>
      <c r="D147" s="38" t="s">
        <v>65</v>
      </c>
      <c r="E147" s="38" t="s">
        <v>65</v>
      </c>
      <c r="F147" s="38" t="s">
        <v>65</v>
      </c>
      <c r="G147" s="38" t="s">
        <v>65</v>
      </c>
      <c r="H147" s="38" t="s">
        <v>65</v>
      </c>
      <c r="I147" s="38" t="s">
        <v>65</v>
      </c>
      <c r="J147" s="41" t="s">
        <v>106</v>
      </c>
      <c r="K147" s="39" t="s">
        <v>64</v>
      </c>
      <c r="L147" s="39" t="s">
        <v>64</v>
      </c>
      <c r="M147" s="39" t="s">
        <v>64</v>
      </c>
      <c r="N147" s="39" t="s">
        <v>64</v>
      </c>
      <c r="AI147" s="5">
        <v>2200</v>
      </c>
      <c r="AJ147" s="6">
        <v>1.5</v>
      </c>
      <c r="AK147" s="26">
        <v>0.8</v>
      </c>
    </row>
    <row r="148" spans="1:37" ht="21" outlineLevel="1">
      <c r="B148" s="46">
        <f t="shared" si="3"/>
        <v>70</v>
      </c>
      <c r="C148" s="38" t="s">
        <v>65</v>
      </c>
      <c r="D148" s="38" t="s">
        <v>65</v>
      </c>
      <c r="E148" s="38" t="s">
        <v>65</v>
      </c>
      <c r="F148" s="38" t="s">
        <v>65</v>
      </c>
      <c r="G148" s="38" t="s">
        <v>65</v>
      </c>
      <c r="H148" s="38" t="s">
        <v>65</v>
      </c>
      <c r="I148" s="38" t="s">
        <v>65</v>
      </c>
      <c r="J148" s="41" t="s">
        <v>106</v>
      </c>
      <c r="K148" s="41" t="s">
        <v>106</v>
      </c>
      <c r="L148" s="41" t="s">
        <v>106</v>
      </c>
      <c r="M148" s="41" t="s">
        <v>106</v>
      </c>
      <c r="N148" s="41" t="s">
        <v>106</v>
      </c>
      <c r="AI148" s="5">
        <v>2400</v>
      </c>
      <c r="AJ148" s="6">
        <v>1.5</v>
      </c>
      <c r="AK148" s="26">
        <v>0.8</v>
      </c>
    </row>
    <row r="149" spans="1:37" ht="21" outlineLevel="1">
      <c r="B149" s="46">
        <f t="shared" si="3"/>
        <v>75</v>
      </c>
      <c r="C149" s="38" t="s">
        <v>65</v>
      </c>
      <c r="D149" s="38" t="s">
        <v>65</v>
      </c>
      <c r="E149" s="38" t="s">
        <v>65</v>
      </c>
      <c r="F149" s="38" t="s">
        <v>65</v>
      </c>
      <c r="G149" s="38" t="s">
        <v>65</v>
      </c>
      <c r="H149" s="38" t="s">
        <v>65</v>
      </c>
      <c r="I149" s="38" t="s">
        <v>65</v>
      </c>
      <c r="J149" s="41" t="s">
        <v>106</v>
      </c>
      <c r="K149" s="41" t="s">
        <v>106</v>
      </c>
      <c r="L149" s="41" t="s">
        <v>106</v>
      </c>
      <c r="M149" s="41" t="s">
        <v>106</v>
      </c>
      <c r="N149" s="41" t="s">
        <v>106</v>
      </c>
      <c r="AI149" s="5">
        <v>2600</v>
      </c>
      <c r="AJ149" s="6">
        <v>1.4</v>
      </c>
      <c r="AK149" s="26">
        <v>0.8</v>
      </c>
    </row>
    <row r="150" spans="1:37" ht="21" outlineLevel="1">
      <c r="B150" s="46">
        <f t="shared" si="3"/>
        <v>80</v>
      </c>
      <c r="C150" s="38" t="s">
        <v>65</v>
      </c>
      <c r="D150" s="38" t="s">
        <v>65</v>
      </c>
      <c r="E150" s="38" t="s">
        <v>65</v>
      </c>
      <c r="F150" s="38" t="s">
        <v>65</v>
      </c>
      <c r="G150" s="38" t="s">
        <v>65</v>
      </c>
      <c r="H150" s="38" t="s">
        <v>65</v>
      </c>
      <c r="I150" s="38" t="s">
        <v>65</v>
      </c>
      <c r="J150" s="41" t="s">
        <v>106</v>
      </c>
      <c r="K150" s="41" t="s">
        <v>106</v>
      </c>
      <c r="L150" s="41" t="s">
        <v>106</v>
      </c>
      <c r="M150" s="41" t="s">
        <v>106</v>
      </c>
      <c r="N150" s="41" t="s">
        <v>106</v>
      </c>
      <c r="AI150" s="5">
        <v>2800</v>
      </c>
      <c r="AJ150" s="6">
        <v>1.3</v>
      </c>
      <c r="AK150" s="26">
        <v>0.8</v>
      </c>
    </row>
    <row r="151" spans="1:37" ht="21" outlineLevel="1">
      <c r="B151" s="46">
        <f t="shared" si="3"/>
        <v>85</v>
      </c>
      <c r="C151" s="38" t="s">
        <v>65</v>
      </c>
      <c r="D151" s="38" t="s">
        <v>65</v>
      </c>
      <c r="E151" s="38" t="s">
        <v>65</v>
      </c>
      <c r="F151" s="38" t="s">
        <v>65</v>
      </c>
      <c r="G151" s="38" t="s">
        <v>65</v>
      </c>
      <c r="H151" s="38" t="s">
        <v>65</v>
      </c>
      <c r="I151" s="38" t="s">
        <v>65</v>
      </c>
      <c r="J151" s="38" t="s">
        <v>65</v>
      </c>
      <c r="K151" s="38" t="s">
        <v>65</v>
      </c>
      <c r="L151" s="38" t="s">
        <v>65</v>
      </c>
      <c r="M151" s="38" t="s">
        <v>65</v>
      </c>
      <c r="N151" s="38" t="s">
        <v>65</v>
      </c>
      <c r="AI151" s="5">
        <v>3000</v>
      </c>
      <c r="AJ151" s="6">
        <v>1.1000000000000001</v>
      </c>
      <c r="AK151" s="26">
        <v>0.8</v>
      </c>
    </row>
    <row r="152" spans="1:37" ht="21" outlineLevel="1">
      <c r="B152" s="46">
        <f t="shared" si="3"/>
        <v>90</v>
      </c>
      <c r="C152" s="38" t="s">
        <v>65</v>
      </c>
      <c r="D152" s="38" t="s">
        <v>65</v>
      </c>
      <c r="E152" s="38" t="s">
        <v>65</v>
      </c>
      <c r="F152" s="38" t="s">
        <v>65</v>
      </c>
      <c r="G152" s="38" t="s">
        <v>65</v>
      </c>
      <c r="H152" s="38" t="s">
        <v>65</v>
      </c>
      <c r="I152" s="38" t="s">
        <v>65</v>
      </c>
      <c r="J152" s="38" t="s">
        <v>65</v>
      </c>
      <c r="K152" s="38" t="s">
        <v>65</v>
      </c>
      <c r="L152" s="38" t="s">
        <v>65</v>
      </c>
      <c r="M152" s="38" t="s">
        <v>65</v>
      </c>
      <c r="N152" s="38" t="s">
        <v>65</v>
      </c>
      <c r="AI152" s="5">
        <v>3200</v>
      </c>
      <c r="AJ152" s="6">
        <v>1</v>
      </c>
      <c r="AK152" s="26">
        <v>0.8</v>
      </c>
    </row>
    <row r="153" spans="1:37" ht="21" outlineLevel="1">
      <c r="B153" s="46">
        <f t="shared" si="3"/>
        <v>95</v>
      </c>
      <c r="C153" s="38" t="s">
        <v>65</v>
      </c>
      <c r="D153" s="38" t="s">
        <v>65</v>
      </c>
      <c r="E153" s="38" t="s">
        <v>65</v>
      </c>
      <c r="F153" s="38" t="s">
        <v>65</v>
      </c>
      <c r="G153" s="38" t="s">
        <v>65</v>
      </c>
      <c r="H153" s="38" t="s">
        <v>65</v>
      </c>
      <c r="I153" s="38" t="s">
        <v>65</v>
      </c>
      <c r="J153" s="38" t="s">
        <v>65</v>
      </c>
      <c r="K153" s="38" t="s">
        <v>65</v>
      </c>
      <c r="L153" s="38" t="s">
        <v>65</v>
      </c>
      <c r="M153" s="38" t="s">
        <v>65</v>
      </c>
      <c r="N153" s="38" t="s">
        <v>65</v>
      </c>
      <c r="AI153" s="5">
        <v>0</v>
      </c>
      <c r="AJ153" s="6">
        <v>0</v>
      </c>
      <c r="AK153" s="26">
        <v>1</v>
      </c>
    </row>
    <row r="154" spans="1:37" ht="21" outlineLevel="1">
      <c r="B154" s="46">
        <f t="shared" si="3"/>
        <v>100</v>
      </c>
      <c r="C154" s="38" t="s">
        <v>65</v>
      </c>
      <c r="D154" s="38" t="s">
        <v>65</v>
      </c>
      <c r="E154" s="38" t="s">
        <v>65</v>
      </c>
      <c r="F154" s="38" t="s">
        <v>65</v>
      </c>
      <c r="G154" s="38" t="s">
        <v>65</v>
      </c>
      <c r="H154" s="38" t="s">
        <v>65</v>
      </c>
      <c r="I154" s="38" t="s">
        <v>65</v>
      </c>
      <c r="J154" s="38" t="s">
        <v>65</v>
      </c>
      <c r="K154" s="38" t="s">
        <v>65</v>
      </c>
      <c r="L154" s="38" t="s">
        <v>65</v>
      </c>
      <c r="M154" s="38" t="s">
        <v>65</v>
      </c>
      <c r="N154" s="38" t="s">
        <v>65</v>
      </c>
      <c r="AI154" s="5">
        <v>200</v>
      </c>
      <c r="AJ154" s="6">
        <v>5.6</v>
      </c>
      <c r="AK154" s="26">
        <v>1</v>
      </c>
    </row>
    <row r="155" spans="1:37" outlineLevel="1">
      <c r="AI155" s="5">
        <v>400</v>
      </c>
      <c r="AJ155" s="6">
        <v>7.3</v>
      </c>
      <c r="AK155" s="26">
        <v>1</v>
      </c>
    </row>
    <row r="156" spans="1:37" outlineLevel="1">
      <c r="AI156" s="5">
        <v>600</v>
      </c>
      <c r="AJ156" s="6">
        <v>6.2</v>
      </c>
      <c r="AK156" s="26">
        <v>1</v>
      </c>
    </row>
    <row r="157" spans="1:37" outlineLevel="1">
      <c r="A157" s="233"/>
      <c r="B157" s="63" t="s">
        <v>149</v>
      </c>
      <c r="C157" s="64"/>
      <c r="D157" s="64"/>
      <c r="E157" s="64"/>
      <c r="F157" s="64"/>
      <c r="AI157" s="5">
        <v>800</v>
      </c>
      <c r="AJ157" s="6">
        <v>4.9000000000000004</v>
      </c>
      <c r="AK157" s="26">
        <v>1</v>
      </c>
    </row>
    <row r="158" spans="1:37" outlineLevel="1">
      <c r="A158" s="233"/>
      <c r="B158" s="63" t="s">
        <v>150</v>
      </c>
      <c r="C158" s="64"/>
      <c r="D158" s="64"/>
      <c r="E158" s="64"/>
      <c r="F158" s="64"/>
      <c r="AI158" s="5">
        <v>1000</v>
      </c>
      <c r="AJ158" s="6">
        <v>4.2</v>
      </c>
      <c r="AK158" s="26">
        <v>1</v>
      </c>
    </row>
    <row r="159" spans="1:37" outlineLevel="1">
      <c r="A159" s="623" t="s">
        <v>151</v>
      </c>
      <c r="C159" s="626" t="s">
        <v>152</v>
      </c>
      <c r="D159" s="673" t="s">
        <v>153</v>
      </c>
      <c r="E159" s="674"/>
      <c r="F159" s="674"/>
      <c r="AI159" s="5">
        <v>1200</v>
      </c>
      <c r="AJ159" s="6">
        <v>3.4</v>
      </c>
      <c r="AK159" s="26">
        <v>1</v>
      </c>
    </row>
    <row r="160" spans="1:37" outlineLevel="1">
      <c r="A160" s="624"/>
      <c r="C160" s="627"/>
      <c r="D160" s="677" t="s">
        <v>154</v>
      </c>
      <c r="E160" s="630"/>
      <c r="F160" s="630"/>
      <c r="AI160" s="5">
        <v>1400</v>
      </c>
      <c r="AJ160" s="6">
        <v>2.7</v>
      </c>
      <c r="AK160" s="26">
        <v>1</v>
      </c>
    </row>
    <row r="161" spans="1:37" outlineLevel="1">
      <c r="A161" s="625"/>
      <c r="C161" s="628"/>
      <c r="D161" s="55">
        <v>300</v>
      </c>
      <c r="E161" s="55">
        <v>600</v>
      </c>
      <c r="F161" s="55">
        <v>900</v>
      </c>
      <c r="AI161" s="5">
        <v>1600</v>
      </c>
      <c r="AJ161" s="6">
        <v>2.4</v>
      </c>
      <c r="AK161" s="26">
        <v>1</v>
      </c>
    </row>
    <row r="162" spans="1:37" outlineLevel="1">
      <c r="A162" s="631" t="s">
        <v>155</v>
      </c>
      <c r="B162" s="437">
        <v>3.5</v>
      </c>
      <c r="C162" s="67">
        <v>0.4</v>
      </c>
      <c r="D162" s="68">
        <v>0.81</v>
      </c>
      <c r="E162" s="69">
        <v>1</v>
      </c>
      <c r="F162" s="69">
        <v>1</v>
      </c>
      <c r="AI162" s="5">
        <v>1800</v>
      </c>
      <c r="AJ162" s="6">
        <v>2.1</v>
      </c>
      <c r="AK162" s="26">
        <v>1</v>
      </c>
    </row>
    <row r="163" spans="1:37" outlineLevel="1">
      <c r="A163" s="632"/>
      <c r="B163" s="437">
        <v>3.5</v>
      </c>
      <c r="C163" s="70">
        <v>0.8</v>
      </c>
      <c r="D163" s="71">
        <v>0.79</v>
      </c>
      <c r="E163" s="72">
        <v>1</v>
      </c>
      <c r="F163" s="72">
        <v>1</v>
      </c>
      <c r="AI163" s="5">
        <v>2000</v>
      </c>
      <c r="AJ163" s="6">
        <v>1.8</v>
      </c>
      <c r="AK163" s="26">
        <v>1</v>
      </c>
    </row>
    <row r="164" spans="1:37" outlineLevel="1">
      <c r="A164" s="632"/>
      <c r="B164" s="437">
        <v>3.5</v>
      </c>
      <c r="C164" s="70">
        <v>1.2</v>
      </c>
      <c r="D164" s="71">
        <v>0.77</v>
      </c>
      <c r="E164" s="72">
        <v>1</v>
      </c>
      <c r="F164" s="72">
        <v>1</v>
      </c>
      <c r="AI164" s="5">
        <v>2200</v>
      </c>
      <c r="AJ164" s="6">
        <v>1.7</v>
      </c>
      <c r="AK164" s="26">
        <v>1</v>
      </c>
    </row>
    <row r="165" spans="1:37" outlineLevel="1">
      <c r="A165" s="632"/>
      <c r="B165" s="437">
        <v>3.5</v>
      </c>
      <c r="C165" s="70">
        <v>1.6</v>
      </c>
      <c r="D165" s="71">
        <v>0.76</v>
      </c>
      <c r="E165" s="72">
        <v>1</v>
      </c>
      <c r="F165" s="72">
        <v>1</v>
      </c>
      <c r="AI165" s="5">
        <v>2400</v>
      </c>
      <c r="AJ165" s="6">
        <v>1.7</v>
      </c>
      <c r="AK165" s="26">
        <v>1</v>
      </c>
    </row>
    <row r="166" spans="1:37" outlineLevel="1">
      <c r="A166" s="632"/>
      <c r="B166" s="437">
        <v>3.5</v>
      </c>
      <c r="C166" s="73">
        <v>2.4</v>
      </c>
      <c r="D166" s="71">
        <v>0.75</v>
      </c>
      <c r="E166" s="72">
        <v>0.99</v>
      </c>
      <c r="F166" s="72">
        <v>1</v>
      </c>
      <c r="AI166" s="5">
        <v>2600</v>
      </c>
      <c r="AJ166" s="6">
        <v>1.6</v>
      </c>
      <c r="AK166" s="26">
        <v>1</v>
      </c>
    </row>
    <row r="167" spans="1:37" outlineLevel="1">
      <c r="A167" s="632"/>
      <c r="B167" s="437">
        <v>3.5</v>
      </c>
      <c r="C167" s="73">
        <v>3.2</v>
      </c>
      <c r="D167" s="71">
        <v>0.75</v>
      </c>
      <c r="E167" s="72">
        <v>0.97</v>
      </c>
      <c r="F167" s="74">
        <v>1</v>
      </c>
      <c r="AI167" s="5">
        <v>2800</v>
      </c>
      <c r="AJ167" s="6">
        <v>1.4</v>
      </c>
      <c r="AK167" s="26">
        <v>1</v>
      </c>
    </row>
    <row r="168" spans="1:37" outlineLevel="1">
      <c r="A168" s="632"/>
      <c r="B168" s="437">
        <v>3.5</v>
      </c>
      <c r="C168" s="73">
        <v>4.8</v>
      </c>
      <c r="D168" s="71">
        <v>0.75</v>
      </c>
      <c r="E168" s="72">
        <v>0.95</v>
      </c>
      <c r="F168" s="72">
        <v>0.97</v>
      </c>
      <c r="AI168" s="5">
        <v>3000</v>
      </c>
      <c r="AJ168" s="6">
        <v>1.3</v>
      </c>
      <c r="AK168" s="26">
        <v>1</v>
      </c>
    </row>
    <row r="169" spans="1:37" outlineLevel="1">
      <c r="A169" s="633"/>
      <c r="B169" s="437">
        <v>3.5</v>
      </c>
      <c r="C169" s="75" t="s">
        <v>156</v>
      </c>
      <c r="D169" s="76">
        <v>0.75</v>
      </c>
      <c r="E169" s="77">
        <v>0.94</v>
      </c>
      <c r="F169" s="77">
        <v>0.95</v>
      </c>
      <c r="AI169" s="5">
        <v>3200</v>
      </c>
      <c r="AJ169" s="6">
        <v>1.1000000000000001</v>
      </c>
      <c r="AK169" s="26">
        <v>1</v>
      </c>
    </row>
    <row r="170" spans="1:37" outlineLevel="1">
      <c r="A170" s="662" t="s">
        <v>157</v>
      </c>
      <c r="B170" s="437">
        <v>4.5</v>
      </c>
      <c r="C170" s="78">
        <v>0.4</v>
      </c>
      <c r="D170" s="79">
        <v>0.79</v>
      </c>
      <c r="E170" s="80">
        <v>1</v>
      </c>
      <c r="F170" s="80">
        <v>1</v>
      </c>
    </row>
    <row r="171" spans="1:37" outlineLevel="1">
      <c r="A171" s="632"/>
      <c r="B171" s="437">
        <v>4.5</v>
      </c>
      <c r="C171" s="70">
        <v>0.8</v>
      </c>
      <c r="D171" s="71">
        <v>0.76</v>
      </c>
      <c r="E171" s="74">
        <v>1</v>
      </c>
      <c r="F171" s="74">
        <v>1</v>
      </c>
    </row>
    <row r="172" spans="1:37" outlineLevel="1">
      <c r="A172" s="632"/>
      <c r="B172" s="437">
        <v>4.5</v>
      </c>
      <c r="C172" s="70">
        <v>1.2</v>
      </c>
      <c r="D172" s="71">
        <v>0.72</v>
      </c>
      <c r="E172" s="72">
        <v>1</v>
      </c>
      <c r="F172" s="72">
        <v>1</v>
      </c>
    </row>
    <row r="173" spans="1:37" outlineLevel="1">
      <c r="A173" s="632"/>
      <c r="B173" s="437">
        <v>4.5</v>
      </c>
      <c r="C173" s="70">
        <v>1.6</v>
      </c>
      <c r="D173" s="71">
        <v>0.69</v>
      </c>
      <c r="E173" s="72">
        <v>0.93</v>
      </c>
      <c r="F173" s="72">
        <v>1</v>
      </c>
    </row>
    <row r="174" spans="1:37" outlineLevel="1">
      <c r="A174" s="632"/>
      <c r="B174" s="437">
        <v>4.5</v>
      </c>
      <c r="C174" s="73">
        <v>2.4</v>
      </c>
      <c r="D174" s="71">
        <v>0.68</v>
      </c>
      <c r="E174" s="72">
        <v>0.92</v>
      </c>
      <c r="F174" s="72">
        <v>1</v>
      </c>
    </row>
    <row r="175" spans="1:37" outlineLevel="1">
      <c r="A175" s="632"/>
      <c r="B175" s="437">
        <v>4.5</v>
      </c>
      <c r="C175" s="73">
        <v>3.2</v>
      </c>
      <c r="D175" s="71">
        <v>0.66</v>
      </c>
      <c r="E175" s="72">
        <v>0.91</v>
      </c>
      <c r="F175" s="72">
        <v>1</v>
      </c>
    </row>
    <row r="176" spans="1:37" outlineLevel="1">
      <c r="A176" s="632"/>
      <c r="B176" s="437">
        <v>4.5</v>
      </c>
      <c r="C176" s="73">
        <v>4.8</v>
      </c>
      <c r="D176" s="71">
        <v>0.65</v>
      </c>
      <c r="E176" s="72">
        <v>0.91</v>
      </c>
      <c r="F176" s="72">
        <v>0.96</v>
      </c>
    </row>
    <row r="177" spans="1:6" outlineLevel="1">
      <c r="A177" s="658"/>
      <c r="B177" s="437">
        <v>4.5</v>
      </c>
      <c r="C177" s="81" t="s">
        <v>158</v>
      </c>
      <c r="D177" s="82">
        <v>0.65</v>
      </c>
      <c r="E177" s="83">
        <v>0.9</v>
      </c>
      <c r="F177" s="83">
        <v>0.96</v>
      </c>
    </row>
    <row r="178" spans="1:6" outlineLevel="1">
      <c r="A178" s="657" t="s">
        <v>159</v>
      </c>
      <c r="B178" s="437">
        <v>5.5</v>
      </c>
      <c r="C178" s="84">
        <v>0.4</v>
      </c>
      <c r="D178" s="85">
        <v>0.75</v>
      </c>
      <c r="E178" s="86">
        <v>1</v>
      </c>
      <c r="F178" s="86">
        <v>1</v>
      </c>
    </row>
    <row r="179" spans="1:6" outlineLevel="1">
      <c r="A179" s="632"/>
      <c r="B179" s="437">
        <v>5.5</v>
      </c>
      <c r="C179" s="70">
        <v>0.8</v>
      </c>
      <c r="D179" s="71">
        <v>0.65</v>
      </c>
      <c r="E179" s="72">
        <v>0.93</v>
      </c>
      <c r="F179" s="72">
        <v>1</v>
      </c>
    </row>
    <row r="180" spans="1:6" outlineLevel="1">
      <c r="A180" s="632"/>
      <c r="B180" s="437">
        <v>5.5</v>
      </c>
      <c r="C180" s="70">
        <v>1.2</v>
      </c>
      <c r="D180" s="71">
        <v>0.6</v>
      </c>
      <c r="E180" s="72">
        <v>0.89</v>
      </c>
      <c r="F180" s="72">
        <v>1</v>
      </c>
    </row>
    <row r="181" spans="1:6" outlineLevel="1">
      <c r="A181" s="632"/>
      <c r="B181" s="437">
        <v>5.5</v>
      </c>
      <c r="C181" s="70">
        <v>1.6</v>
      </c>
      <c r="D181" s="71">
        <v>0.59</v>
      </c>
      <c r="E181" s="72">
        <v>0.89</v>
      </c>
      <c r="F181" s="74">
        <v>1</v>
      </c>
    </row>
    <row r="182" spans="1:6" outlineLevel="1">
      <c r="A182" s="632"/>
      <c r="B182" s="437">
        <v>5.5</v>
      </c>
      <c r="C182" s="73">
        <v>2.4</v>
      </c>
      <c r="D182" s="71">
        <v>0.56999999999999995</v>
      </c>
      <c r="E182" s="72">
        <v>0.86</v>
      </c>
      <c r="F182" s="72">
        <v>0.99</v>
      </c>
    </row>
    <row r="183" spans="1:6" outlineLevel="1">
      <c r="A183" s="632"/>
      <c r="B183" s="437">
        <v>5.5</v>
      </c>
      <c r="C183" s="73">
        <v>3.2</v>
      </c>
      <c r="D183" s="71">
        <v>0.56000000000000005</v>
      </c>
      <c r="E183" s="72">
        <v>0.85</v>
      </c>
      <c r="F183" s="72">
        <v>0.98</v>
      </c>
    </row>
    <row r="184" spans="1:6" outlineLevel="1">
      <c r="A184" s="632"/>
      <c r="B184" s="437">
        <v>5.5</v>
      </c>
      <c r="C184" s="70">
        <v>4.8</v>
      </c>
      <c r="D184" s="71">
        <v>0.56000000000000005</v>
      </c>
      <c r="E184" s="72">
        <v>0.84</v>
      </c>
      <c r="F184" s="72">
        <v>0.97</v>
      </c>
    </row>
    <row r="185" spans="1:6" outlineLevel="1">
      <c r="A185" s="661"/>
      <c r="B185" s="437">
        <v>5.5</v>
      </c>
      <c r="C185" s="75" t="s">
        <v>158</v>
      </c>
      <c r="D185" s="87">
        <v>0.55000000000000004</v>
      </c>
      <c r="E185" s="88">
        <v>0.82</v>
      </c>
      <c r="F185" s="88">
        <v>0.93</v>
      </c>
    </row>
    <row r="186" spans="1:6" outlineLevel="1">
      <c r="A186" s="659" t="s">
        <v>160</v>
      </c>
      <c r="B186" s="437">
        <v>6.5</v>
      </c>
      <c r="C186" s="89">
        <v>0.4</v>
      </c>
      <c r="D186" s="90">
        <v>0.63</v>
      </c>
      <c r="E186" s="91">
        <v>0.91</v>
      </c>
      <c r="F186" s="91">
        <v>1</v>
      </c>
    </row>
    <row r="187" spans="1:6" outlineLevel="1">
      <c r="A187" s="632"/>
      <c r="B187" s="437">
        <v>6.5</v>
      </c>
      <c r="C187" s="70">
        <v>0.8</v>
      </c>
      <c r="D187" s="71">
        <v>0.56999999999999995</v>
      </c>
      <c r="E187" s="72">
        <v>0.85</v>
      </c>
      <c r="F187" s="72">
        <v>0.99</v>
      </c>
    </row>
    <row r="188" spans="1:6" outlineLevel="1">
      <c r="A188" s="632"/>
      <c r="B188" s="437">
        <v>6.5</v>
      </c>
      <c r="C188" s="70">
        <v>1.2</v>
      </c>
      <c r="D188" s="71">
        <v>0.52</v>
      </c>
      <c r="E188" s="72">
        <v>0.83</v>
      </c>
      <c r="F188" s="72">
        <v>0.97</v>
      </c>
    </row>
    <row r="189" spans="1:6" outlineLevel="1">
      <c r="A189" s="632"/>
      <c r="B189" s="437">
        <v>6.5</v>
      </c>
      <c r="C189" s="70">
        <v>1.6</v>
      </c>
      <c r="D189" s="71">
        <v>0.51</v>
      </c>
      <c r="E189" s="72">
        <v>0.79</v>
      </c>
      <c r="F189" s="72">
        <v>0.97</v>
      </c>
    </row>
    <row r="190" spans="1:6" outlineLevel="1">
      <c r="A190" s="632"/>
      <c r="B190" s="437">
        <v>6.5</v>
      </c>
      <c r="C190" s="73">
        <v>2.4</v>
      </c>
      <c r="D190" s="71">
        <v>0.49</v>
      </c>
      <c r="E190" s="72">
        <v>0.78</v>
      </c>
      <c r="F190" s="72">
        <v>0.95</v>
      </c>
    </row>
    <row r="191" spans="1:6" outlineLevel="1">
      <c r="A191" s="632"/>
      <c r="B191" s="437">
        <v>6.5</v>
      </c>
      <c r="C191" s="73">
        <v>3.2</v>
      </c>
      <c r="D191" s="71">
        <v>0.48</v>
      </c>
      <c r="E191" s="72">
        <v>0.78</v>
      </c>
      <c r="F191" s="72">
        <v>0.94</v>
      </c>
    </row>
    <row r="192" spans="1:6" outlineLevel="1">
      <c r="A192" s="632"/>
      <c r="B192" s="437">
        <v>6.5</v>
      </c>
      <c r="C192" s="73">
        <v>4.8</v>
      </c>
      <c r="D192" s="71">
        <v>0.46</v>
      </c>
      <c r="E192" s="72">
        <v>0.76</v>
      </c>
      <c r="F192" s="72">
        <v>0.93</v>
      </c>
    </row>
    <row r="193" spans="1:6" outlineLevel="1">
      <c r="A193" s="633"/>
      <c r="B193" s="437">
        <v>6.5</v>
      </c>
      <c r="C193" s="75" t="s">
        <v>158</v>
      </c>
      <c r="D193" s="76">
        <v>0.45</v>
      </c>
      <c r="E193" s="77">
        <v>0.76</v>
      </c>
      <c r="F193" s="77">
        <v>0.93</v>
      </c>
    </row>
    <row r="194" spans="1:6" outlineLevel="1">
      <c r="A194" s="662" t="s">
        <v>161</v>
      </c>
      <c r="B194" s="437">
        <v>7.5</v>
      </c>
      <c r="C194" s="78">
        <v>0.4</v>
      </c>
      <c r="D194" s="79">
        <v>0.59</v>
      </c>
      <c r="E194" s="80">
        <v>0.86</v>
      </c>
      <c r="F194" s="80">
        <v>0.98</v>
      </c>
    </row>
    <row r="195" spans="1:6" outlineLevel="1">
      <c r="A195" s="632"/>
      <c r="B195" s="437">
        <v>7.5</v>
      </c>
      <c r="C195" s="70">
        <v>0.8</v>
      </c>
      <c r="D195" s="71">
        <v>0.48</v>
      </c>
      <c r="E195" s="72">
        <v>0.76</v>
      </c>
      <c r="F195" s="72">
        <v>0.94</v>
      </c>
    </row>
    <row r="196" spans="1:6" outlineLevel="1">
      <c r="A196" s="632"/>
      <c r="B196" s="437">
        <v>7.5</v>
      </c>
      <c r="C196" s="70">
        <v>1.2</v>
      </c>
      <c r="D196" s="71">
        <v>0.44</v>
      </c>
      <c r="E196" s="72">
        <v>0.74</v>
      </c>
      <c r="F196" s="72">
        <v>0.91</v>
      </c>
    </row>
    <row r="197" spans="1:6" outlineLevel="1">
      <c r="A197" s="632"/>
      <c r="B197" s="437">
        <v>7.5</v>
      </c>
      <c r="C197" s="70">
        <v>1.6</v>
      </c>
      <c r="D197" s="71">
        <v>0.41</v>
      </c>
      <c r="E197" s="72">
        <v>0.7</v>
      </c>
      <c r="F197" s="72">
        <v>0.91</v>
      </c>
    </row>
    <row r="198" spans="1:6" outlineLevel="1">
      <c r="A198" s="632"/>
      <c r="B198" s="437">
        <v>7.5</v>
      </c>
      <c r="C198" s="73">
        <v>2.4</v>
      </c>
      <c r="D198" s="71">
        <v>0.4</v>
      </c>
      <c r="E198" s="72">
        <v>0.67</v>
      </c>
      <c r="F198" s="72">
        <v>0.91</v>
      </c>
    </row>
    <row r="199" spans="1:6" outlineLevel="1">
      <c r="A199" s="632"/>
      <c r="B199" s="437">
        <v>7.5</v>
      </c>
      <c r="C199" s="73">
        <v>3.2</v>
      </c>
      <c r="D199" s="71">
        <v>0.39</v>
      </c>
      <c r="E199" s="72">
        <v>0.67</v>
      </c>
      <c r="F199" s="72">
        <v>0.89</v>
      </c>
    </row>
    <row r="200" spans="1:6" outlineLevel="1">
      <c r="A200" s="632"/>
      <c r="B200" s="437">
        <v>7.5</v>
      </c>
      <c r="C200" s="73">
        <v>4.8</v>
      </c>
      <c r="D200" s="71">
        <v>0.39</v>
      </c>
      <c r="E200" s="72">
        <v>0.66</v>
      </c>
      <c r="F200" s="72">
        <v>0.88</v>
      </c>
    </row>
    <row r="201" spans="1:6" outlineLevel="1">
      <c r="A201" s="668"/>
      <c r="B201" s="437">
        <v>7.5</v>
      </c>
      <c r="C201" s="92" t="s">
        <v>158</v>
      </c>
      <c r="D201" s="93">
        <v>0.38</v>
      </c>
      <c r="E201" s="94">
        <v>0.66</v>
      </c>
      <c r="F201" s="94">
        <v>0.87</v>
      </c>
    </row>
    <row r="202" spans="1:6" outlineLevel="1">
      <c r="A202" s="482"/>
      <c r="B202" s="437"/>
      <c r="C202" s="136"/>
      <c r="D202" s="178"/>
      <c r="E202" s="178"/>
      <c r="F202" s="178"/>
    </row>
    <row r="203" spans="1:6" outlineLevel="1">
      <c r="A203" s="482"/>
      <c r="B203" s="437"/>
      <c r="C203" s="136"/>
      <c r="D203" s="178"/>
      <c r="E203" s="178"/>
      <c r="F203" s="178"/>
    </row>
    <row r="204" spans="1:6" outlineLevel="1">
      <c r="A204" s="482"/>
      <c r="B204" s="437"/>
      <c r="C204" s="136"/>
      <c r="D204" s="178"/>
      <c r="E204" s="178"/>
      <c r="F204" s="178"/>
    </row>
    <row r="205" spans="1:6" outlineLevel="1">
      <c r="A205" s="482"/>
      <c r="B205" s="437"/>
      <c r="C205" s="136"/>
      <c r="D205" s="178"/>
      <c r="E205" s="178"/>
      <c r="F205" s="178"/>
    </row>
    <row r="206" spans="1:6" outlineLevel="1">
      <c r="A206" s="482"/>
      <c r="B206" s="437"/>
      <c r="C206" s="136"/>
      <c r="D206" s="178"/>
      <c r="E206" s="178"/>
      <c r="F206" s="178"/>
    </row>
    <row r="207" spans="1:6" outlineLevel="1">
      <c r="A207" s="234" t="s">
        <v>162</v>
      </c>
      <c r="C207" s="64"/>
      <c r="D207" s="64"/>
      <c r="E207" s="64"/>
      <c r="F207" s="64"/>
    </row>
    <row r="208" spans="1:6" outlineLevel="1">
      <c r="A208" s="234" t="s">
        <v>163</v>
      </c>
      <c r="C208" s="64"/>
      <c r="D208" s="64"/>
      <c r="E208" s="64"/>
      <c r="F208" s="64"/>
    </row>
    <row r="209" spans="1:6" outlineLevel="1">
      <c r="A209" s="623" t="s">
        <v>164</v>
      </c>
      <c r="C209" s="626" t="s">
        <v>165</v>
      </c>
      <c r="D209" s="621" t="s">
        <v>166</v>
      </c>
      <c r="E209" s="622"/>
      <c r="F209" s="622"/>
    </row>
    <row r="210" spans="1:6" outlineLevel="1">
      <c r="A210" s="624"/>
      <c r="C210" s="627"/>
      <c r="D210" s="629" t="s">
        <v>167</v>
      </c>
      <c r="E210" s="630"/>
      <c r="F210" s="630"/>
    </row>
    <row r="211" spans="1:6" outlineLevel="1">
      <c r="A211" s="625"/>
      <c r="C211" s="628"/>
      <c r="D211" s="95" t="s">
        <v>168</v>
      </c>
      <c r="E211" s="65" t="s">
        <v>169</v>
      </c>
      <c r="F211" s="66" t="s">
        <v>170</v>
      </c>
    </row>
    <row r="212" spans="1:6" outlineLevel="1">
      <c r="A212" s="631" t="s">
        <v>171</v>
      </c>
      <c r="B212" s="437">
        <v>3.5</v>
      </c>
      <c r="C212" s="96">
        <v>0.4</v>
      </c>
      <c r="D212" s="97">
        <v>1</v>
      </c>
      <c r="E212" s="97">
        <v>0.92</v>
      </c>
      <c r="F212" s="97">
        <v>0.92</v>
      </c>
    </row>
    <row r="213" spans="1:6" outlineLevel="1">
      <c r="A213" s="632"/>
      <c r="B213" s="437">
        <v>3.5</v>
      </c>
      <c r="C213" s="98">
        <v>0.8</v>
      </c>
      <c r="D213" s="99">
        <v>1</v>
      </c>
      <c r="E213" s="99">
        <v>0.93</v>
      </c>
      <c r="F213" s="99">
        <v>0.93</v>
      </c>
    </row>
    <row r="214" spans="1:6" outlineLevel="1">
      <c r="A214" s="632"/>
      <c r="B214" s="437">
        <v>3.5</v>
      </c>
      <c r="C214" s="98">
        <v>1.2</v>
      </c>
      <c r="D214" s="99">
        <v>1</v>
      </c>
      <c r="E214" s="99">
        <v>0.93</v>
      </c>
      <c r="F214" s="99">
        <v>0.93</v>
      </c>
    </row>
    <row r="215" spans="1:6" outlineLevel="1">
      <c r="A215" s="632"/>
      <c r="B215" s="437">
        <v>3.5</v>
      </c>
      <c r="C215" s="98">
        <v>1.6</v>
      </c>
      <c r="D215" s="99">
        <v>1</v>
      </c>
      <c r="E215" s="99">
        <v>0.93</v>
      </c>
      <c r="F215" s="99">
        <v>0.93</v>
      </c>
    </row>
    <row r="216" spans="1:6" outlineLevel="1">
      <c r="A216" s="632"/>
      <c r="B216" s="437">
        <v>3.5</v>
      </c>
      <c r="C216" s="98">
        <v>2.4</v>
      </c>
      <c r="D216" s="99">
        <v>1</v>
      </c>
      <c r="E216" s="99">
        <v>0.94</v>
      </c>
      <c r="F216" s="99">
        <v>0.94</v>
      </c>
    </row>
    <row r="217" spans="1:6" outlineLevel="1">
      <c r="A217" s="632"/>
      <c r="B217" s="437">
        <v>3.5</v>
      </c>
      <c r="C217" s="100">
        <v>3.2</v>
      </c>
      <c r="D217" s="99">
        <v>1</v>
      </c>
      <c r="E217" s="99">
        <v>0.95</v>
      </c>
      <c r="F217" s="99">
        <v>0.95</v>
      </c>
    </row>
    <row r="218" spans="1:6" outlineLevel="1">
      <c r="A218" s="632"/>
      <c r="B218" s="437">
        <v>3.5</v>
      </c>
      <c r="C218" s="98">
        <v>4.8</v>
      </c>
      <c r="D218" s="99">
        <v>1</v>
      </c>
      <c r="E218" s="99">
        <v>0.97</v>
      </c>
      <c r="F218" s="99">
        <v>0.96</v>
      </c>
    </row>
    <row r="219" spans="1:6" outlineLevel="1">
      <c r="A219" s="633"/>
      <c r="B219" s="437">
        <v>3.5</v>
      </c>
      <c r="C219" s="75" t="s">
        <v>172</v>
      </c>
      <c r="D219" s="101">
        <v>1</v>
      </c>
      <c r="E219" s="101">
        <v>1</v>
      </c>
      <c r="F219" s="101">
        <v>0.97</v>
      </c>
    </row>
    <row r="220" spans="1:6" outlineLevel="1">
      <c r="A220" s="662" t="s">
        <v>173</v>
      </c>
      <c r="B220" s="437">
        <v>4.5</v>
      </c>
      <c r="C220" s="102">
        <v>0.4</v>
      </c>
      <c r="D220" s="103">
        <v>1</v>
      </c>
      <c r="E220" s="103">
        <v>0.94</v>
      </c>
      <c r="F220" s="103">
        <v>0.92</v>
      </c>
    </row>
    <row r="221" spans="1:6" outlineLevel="1">
      <c r="A221" s="632"/>
      <c r="B221" s="437">
        <v>4.5</v>
      </c>
      <c r="C221" s="98">
        <v>0.8</v>
      </c>
      <c r="D221" s="99">
        <v>1</v>
      </c>
      <c r="E221" s="99">
        <v>0.97</v>
      </c>
      <c r="F221" s="99">
        <v>0.96</v>
      </c>
    </row>
    <row r="222" spans="1:6" outlineLevel="1">
      <c r="A222" s="632"/>
      <c r="B222" s="437">
        <v>4.5</v>
      </c>
      <c r="C222" s="98">
        <v>1.2</v>
      </c>
      <c r="D222" s="99">
        <v>1</v>
      </c>
      <c r="E222" s="99">
        <v>0.97</v>
      </c>
      <c r="F222" s="99">
        <v>0.96</v>
      </c>
    </row>
    <row r="223" spans="1:6" outlineLevel="1">
      <c r="A223" s="632"/>
      <c r="B223" s="437">
        <v>4.5</v>
      </c>
      <c r="C223" s="98">
        <v>1.6</v>
      </c>
      <c r="D223" s="99">
        <v>1</v>
      </c>
      <c r="E223" s="99">
        <v>0.97</v>
      </c>
      <c r="F223" s="99">
        <v>0.97</v>
      </c>
    </row>
    <row r="224" spans="1:6" outlineLevel="1">
      <c r="A224" s="632"/>
      <c r="B224" s="437">
        <v>4.5</v>
      </c>
      <c r="C224" s="98">
        <v>2.4</v>
      </c>
      <c r="D224" s="99">
        <v>1</v>
      </c>
      <c r="E224" s="99">
        <v>0.97</v>
      </c>
      <c r="F224" s="99">
        <v>0.97</v>
      </c>
    </row>
    <row r="225" spans="1:6" outlineLevel="1">
      <c r="A225" s="632"/>
      <c r="B225" s="437">
        <v>4.5</v>
      </c>
      <c r="C225" s="98">
        <v>3.2</v>
      </c>
      <c r="D225" s="99">
        <v>1</v>
      </c>
      <c r="E225" s="99">
        <v>0.98</v>
      </c>
      <c r="F225" s="99">
        <v>0.98</v>
      </c>
    </row>
    <row r="226" spans="1:6" outlineLevel="1">
      <c r="A226" s="632"/>
      <c r="B226" s="437">
        <v>4.5</v>
      </c>
      <c r="C226" s="98">
        <v>4.8</v>
      </c>
      <c r="D226" s="99">
        <v>1</v>
      </c>
      <c r="E226" s="99">
        <v>1</v>
      </c>
      <c r="F226" s="99">
        <v>1</v>
      </c>
    </row>
    <row r="227" spans="1:6" outlineLevel="1">
      <c r="A227" s="658"/>
      <c r="B227" s="437">
        <v>4.5</v>
      </c>
      <c r="C227" s="81" t="s">
        <v>174</v>
      </c>
      <c r="D227" s="104">
        <v>1</v>
      </c>
      <c r="E227" s="104">
        <v>1</v>
      </c>
      <c r="F227" s="104">
        <v>1</v>
      </c>
    </row>
    <row r="228" spans="1:6" outlineLevel="1">
      <c r="A228" s="657" t="s">
        <v>175</v>
      </c>
      <c r="B228" s="437">
        <v>5.5</v>
      </c>
      <c r="C228" s="105">
        <v>0.4</v>
      </c>
      <c r="D228" s="106">
        <v>1</v>
      </c>
      <c r="E228" s="106">
        <v>1</v>
      </c>
      <c r="F228" s="106">
        <v>0.97</v>
      </c>
    </row>
    <row r="229" spans="1:6" outlineLevel="1">
      <c r="A229" s="632"/>
      <c r="B229" s="437">
        <v>5.5</v>
      </c>
      <c r="C229" s="98">
        <v>0.8</v>
      </c>
      <c r="D229" s="99">
        <v>1</v>
      </c>
      <c r="E229" s="99">
        <v>1</v>
      </c>
      <c r="F229" s="99">
        <v>1</v>
      </c>
    </row>
    <row r="230" spans="1:6" outlineLevel="1">
      <c r="A230" s="632"/>
      <c r="B230" s="437">
        <v>5.5</v>
      </c>
      <c r="C230" s="98">
        <v>1.2</v>
      </c>
      <c r="D230" s="99">
        <v>1</v>
      </c>
      <c r="E230" s="99">
        <v>1</v>
      </c>
      <c r="F230" s="99">
        <v>1</v>
      </c>
    </row>
    <row r="231" spans="1:6" outlineLevel="1">
      <c r="A231" s="632"/>
      <c r="B231" s="437">
        <v>5.5</v>
      </c>
      <c r="C231" s="98">
        <v>1.6</v>
      </c>
      <c r="D231" s="99">
        <v>1</v>
      </c>
      <c r="E231" s="99">
        <v>1</v>
      </c>
      <c r="F231" s="99">
        <v>1</v>
      </c>
    </row>
    <row r="232" spans="1:6" outlineLevel="1">
      <c r="A232" s="632"/>
      <c r="B232" s="437">
        <v>5.5</v>
      </c>
      <c r="C232" s="98">
        <v>2.4</v>
      </c>
      <c r="D232" s="99">
        <v>1</v>
      </c>
      <c r="E232" s="99">
        <v>1</v>
      </c>
      <c r="F232" s="99">
        <v>1</v>
      </c>
    </row>
    <row r="233" spans="1:6" outlineLevel="1">
      <c r="A233" s="632"/>
      <c r="B233" s="437">
        <v>5.5</v>
      </c>
      <c r="C233" s="98">
        <v>3.2</v>
      </c>
      <c r="D233" s="99">
        <v>1</v>
      </c>
      <c r="E233" s="99">
        <v>1</v>
      </c>
      <c r="F233" s="99">
        <v>1</v>
      </c>
    </row>
    <row r="234" spans="1:6" outlineLevel="1">
      <c r="A234" s="632"/>
      <c r="B234" s="437">
        <v>5.5</v>
      </c>
      <c r="C234" s="98">
        <v>4.8</v>
      </c>
      <c r="D234" s="99">
        <v>1</v>
      </c>
      <c r="E234" s="99">
        <v>1</v>
      </c>
      <c r="F234" s="99">
        <v>1</v>
      </c>
    </row>
    <row r="235" spans="1:6" outlineLevel="1">
      <c r="A235" s="661"/>
      <c r="B235" s="437">
        <v>5.5</v>
      </c>
      <c r="C235" s="107" t="s">
        <v>172</v>
      </c>
      <c r="D235" s="108">
        <v>1</v>
      </c>
      <c r="E235" s="108">
        <v>1</v>
      </c>
      <c r="F235" s="108">
        <v>1</v>
      </c>
    </row>
    <row r="236" spans="1:6" outlineLevel="1">
      <c r="A236" s="659" t="s">
        <v>176</v>
      </c>
      <c r="B236" s="437">
        <v>6.5</v>
      </c>
      <c r="C236" s="109">
        <v>0.4</v>
      </c>
      <c r="D236" s="110">
        <v>1</v>
      </c>
      <c r="E236" s="110">
        <v>1</v>
      </c>
      <c r="F236" s="110">
        <v>1</v>
      </c>
    </row>
    <row r="237" spans="1:6" outlineLevel="1">
      <c r="A237" s="632"/>
      <c r="B237" s="437">
        <v>6.5</v>
      </c>
      <c r="C237" s="98">
        <v>0.8</v>
      </c>
      <c r="D237" s="99">
        <v>1</v>
      </c>
      <c r="E237" s="99">
        <v>1</v>
      </c>
      <c r="F237" s="99">
        <v>1</v>
      </c>
    </row>
    <row r="238" spans="1:6" outlineLevel="1">
      <c r="A238" s="632"/>
      <c r="B238" s="437">
        <v>6.5</v>
      </c>
      <c r="C238" s="98">
        <v>1.2</v>
      </c>
      <c r="D238" s="99">
        <v>1</v>
      </c>
      <c r="E238" s="99">
        <v>1</v>
      </c>
      <c r="F238" s="99">
        <v>1</v>
      </c>
    </row>
    <row r="239" spans="1:6" outlineLevel="1">
      <c r="A239" s="632"/>
      <c r="B239" s="437">
        <v>6.5</v>
      </c>
      <c r="C239" s="98">
        <v>1.6</v>
      </c>
      <c r="D239" s="99">
        <v>1</v>
      </c>
      <c r="E239" s="99">
        <v>1</v>
      </c>
      <c r="F239" s="99">
        <v>1</v>
      </c>
    </row>
    <row r="240" spans="1:6" outlineLevel="1">
      <c r="A240" s="632"/>
      <c r="B240" s="437">
        <v>6.5</v>
      </c>
      <c r="C240" s="98">
        <v>2.4</v>
      </c>
      <c r="D240" s="99">
        <v>1</v>
      </c>
      <c r="E240" s="99">
        <v>1</v>
      </c>
      <c r="F240" s="99">
        <v>1</v>
      </c>
    </row>
    <row r="241" spans="1:6" outlineLevel="1">
      <c r="A241" s="632"/>
      <c r="B241" s="437">
        <v>6.5</v>
      </c>
      <c r="C241" s="100">
        <v>3.2</v>
      </c>
      <c r="D241" s="99">
        <v>1</v>
      </c>
      <c r="E241" s="99">
        <v>1</v>
      </c>
      <c r="F241" s="99">
        <v>1</v>
      </c>
    </row>
    <row r="242" spans="1:6" outlineLevel="1">
      <c r="A242" s="632"/>
      <c r="B242" s="437">
        <v>6.5</v>
      </c>
      <c r="C242" s="98">
        <v>4.8</v>
      </c>
      <c r="D242" s="99">
        <v>1</v>
      </c>
      <c r="E242" s="99">
        <v>1</v>
      </c>
      <c r="F242" s="99">
        <v>1</v>
      </c>
    </row>
    <row r="243" spans="1:6" outlineLevel="1">
      <c r="A243" s="633"/>
      <c r="B243" s="437">
        <v>6.5</v>
      </c>
      <c r="C243" s="75" t="s">
        <v>172</v>
      </c>
      <c r="D243" s="101">
        <v>1</v>
      </c>
      <c r="E243" s="101">
        <v>1</v>
      </c>
      <c r="F243" s="101">
        <v>1</v>
      </c>
    </row>
    <row r="244" spans="1:6" outlineLevel="1">
      <c r="A244" s="662" t="s">
        <v>177</v>
      </c>
      <c r="B244" s="437" t="s">
        <v>73</v>
      </c>
      <c r="C244" s="102">
        <v>0.4</v>
      </c>
      <c r="D244" s="103">
        <v>1</v>
      </c>
      <c r="E244" s="103">
        <v>1</v>
      </c>
      <c r="F244" s="103">
        <v>1</v>
      </c>
    </row>
    <row r="245" spans="1:6" outlineLevel="1">
      <c r="A245" s="632"/>
      <c r="B245" s="437" t="s">
        <v>73</v>
      </c>
      <c r="C245" s="98">
        <v>0.8</v>
      </c>
      <c r="D245" s="99">
        <v>1</v>
      </c>
      <c r="E245" s="99">
        <v>1</v>
      </c>
      <c r="F245" s="99">
        <v>1</v>
      </c>
    </row>
    <row r="246" spans="1:6" outlineLevel="1">
      <c r="A246" s="632"/>
      <c r="B246" s="437" t="s">
        <v>73</v>
      </c>
      <c r="C246" s="98">
        <v>1.2</v>
      </c>
      <c r="D246" s="99">
        <v>1</v>
      </c>
      <c r="E246" s="99">
        <v>1</v>
      </c>
      <c r="F246" s="99">
        <v>1</v>
      </c>
    </row>
    <row r="247" spans="1:6" outlineLevel="1">
      <c r="A247" s="632"/>
      <c r="B247" s="437" t="s">
        <v>73</v>
      </c>
      <c r="C247" s="98">
        <v>1.6</v>
      </c>
      <c r="D247" s="99">
        <v>1</v>
      </c>
      <c r="E247" s="99">
        <v>1</v>
      </c>
      <c r="F247" s="99">
        <v>1</v>
      </c>
    </row>
    <row r="248" spans="1:6" outlineLevel="1">
      <c r="A248" s="632"/>
      <c r="B248" s="437" t="s">
        <v>73</v>
      </c>
      <c r="C248" s="98">
        <v>2.4</v>
      </c>
      <c r="D248" s="99">
        <v>1</v>
      </c>
      <c r="E248" s="99">
        <v>1</v>
      </c>
      <c r="F248" s="99">
        <v>1</v>
      </c>
    </row>
    <row r="249" spans="1:6" outlineLevel="1">
      <c r="A249" s="632"/>
      <c r="B249" s="437" t="s">
        <v>73</v>
      </c>
      <c r="C249" s="98">
        <v>3.2</v>
      </c>
      <c r="D249" s="99">
        <v>1</v>
      </c>
      <c r="E249" s="99">
        <v>1</v>
      </c>
      <c r="F249" s="99">
        <v>1</v>
      </c>
    </row>
    <row r="250" spans="1:6" outlineLevel="1">
      <c r="A250" s="632"/>
      <c r="B250" s="437" t="s">
        <v>73</v>
      </c>
      <c r="C250" s="98">
        <v>4.8</v>
      </c>
      <c r="D250" s="99">
        <v>1</v>
      </c>
      <c r="E250" s="99">
        <v>1</v>
      </c>
      <c r="F250" s="99">
        <v>1</v>
      </c>
    </row>
    <row r="251" spans="1:6" outlineLevel="1">
      <c r="A251" s="668"/>
      <c r="B251" s="437" t="s">
        <v>73</v>
      </c>
      <c r="C251" s="92" t="s">
        <v>174</v>
      </c>
      <c r="D251" s="111">
        <v>1</v>
      </c>
      <c r="E251" s="111">
        <v>1</v>
      </c>
      <c r="F251" s="111">
        <v>1</v>
      </c>
    </row>
    <row r="252" spans="1:6" outlineLevel="1">
      <c r="A252" s="482"/>
      <c r="B252" s="437"/>
      <c r="C252" s="136"/>
      <c r="D252" s="179"/>
      <c r="E252" s="179"/>
      <c r="F252" s="179"/>
    </row>
    <row r="253" spans="1:6" outlineLevel="1">
      <c r="A253" s="482"/>
      <c r="B253" s="437"/>
      <c r="C253" s="136"/>
      <c r="D253" s="179"/>
      <c r="E253" s="179"/>
      <c r="F253" s="179"/>
    </row>
    <row r="254" spans="1:6" outlineLevel="1">
      <c r="A254" s="482"/>
      <c r="B254" s="437"/>
      <c r="C254" s="136"/>
      <c r="D254" s="179"/>
      <c r="E254" s="179"/>
      <c r="F254" s="179"/>
    </row>
    <row r="255" spans="1:6" outlineLevel="1">
      <c r="A255" s="482"/>
      <c r="B255" s="437"/>
      <c r="C255" s="136"/>
      <c r="D255" s="179"/>
      <c r="E255" s="179"/>
      <c r="F255" s="179"/>
    </row>
    <row r="256" spans="1:6" outlineLevel="1">
      <c r="A256" s="235"/>
    </row>
    <row r="257" spans="1:6" outlineLevel="1">
      <c r="A257" s="234" t="s">
        <v>178</v>
      </c>
      <c r="C257" s="64"/>
      <c r="D257" s="64"/>
      <c r="E257" s="64"/>
      <c r="F257" s="64"/>
    </row>
    <row r="258" spans="1:6" outlineLevel="1">
      <c r="A258" s="234" t="s">
        <v>179</v>
      </c>
      <c r="C258" s="64"/>
      <c r="D258" s="64"/>
      <c r="E258" s="64"/>
      <c r="F258" s="64"/>
    </row>
    <row r="259" spans="1:6" outlineLevel="1">
      <c r="A259" s="623" t="s">
        <v>180</v>
      </c>
      <c r="C259" s="626" t="s">
        <v>181</v>
      </c>
      <c r="D259" s="636" t="s">
        <v>182</v>
      </c>
      <c r="E259" s="637"/>
      <c r="F259" s="637"/>
    </row>
    <row r="260" spans="1:6" outlineLevel="1">
      <c r="A260" s="624"/>
      <c r="C260" s="627"/>
      <c r="D260" s="634" t="s">
        <v>183</v>
      </c>
      <c r="E260" s="635"/>
      <c r="F260" s="635"/>
    </row>
    <row r="261" spans="1:6" outlineLevel="1">
      <c r="A261" s="625"/>
      <c r="C261" s="628"/>
      <c r="D261" s="112" t="s">
        <v>184</v>
      </c>
      <c r="E261" s="113" t="s">
        <v>185</v>
      </c>
      <c r="F261" s="114" t="s">
        <v>186</v>
      </c>
    </row>
    <row r="262" spans="1:6" outlineLevel="1">
      <c r="A262" s="631" t="s">
        <v>187</v>
      </c>
      <c r="B262" s="437">
        <v>3.5</v>
      </c>
      <c r="C262" s="115">
        <v>0.4</v>
      </c>
      <c r="D262" s="116">
        <v>2.5</v>
      </c>
      <c r="E262" s="115">
        <v>1.9</v>
      </c>
      <c r="F262" s="115">
        <v>1.5</v>
      </c>
    </row>
    <row r="263" spans="1:6" outlineLevel="1">
      <c r="A263" s="632"/>
      <c r="B263" s="437">
        <v>3.5</v>
      </c>
      <c r="C263" s="117">
        <v>0.8</v>
      </c>
      <c r="D263" s="73">
        <v>3.5</v>
      </c>
      <c r="E263" s="117">
        <v>2.8</v>
      </c>
      <c r="F263" s="117">
        <v>2.2999999999999998</v>
      </c>
    </row>
    <row r="264" spans="1:6" outlineLevel="1">
      <c r="A264" s="632"/>
      <c r="B264" s="437">
        <v>3.5</v>
      </c>
      <c r="C264" s="118">
        <v>1.2</v>
      </c>
      <c r="D264" s="117">
        <v>4.5</v>
      </c>
      <c r="E264" s="73">
        <v>3.9</v>
      </c>
      <c r="F264" s="73">
        <v>2.9</v>
      </c>
    </row>
    <row r="265" spans="1:6" outlineLevel="1">
      <c r="A265" s="632"/>
      <c r="B265" s="437">
        <v>3.5</v>
      </c>
      <c r="C265" s="117">
        <v>1.6</v>
      </c>
      <c r="D265" s="73">
        <v>5.0999999999999996</v>
      </c>
      <c r="E265" s="73">
        <v>4.5999999999999996</v>
      </c>
      <c r="F265" s="73">
        <v>3.5</v>
      </c>
    </row>
    <row r="266" spans="1:6" outlineLevel="1">
      <c r="A266" s="632"/>
      <c r="B266" s="437">
        <v>3.5</v>
      </c>
      <c r="C266" s="73">
        <v>2.4</v>
      </c>
      <c r="D266" s="73">
        <v>6.1</v>
      </c>
      <c r="E266" s="73">
        <v>5.5</v>
      </c>
      <c r="F266" s="73">
        <v>4.0999999999999996</v>
      </c>
    </row>
    <row r="267" spans="1:6" outlineLevel="1">
      <c r="A267" s="632"/>
      <c r="B267" s="437">
        <v>3.5</v>
      </c>
      <c r="C267" s="73">
        <v>3.2</v>
      </c>
      <c r="D267" s="73">
        <v>7.1</v>
      </c>
      <c r="E267" s="73">
        <v>5.9</v>
      </c>
      <c r="F267" s="117">
        <v>4.7</v>
      </c>
    </row>
    <row r="268" spans="1:6" outlineLevel="1">
      <c r="A268" s="632"/>
      <c r="B268" s="437">
        <v>3.5</v>
      </c>
      <c r="C268" s="73">
        <v>4.8</v>
      </c>
      <c r="D268" s="117">
        <v>8.1999999999999993</v>
      </c>
      <c r="E268" s="73">
        <v>6.7</v>
      </c>
      <c r="F268" s="73">
        <v>5.3</v>
      </c>
    </row>
    <row r="269" spans="1:6" outlineLevel="1">
      <c r="A269" s="658"/>
      <c r="B269" s="437">
        <v>3.5</v>
      </c>
      <c r="C269" s="81" t="s">
        <v>188</v>
      </c>
      <c r="D269" s="119">
        <v>9.1</v>
      </c>
      <c r="E269" s="119">
        <v>7.5</v>
      </c>
      <c r="F269" s="119">
        <v>5.7</v>
      </c>
    </row>
    <row r="270" spans="1:6" outlineLevel="1">
      <c r="A270" s="657" t="s">
        <v>189</v>
      </c>
      <c r="B270" s="437">
        <v>4.5</v>
      </c>
      <c r="C270" s="120">
        <v>0.4</v>
      </c>
      <c r="D270" s="121">
        <v>3.6</v>
      </c>
      <c r="E270" s="121">
        <v>2.4</v>
      </c>
      <c r="F270" s="120">
        <v>1.9</v>
      </c>
    </row>
    <row r="271" spans="1:6" outlineLevel="1">
      <c r="A271" s="632"/>
      <c r="B271" s="437">
        <v>4.5</v>
      </c>
      <c r="C271" s="117">
        <v>0.8</v>
      </c>
      <c r="D271" s="73">
        <v>5.4</v>
      </c>
      <c r="E271" s="73">
        <v>4.5999999999999996</v>
      </c>
      <c r="F271" s="73">
        <v>3.4</v>
      </c>
    </row>
    <row r="272" spans="1:6" outlineLevel="1">
      <c r="A272" s="632"/>
      <c r="B272" s="437">
        <v>4.5</v>
      </c>
      <c r="C272" s="117">
        <v>1.2</v>
      </c>
      <c r="D272" s="73">
        <v>6.4</v>
      </c>
      <c r="E272" s="73">
        <v>6.6</v>
      </c>
      <c r="F272" s="117">
        <v>4.5999999999999996</v>
      </c>
    </row>
    <row r="273" spans="1:6" outlineLevel="1">
      <c r="A273" s="632"/>
      <c r="B273" s="437">
        <v>4.5</v>
      </c>
      <c r="C273" s="117">
        <v>1.6</v>
      </c>
      <c r="D273" s="73">
        <v>7.7</v>
      </c>
      <c r="E273" s="117">
        <v>6.9</v>
      </c>
      <c r="F273" s="73">
        <v>5.9</v>
      </c>
    </row>
    <row r="274" spans="1:6" outlineLevel="1">
      <c r="A274" s="632"/>
      <c r="B274" s="437">
        <v>4.5</v>
      </c>
      <c r="C274" s="73">
        <v>2.4</v>
      </c>
      <c r="D274" s="117">
        <v>9.4</v>
      </c>
      <c r="E274" s="117">
        <v>8.3000000000000007</v>
      </c>
      <c r="F274" s="73">
        <v>7.1</v>
      </c>
    </row>
    <row r="275" spans="1:6" outlineLevel="1">
      <c r="A275" s="632"/>
      <c r="B275" s="437">
        <v>4.5</v>
      </c>
      <c r="C275" s="73">
        <v>3.2</v>
      </c>
      <c r="D275" s="118">
        <v>10.199999999999999</v>
      </c>
      <c r="E275" s="117">
        <v>9.6</v>
      </c>
      <c r="F275" s="73">
        <v>8.1</v>
      </c>
    </row>
    <row r="276" spans="1:6" outlineLevel="1">
      <c r="A276" s="632"/>
      <c r="B276" s="437">
        <v>4.5</v>
      </c>
      <c r="C276" s="117">
        <v>4.8</v>
      </c>
      <c r="D276" s="118">
        <v>11.3</v>
      </c>
      <c r="E276" s="118">
        <v>11</v>
      </c>
      <c r="F276" s="117">
        <v>8.9</v>
      </c>
    </row>
    <row r="277" spans="1:6" outlineLevel="1">
      <c r="A277" s="669"/>
      <c r="B277" s="437">
        <v>4.5</v>
      </c>
      <c r="C277" s="122" t="s">
        <v>190</v>
      </c>
      <c r="D277" s="123">
        <v>12.3</v>
      </c>
      <c r="E277" s="123">
        <v>11.9</v>
      </c>
      <c r="F277" s="123">
        <v>9.6999999999999993</v>
      </c>
    </row>
    <row r="278" spans="1:6" outlineLevel="1">
      <c r="A278" s="670" t="s">
        <v>191</v>
      </c>
      <c r="B278" s="437">
        <v>5.5</v>
      </c>
      <c r="C278" s="124">
        <v>0.4</v>
      </c>
      <c r="D278" s="124">
        <v>4.2</v>
      </c>
      <c r="E278" s="125">
        <v>3.7</v>
      </c>
      <c r="F278" s="125">
        <v>2.6</v>
      </c>
    </row>
    <row r="279" spans="1:6" outlineLevel="1">
      <c r="A279" s="632"/>
      <c r="B279" s="437">
        <v>5.5</v>
      </c>
      <c r="C279" s="117">
        <v>0.8</v>
      </c>
      <c r="D279" s="73">
        <v>6</v>
      </c>
      <c r="E279" s="73">
        <v>6</v>
      </c>
      <c r="F279" s="73">
        <v>5.0999999999999996</v>
      </c>
    </row>
    <row r="280" spans="1:6" outlineLevel="1">
      <c r="A280" s="632"/>
      <c r="B280" s="437">
        <v>5.5</v>
      </c>
      <c r="C280" s="117">
        <v>1.2</v>
      </c>
      <c r="D280" s="73">
        <v>7.5</v>
      </c>
      <c r="E280" s="73">
        <v>7.5</v>
      </c>
      <c r="F280" s="73">
        <v>7.5</v>
      </c>
    </row>
    <row r="281" spans="1:6" outlineLevel="1">
      <c r="A281" s="632"/>
      <c r="B281" s="437">
        <v>5.5</v>
      </c>
      <c r="C281" s="117">
        <v>1.6</v>
      </c>
      <c r="D281" s="117">
        <v>9.1999999999999993</v>
      </c>
      <c r="E281" s="117">
        <v>9</v>
      </c>
      <c r="F281" s="117">
        <v>8.9</v>
      </c>
    </row>
    <row r="282" spans="1:6" outlineLevel="1">
      <c r="A282" s="632"/>
      <c r="B282" s="437">
        <v>5.5</v>
      </c>
      <c r="C282" s="73">
        <v>2.4</v>
      </c>
      <c r="D282" s="118">
        <v>10.6</v>
      </c>
      <c r="E282" s="118">
        <v>10.5</v>
      </c>
      <c r="F282" s="118">
        <v>10.3</v>
      </c>
    </row>
    <row r="283" spans="1:6" outlineLevel="1">
      <c r="A283" s="632"/>
      <c r="B283" s="437">
        <v>5.5</v>
      </c>
      <c r="C283" s="73">
        <v>3.2</v>
      </c>
      <c r="D283" s="118">
        <v>11.8</v>
      </c>
      <c r="E283" s="118">
        <v>11.7</v>
      </c>
      <c r="F283" s="118">
        <v>11.3</v>
      </c>
    </row>
    <row r="284" spans="1:6" outlineLevel="1">
      <c r="A284" s="632"/>
      <c r="B284" s="437">
        <v>5.5</v>
      </c>
      <c r="C284" s="73">
        <v>4.8</v>
      </c>
      <c r="D284" s="118">
        <v>13.7</v>
      </c>
      <c r="E284" s="118">
        <v>13.5</v>
      </c>
      <c r="F284" s="118">
        <v>12.4</v>
      </c>
    </row>
    <row r="285" spans="1:6" outlineLevel="1">
      <c r="A285" s="658"/>
      <c r="B285" s="437">
        <v>5.5</v>
      </c>
      <c r="C285" s="81" t="s">
        <v>192</v>
      </c>
      <c r="D285" s="126">
        <v>15.3</v>
      </c>
      <c r="E285" s="126">
        <v>15</v>
      </c>
      <c r="F285" s="126">
        <v>12.5</v>
      </c>
    </row>
    <row r="286" spans="1:6" outlineLevel="1">
      <c r="A286" s="657" t="s">
        <v>193</v>
      </c>
      <c r="B286" s="437">
        <v>6.5</v>
      </c>
      <c r="C286" s="120">
        <v>0.4</v>
      </c>
      <c r="D286" s="120">
        <v>4.7</v>
      </c>
      <c r="E286" s="120">
        <v>4.0999999999999996</v>
      </c>
      <c r="F286" s="121">
        <v>3.5</v>
      </c>
    </row>
    <row r="287" spans="1:6" outlineLevel="1">
      <c r="A287" s="632"/>
      <c r="B287" s="437">
        <v>6.5</v>
      </c>
      <c r="C287" s="117">
        <v>0.8</v>
      </c>
      <c r="D287" s="73">
        <v>7.2</v>
      </c>
      <c r="E287" s="73">
        <v>7.2</v>
      </c>
      <c r="F287" s="73">
        <v>7.2</v>
      </c>
    </row>
    <row r="288" spans="1:6" outlineLevel="1">
      <c r="A288" s="632"/>
      <c r="B288" s="437">
        <v>6.5</v>
      </c>
      <c r="C288" s="117">
        <v>1.2</v>
      </c>
      <c r="D288" s="117">
        <v>9.1</v>
      </c>
      <c r="E288" s="117">
        <v>9.1</v>
      </c>
      <c r="F288" s="117">
        <v>9.1</v>
      </c>
    </row>
    <row r="289" spans="1:6" outlineLevel="1">
      <c r="A289" s="632"/>
      <c r="B289" s="437">
        <v>6.5</v>
      </c>
      <c r="C289" s="117">
        <v>1.6</v>
      </c>
      <c r="D289" s="118">
        <v>10.3</v>
      </c>
      <c r="E289" s="118">
        <v>10.3</v>
      </c>
      <c r="F289" s="118">
        <v>10.199999999999999</v>
      </c>
    </row>
    <row r="290" spans="1:6" outlineLevel="1">
      <c r="A290" s="632"/>
      <c r="B290" s="437">
        <v>6.5</v>
      </c>
      <c r="C290" s="73">
        <v>2.4</v>
      </c>
      <c r="D290" s="118">
        <v>11.9</v>
      </c>
      <c r="E290" s="118">
        <v>11.8</v>
      </c>
      <c r="F290" s="118">
        <v>11.7</v>
      </c>
    </row>
    <row r="291" spans="1:6" outlineLevel="1">
      <c r="A291" s="632"/>
      <c r="B291" s="437">
        <v>6.5</v>
      </c>
      <c r="C291" s="73">
        <v>3.2</v>
      </c>
      <c r="D291" s="118">
        <v>12.8</v>
      </c>
      <c r="E291" s="118">
        <v>12.7</v>
      </c>
      <c r="F291" s="118">
        <v>12.6</v>
      </c>
    </row>
    <row r="292" spans="1:6" outlineLevel="1">
      <c r="A292" s="632"/>
      <c r="B292" s="437">
        <v>6.5</v>
      </c>
      <c r="C292" s="73">
        <v>4.8</v>
      </c>
      <c r="D292" s="118">
        <v>14.4</v>
      </c>
      <c r="E292" s="118">
        <v>14.3</v>
      </c>
      <c r="F292" s="118">
        <v>14.2</v>
      </c>
    </row>
    <row r="293" spans="1:6" outlineLevel="1">
      <c r="A293" s="661"/>
      <c r="B293" s="437">
        <v>6.5</v>
      </c>
      <c r="C293" s="107" t="s">
        <v>194</v>
      </c>
      <c r="D293" s="127">
        <v>15.4</v>
      </c>
      <c r="E293" s="127">
        <v>15.2</v>
      </c>
      <c r="F293" s="127">
        <v>15</v>
      </c>
    </row>
    <row r="294" spans="1:6" outlineLevel="1">
      <c r="A294" s="659" t="s">
        <v>195</v>
      </c>
      <c r="B294" s="437" t="s">
        <v>73</v>
      </c>
      <c r="C294" s="128">
        <v>0.4</v>
      </c>
      <c r="D294" s="129">
        <v>5.0999999999999996</v>
      </c>
      <c r="E294" s="128">
        <v>4.8</v>
      </c>
      <c r="F294" s="129">
        <v>4.5999999999999996</v>
      </c>
    </row>
    <row r="295" spans="1:6" outlineLevel="1">
      <c r="A295" s="632"/>
      <c r="B295" s="437" t="s">
        <v>73</v>
      </c>
      <c r="C295" s="117">
        <v>0.8</v>
      </c>
      <c r="D295" s="117">
        <v>7.8</v>
      </c>
      <c r="E295" s="117">
        <v>7.8</v>
      </c>
      <c r="F295" s="117">
        <v>7.8</v>
      </c>
    </row>
    <row r="296" spans="1:6" outlineLevel="1">
      <c r="A296" s="632"/>
      <c r="B296" s="437" t="s">
        <v>73</v>
      </c>
      <c r="C296" s="117">
        <v>1.2</v>
      </c>
      <c r="D296" s="117">
        <v>9.8000000000000007</v>
      </c>
      <c r="E296" s="117">
        <v>9.8000000000000007</v>
      </c>
      <c r="F296" s="117">
        <v>9.8000000000000007</v>
      </c>
    </row>
    <row r="297" spans="1:6" outlineLevel="1">
      <c r="A297" s="632"/>
      <c r="B297" s="437" t="s">
        <v>73</v>
      </c>
      <c r="C297" s="117">
        <v>1.6</v>
      </c>
      <c r="D297" s="118">
        <v>10.4</v>
      </c>
      <c r="E297" s="118">
        <v>10.4</v>
      </c>
      <c r="F297" s="118">
        <v>10.3</v>
      </c>
    </row>
    <row r="298" spans="1:6" outlineLevel="1">
      <c r="A298" s="632"/>
      <c r="B298" s="437" t="s">
        <v>73</v>
      </c>
      <c r="C298" s="73">
        <v>2.4</v>
      </c>
      <c r="D298" s="118">
        <v>12</v>
      </c>
      <c r="E298" s="118">
        <v>11.9</v>
      </c>
      <c r="F298" s="118">
        <v>11.8</v>
      </c>
    </row>
    <row r="299" spans="1:6" outlineLevel="1">
      <c r="A299" s="632"/>
      <c r="B299" s="437" t="s">
        <v>73</v>
      </c>
      <c r="C299" s="73">
        <v>3.2</v>
      </c>
      <c r="D299" s="118">
        <v>12.9</v>
      </c>
      <c r="E299" s="118">
        <v>12.8</v>
      </c>
      <c r="F299" s="118">
        <v>12.7</v>
      </c>
    </row>
    <row r="300" spans="1:6" outlineLevel="1">
      <c r="A300" s="632"/>
      <c r="B300" s="437" t="s">
        <v>73</v>
      </c>
      <c r="C300" s="117">
        <v>4.8</v>
      </c>
      <c r="D300" s="118">
        <v>14.5</v>
      </c>
      <c r="E300" s="118">
        <v>14.4</v>
      </c>
      <c r="F300" s="118">
        <v>14.3</v>
      </c>
    </row>
    <row r="301" spans="1:6" outlineLevel="1">
      <c r="A301" s="660"/>
      <c r="B301" s="437" t="s">
        <v>73</v>
      </c>
      <c r="C301" s="75" t="s">
        <v>158</v>
      </c>
      <c r="D301" s="130">
        <v>15.4</v>
      </c>
      <c r="E301" s="130">
        <v>15.3</v>
      </c>
      <c r="F301" s="130">
        <v>15.2</v>
      </c>
    </row>
    <row r="302" spans="1:6" outlineLevel="1">
      <c r="A302" s="482"/>
      <c r="B302" s="437"/>
      <c r="C302" s="136"/>
      <c r="D302" s="179"/>
      <c r="E302" s="179"/>
      <c r="F302" s="179"/>
    </row>
    <row r="303" spans="1:6" outlineLevel="1">
      <c r="A303" s="482"/>
      <c r="B303" s="437"/>
      <c r="C303" s="136"/>
      <c r="D303" s="179"/>
      <c r="E303" s="179"/>
      <c r="F303" s="179"/>
    </row>
    <row r="304" spans="1:6" outlineLevel="1">
      <c r="A304" s="482"/>
      <c r="B304" s="437"/>
      <c r="C304" s="136"/>
      <c r="D304" s="179"/>
      <c r="E304" s="179"/>
      <c r="F304" s="179"/>
    </row>
    <row r="305" spans="1:7" outlineLevel="1">
      <c r="A305" s="482"/>
      <c r="B305" s="437"/>
      <c r="C305" s="136"/>
      <c r="D305" s="179"/>
      <c r="E305" s="179"/>
      <c r="F305" s="179"/>
    </row>
    <row r="306" spans="1:7" outlineLevel="1">
      <c r="A306" s="235"/>
    </row>
    <row r="307" spans="1:7" outlineLevel="1">
      <c r="A307" s="234" t="s">
        <v>212</v>
      </c>
      <c r="C307" s="64"/>
      <c r="D307" s="64"/>
      <c r="E307" s="64"/>
      <c r="F307" s="64"/>
      <c r="G307" s="64"/>
    </row>
    <row r="308" spans="1:7" outlineLevel="1">
      <c r="A308" s="234" t="s">
        <v>213</v>
      </c>
      <c r="C308" s="64"/>
      <c r="D308" s="64"/>
      <c r="E308" s="64"/>
      <c r="F308" s="64"/>
      <c r="G308" s="64"/>
    </row>
    <row r="309" spans="1:7" outlineLevel="1">
      <c r="A309" s="645" t="s">
        <v>214</v>
      </c>
      <c r="C309" s="638" t="s">
        <v>215</v>
      </c>
      <c r="D309" s="641" t="s">
        <v>216</v>
      </c>
      <c r="E309" s="637"/>
      <c r="F309" s="637"/>
      <c r="G309" s="663" t="s">
        <v>217</v>
      </c>
    </row>
    <row r="310" spans="1:7" outlineLevel="1">
      <c r="A310" s="646"/>
      <c r="C310" s="639"/>
      <c r="D310" s="666" t="s">
        <v>218</v>
      </c>
      <c r="E310" s="667"/>
      <c r="F310" s="667"/>
      <c r="G310" s="664"/>
    </row>
    <row r="311" spans="1:7" outlineLevel="1">
      <c r="A311" s="647"/>
      <c r="C311" s="640"/>
      <c r="D311" s="137" t="s">
        <v>219</v>
      </c>
      <c r="E311" s="138" t="s">
        <v>220</v>
      </c>
      <c r="F311" s="139" t="s">
        <v>221</v>
      </c>
      <c r="G311" s="665"/>
    </row>
    <row r="312" spans="1:7" outlineLevel="1">
      <c r="A312" s="642" t="s">
        <v>222</v>
      </c>
      <c r="B312" s="437">
        <v>3.5</v>
      </c>
      <c r="C312" s="140">
        <v>0.4</v>
      </c>
      <c r="D312" s="141">
        <v>1</v>
      </c>
      <c r="E312" s="141">
        <v>1</v>
      </c>
      <c r="F312" s="142">
        <v>1</v>
      </c>
      <c r="G312" s="143">
        <v>1</v>
      </c>
    </row>
    <row r="313" spans="1:7" outlineLevel="1">
      <c r="A313" s="643"/>
      <c r="B313" s="437">
        <v>3.5</v>
      </c>
      <c r="C313" s="144">
        <v>0.8</v>
      </c>
      <c r="D313" s="145">
        <v>1</v>
      </c>
      <c r="E313" s="145">
        <v>1</v>
      </c>
      <c r="F313" s="146">
        <v>1</v>
      </c>
      <c r="G313" s="147">
        <v>1</v>
      </c>
    </row>
    <row r="314" spans="1:7" outlineLevel="1">
      <c r="A314" s="643"/>
      <c r="B314" s="437">
        <v>3.5</v>
      </c>
      <c r="C314" s="145">
        <v>1.2</v>
      </c>
      <c r="D314" s="145">
        <v>1</v>
      </c>
      <c r="E314" s="145">
        <v>1</v>
      </c>
      <c r="F314" s="146">
        <v>1</v>
      </c>
      <c r="G314" s="147">
        <v>1</v>
      </c>
    </row>
    <row r="315" spans="1:7" outlineLevel="1">
      <c r="A315" s="643"/>
      <c r="B315" s="437">
        <v>3.5</v>
      </c>
      <c r="C315" s="145">
        <v>1.6</v>
      </c>
      <c r="D315" s="145">
        <v>1</v>
      </c>
      <c r="E315" s="145">
        <v>1</v>
      </c>
      <c r="F315" s="146">
        <v>1</v>
      </c>
      <c r="G315" s="147">
        <v>1</v>
      </c>
    </row>
    <row r="316" spans="1:7" outlineLevel="1">
      <c r="A316" s="643"/>
      <c r="B316" s="437">
        <v>3.5</v>
      </c>
      <c r="C316" s="144">
        <v>2.4</v>
      </c>
      <c r="D316" s="145">
        <v>1</v>
      </c>
      <c r="E316" s="145">
        <v>1</v>
      </c>
      <c r="F316" s="146">
        <v>1</v>
      </c>
      <c r="G316" s="147">
        <v>1</v>
      </c>
    </row>
    <row r="317" spans="1:7" outlineLevel="1">
      <c r="A317" s="643"/>
      <c r="B317" s="437">
        <v>3.5</v>
      </c>
      <c r="C317" s="144">
        <v>3.2</v>
      </c>
      <c r="D317" s="145">
        <v>1</v>
      </c>
      <c r="E317" s="145">
        <v>1</v>
      </c>
      <c r="F317" s="146">
        <v>1</v>
      </c>
      <c r="G317" s="147">
        <v>1</v>
      </c>
    </row>
    <row r="318" spans="1:7" outlineLevel="1">
      <c r="A318" s="643"/>
      <c r="B318" s="437">
        <v>3.5</v>
      </c>
      <c r="C318" s="145">
        <v>4.8</v>
      </c>
      <c r="D318" s="145">
        <v>1.4</v>
      </c>
      <c r="E318" s="145">
        <v>1</v>
      </c>
      <c r="F318" s="146">
        <v>1</v>
      </c>
      <c r="G318" s="147">
        <v>1</v>
      </c>
    </row>
    <row r="319" spans="1:7" outlineLevel="1">
      <c r="A319" s="648"/>
      <c r="B319" s="437">
        <v>3.5</v>
      </c>
      <c r="C319" s="148" t="s">
        <v>223</v>
      </c>
      <c r="D319" s="149">
        <v>1.5</v>
      </c>
      <c r="E319" s="149">
        <v>1</v>
      </c>
      <c r="F319" s="150">
        <v>1</v>
      </c>
      <c r="G319" s="151">
        <v>1</v>
      </c>
    </row>
    <row r="320" spans="1:7" outlineLevel="1">
      <c r="A320" s="642" t="s">
        <v>224</v>
      </c>
      <c r="B320" s="437">
        <v>4.5</v>
      </c>
      <c r="C320" s="140">
        <v>0.4</v>
      </c>
      <c r="D320" s="141">
        <v>1</v>
      </c>
      <c r="E320" s="141">
        <v>1</v>
      </c>
      <c r="F320" s="142">
        <v>1</v>
      </c>
      <c r="G320" s="143">
        <v>1</v>
      </c>
    </row>
    <row r="321" spans="1:7" outlineLevel="1">
      <c r="A321" s="643"/>
      <c r="B321" s="437">
        <v>4.5</v>
      </c>
      <c r="C321" s="144">
        <v>0.8</v>
      </c>
      <c r="D321" s="145">
        <v>1</v>
      </c>
      <c r="E321" s="145">
        <v>1</v>
      </c>
      <c r="F321" s="146">
        <v>1</v>
      </c>
      <c r="G321" s="147">
        <v>1</v>
      </c>
    </row>
    <row r="322" spans="1:7" outlineLevel="1">
      <c r="A322" s="643"/>
      <c r="B322" s="437">
        <v>4.5</v>
      </c>
      <c r="C322" s="145">
        <v>1.2</v>
      </c>
      <c r="D322" s="145">
        <v>1</v>
      </c>
      <c r="E322" s="145">
        <v>1</v>
      </c>
      <c r="F322" s="146">
        <v>1</v>
      </c>
      <c r="G322" s="147">
        <v>1</v>
      </c>
    </row>
    <row r="323" spans="1:7" outlineLevel="1">
      <c r="A323" s="643"/>
      <c r="B323" s="437">
        <v>4.5</v>
      </c>
      <c r="C323" s="145">
        <v>1.6</v>
      </c>
      <c r="D323" s="145">
        <v>1</v>
      </c>
      <c r="E323" s="145">
        <v>1</v>
      </c>
      <c r="F323" s="146">
        <v>1</v>
      </c>
      <c r="G323" s="147">
        <v>1</v>
      </c>
    </row>
    <row r="324" spans="1:7" outlineLevel="1">
      <c r="A324" s="643"/>
      <c r="B324" s="437">
        <v>4.5</v>
      </c>
      <c r="C324" s="152">
        <v>2.4</v>
      </c>
      <c r="D324" s="145">
        <v>1.1000000000000001</v>
      </c>
      <c r="E324" s="145">
        <v>1</v>
      </c>
      <c r="F324" s="146">
        <v>1</v>
      </c>
      <c r="G324" s="147">
        <v>1</v>
      </c>
    </row>
    <row r="325" spans="1:7" outlineLevel="1">
      <c r="A325" s="643"/>
      <c r="B325" s="437">
        <v>4.5</v>
      </c>
      <c r="C325" s="144">
        <v>3.2</v>
      </c>
      <c r="D325" s="145">
        <v>1.4</v>
      </c>
      <c r="E325" s="145">
        <v>1</v>
      </c>
      <c r="F325" s="146">
        <v>1</v>
      </c>
      <c r="G325" s="147">
        <v>1</v>
      </c>
    </row>
    <row r="326" spans="1:7" outlineLevel="1">
      <c r="A326" s="643"/>
      <c r="B326" s="437">
        <v>4.5</v>
      </c>
      <c r="C326" s="145">
        <v>4.8</v>
      </c>
      <c r="D326" s="145">
        <v>1.7</v>
      </c>
      <c r="E326" s="145">
        <v>1.1000000000000001</v>
      </c>
      <c r="F326" s="146">
        <v>1.2</v>
      </c>
      <c r="G326" s="147">
        <v>1</v>
      </c>
    </row>
    <row r="327" spans="1:7" outlineLevel="1">
      <c r="A327" s="649"/>
      <c r="B327" s="437">
        <v>4.5</v>
      </c>
      <c r="C327" s="153" t="s">
        <v>225</v>
      </c>
      <c r="D327" s="154">
        <v>2</v>
      </c>
      <c r="E327" s="155">
        <v>1.5</v>
      </c>
      <c r="F327" s="156">
        <v>1.4</v>
      </c>
      <c r="G327" s="157">
        <v>1</v>
      </c>
    </row>
    <row r="328" spans="1:7" outlineLevel="1">
      <c r="A328" s="651" t="s">
        <v>226</v>
      </c>
      <c r="B328" s="437">
        <v>5.5</v>
      </c>
      <c r="C328" s="158">
        <v>0.4</v>
      </c>
      <c r="D328" s="159">
        <v>1</v>
      </c>
      <c r="E328" s="159">
        <v>1</v>
      </c>
      <c r="F328" s="160">
        <v>1</v>
      </c>
      <c r="G328" s="161">
        <v>1</v>
      </c>
    </row>
    <row r="329" spans="1:7" outlineLevel="1">
      <c r="A329" s="643"/>
      <c r="B329" s="437">
        <v>5.5</v>
      </c>
      <c r="C329" s="144">
        <v>0.8</v>
      </c>
      <c r="D329" s="145">
        <v>1</v>
      </c>
      <c r="E329" s="145">
        <v>1</v>
      </c>
      <c r="F329" s="146">
        <v>1</v>
      </c>
      <c r="G329" s="147">
        <v>1</v>
      </c>
    </row>
    <row r="330" spans="1:7" outlineLevel="1">
      <c r="A330" s="643"/>
      <c r="B330" s="437">
        <v>5.5</v>
      </c>
      <c r="C330" s="145">
        <v>1.2</v>
      </c>
      <c r="D330" s="145">
        <v>1</v>
      </c>
      <c r="E330" s="145">
        <v>1</v>
      </c>
      <c r="F330" s="146">
        <v>1</v>
      </c>
      <c r="G330" s="147">
        <v>1</v>
      </c>
    </row>
    <row r="331" spans="1:7" outlineLevel="1">
      <c r="A331" s="643"/>
      <c r="B331" s="437">
        <v>5.5</v>
      </c>
      <c r="C331" s="145">
        <v>1.6</v>
      </c>
      <c r="D331" s="145">
        <v>1</v>
      </c>
      <c r="E331" s="145">
        <v>1</v>
      </c>
      <c r="F331" s="146">
        <v>1</v>
      </c>
      <c r="G331" s="147">
        <v>1</v>
      </c>
    </row>
    <row r="332" spans="1:7" outlineLevel="1">
      <c r="A332" s="643"/>
      <c r="B332" s="437">
        <v>5.5</v>
      </c>
      <c r="C332" s="144">
        <v>2.4</v>
      </c>
      <c r="D332" s="145">
        <v>1.1000000000000001</v>
      </c>
      <c r="E332" s="145">
        <v>1.2</v>
      </c>
      <c r="F332" s="146">
        <v>1.2</v>
      </c>
      <c r="G332" s="147">
        <v>1</v>
      </c>
    </row>
    <row r="333" spans="1:7" outlineLevel="1">
      <c r="A333" s="643"/>
      <c r="B333" s="437">
        <v>5.5</v>
      </c>
      <c r="C333" s="144">
        <v>3.2</v>
      </c>
      <c r="D333" s="145">
        <v>1.6</v>
      </c>
      <c r="E333" s="145">
        <v>1.3</v>
      </c>
      <c r="F333" s="146">
        <v>1.5</v>
      </c>
      <c r="G333" s="147">
        <v>1</v>
      </c>
    </row>
    <row r="334" spans="1:7" outlineLevel="1">
      <c r="A334" s="643"/>
      <c r="B334" s="437">
        <v>5.5</v>
      </c>
      <c r="C334" s="145">
        <v>4.8</v>
      </c>
      <c r="D334" s="144">
        <v>2.2999999999999998</v>
      </c>
      <c r="E334" s="145">
        <v>1.9</v>
      </c>
      <c r="F334" s="146">
        <v>1.7</v>
      </c>
      <c r="G334" s="147">
        <v>1</v>
      </c>
    </row>
    <row r="335" spans="1:7" outlineLevel="1">
      <c r="A335" s="652"/>
      <c r="B335" s="437">
        <v>5.5</v>
      </c>
      <c r="C335" s="162" t="s">
        <v>227</v>
      </c>
      <c r="D335" s="163">
        <v>3.3</v>
      </c>
      <c r="E335" s="163">
        <v>2.1</v>
      </c>
      <c r="F335" s="164">
        <v>1.8</v>
      </c>
      <c r="G335" s="165">
        <v>1</v>
      </c>
    </row>
    <row r="336" spans="1:7" outlineLevel="1">
      <c r="A336" s="650" t="s">
        <v>228</v>
      </c>
      <c r="B336" s="437">
        <v>6.5</v>
      </c>
      <c r="C336" s="166">
        <v>0.4</v>
      </c>
      <c r="D336" s="167">
        <v>1</v>
      </c>
      <c r="E336" s="167">
        <v>1</v>
      </c>
      <c r="F336" s="168">
        <v>1</v>
      </c>
      <c r="G336" s="169">
        <v>1</v>
      </c>
    </row>
    <row r="337" spans="1:7" outlineLevel="1">
      <c r="A337" s="643"/>
      <c r="B337" s="437">
        <v>6.5</v>
      </c>
      <c r="C337" s="144">
        <v>0.8</v>
      </c>
      <c r="D337" s="145">
        <v>1</v>
      </c>
      <c r="E337" s="145">
        <v>1</v>
      </c>
      <c r="F337" s="146">
        <v>1</v>
      </c>
      <c r="G337" s="147">
        <v>1</v>
      </c>
    </row>
    <row r="338" spans="1:7" outlineLevel="1">
      <c r="A338" s="643"/>
      <c r="B338" s="437">
        <v>6.5</v>
      </c>
      <c r="C338" s="145">
        <v>1.2</v>
      </c>
      <c r="D338" s="145">
        <v>1</v>
      </c>
      <c r="E338" s="145">
        <v>1</v>
      </c>
      <c r="F338" s="146">
        <v>1</v>
      </c>
      <c r="G338" s="147">
        <v>1</v>
      </c>
    </row>
    <row r="339" spans="1:7" outlineLevel="1">
      <c r="A339" s="643"/>
      <c r="B339" s="437">
        <v>6.5</v>
      </c>
      <c r="C339" s="145">
        <v>1.6</v>
      </c>
      <c r="D339" s="145">
        <v>1</v>
      </c>
      <c r="E339" s="145">
        <v>1.2</v>
      </c>
      <c r="F339" s="146">
        <v>1.2</v>
      </c>
      <c r="G339" s="147">
        <v>1</v>
      </c>
    </row>
    <row r="340" spans="1:7" outlineLevel="1">
      <c r="A340" s="643"/>
      <c r="B340" s="437">
        <v>6.5</v>
      </c>
      <c r="C340" s="144">
        <v>2.4</v>
      </c>
      <c r="D340" s="145">
        <v>1.5</v>
      </c>
      <c r="E340" s="145">
        <v>1.6</v>
      </c>
      <c r="F340" s="146">
        <v>1.6</v>
      </c>
      <c r="G340" s="147">
        <v>1</v>
      </c>
    </row>
    <row r="341" spans="1:7" outlineLevel="1">
      <c r="A341" s="643"/>
      <c r="B341" s="437">
        <v>6.5</v>
      </c>
      <c r="C341" s="144">
        <v>3.2</v>
      </c>
      <c r="D341" s="145">
        <v>1.9</v>
      </c>
      <c r="E341" s="145">
        <v>1.9</v>
      </c>
      <c r="F341" s="146">
        <v>1.8</v>
      </c>
      <c r="G341" s="147">
        <v>1</v>
      </c>
    </row>
    <row r="342" spans="1:7" outlineLevel="1">
      <c r="A342" s="643"/>
      <c r="B342" s="437">
        <v>6.5</v>
      </c>
      <c r="C342" s="145">
        <v>4.8</v>
      </c>
      <c r="D342" s="144">
        <v>3.3</v>
      </c>
      <c r="E342" s="144">
        <v>2.5</v>
      </c>
      <c r="F342" s="170">
        <v>2</v>
      </c>
      <c r="G342" s="147">
        <v>1</v>
      </c>
    </row>
    <row r="343" spans="1:7" outlineLevel="1">
      <c r="A343" s="648"/>
      <c r="B343" s="437">
        <v>6.5</v>
      </c>
      <c r="C343" s="148" t="s">
        <v>227</v>
      </c>
      <c r="D343" s="149">
        <v>4.3</v>
      </c>
      <c r="E343" s="171">
        <v>3.1</v>
      </c>
      <c r="F343" s="172">
        <v>2</v>
      </c>
      <c r="G343" s="151">
        <v>1</v>
      </c>
    </row>
    <row r="344" spans="1:7" outlineLevel="1">
      <c r="A344" s="642" t="s">
        <v>229</v>
      </c>
      <c r="B344" s="437" t="s">
        <v>73</v>
      </c>
      <c r="C344" s="140">
        <v>0.4</v>
      </c>
      <c r="D344" s="141">
        <v>1</v>
      </c>
      <c r="E344" s="141">
        <v>1</v>
      </c>
      <c r="F344" s="142">
        <v>1</v>
      </c>
      <c r="G344" s="143">
        <v>1</v>
      </c>
    </row>
    <row r="345" spans="1:7" outlineLevel="1">
      <c r="A345" s="643"/>
      <c r="B345" s="437" t="s">
        <v>73</v>
      </c>
      <c r="C345" s="144">
        <v>0.8</v>
      </c>
      <c r="D345" s="145">
        <v>1</v>
      </c>
      <c r="E345" s="145">
        <v>1</v>
      </c>
      <c r="F345" s="146">
        <v>1</v>
      </c>
      <c r="G345" s="147">
        <v>1</v>
      </c>
    </row>
    <row r="346" spans="1:7" outlineLevel="1">
      <c r="A346" s="643"/>
      <c r="B346" s="437" t="s">
        <v>73</v>
      </c>
      <c r="C346" s="145">
        <v>1.2</v>
      </c>
      <c r="D346" s="145">
        <v>1</v>
      </c>
      <c r="E346" s="145">
        <v>1</v>
      </c>
      <c r="F346" s="146">
        <v>1.3</v>
      </c>
      <c r="G346" s="147">
        <v>1</v>
      </c>
    </row>
    <row r="347" spans="1:7" outlineLevel="1">
      <c r="A347" s="643"/>
      <c r="B347" s="437" t="s">
        <v>73</v>
      </c>
      <c r="C347" s="145">
        <v>1.6</v>
      </c>
      <c r="D347" s="145">
        <v>1.3</v>
      </c>
      <c r="E347" s="145">
        <v>1.4</v>
      </c>
      <c r="F347" s="146">
        <v>1.6</v>
      </c>
      <c r="G347" s="147">
        <v>1</v>
      </c>
    </row>
    <row r="348" spans="1:7" outlineLevel="1">
      <c r="A348" s="643"/>
      <c r="B348" s="437" t="s">
        <v>73</v>
      </c>
      <c r="C348" s="152">
        <v>2.4</v>
      </c>
      <c r="D348" s="144">
        <v>2.1</v>
      </c>
      <c r="E348" s="144">
        <v>2</v>
      </c>
      <c r="F348" s="173">
        <v>2</v>
      </c>
      <c r="G348" s="147">
        <v>1</v>
      </c>
    </row>
    <row r="349" spans="1:7" outlineLevel="1">
      <c r="A349" s="643"/>
      <c r="B349" s="437" t="s">
        <v>73</v>
      </c>
      <c r="C349" s="144">
        <v>3.2</v>
      </c>
      <c r="D349" s="152">
        <v>2.8</v>
      </c>
      <c r="E349" s="152">
        <v>2.5</v>
      </c>
      <c r="F349" s="173">
        <v>2.1</v>
      </c>
      <c r="G349" s="147">
        <v>1</v>
      </c>
    </row>
    <row r="350" spans="1:7" outlineLevel="1">
      <c r="A350" s="643"/>
      <c r="B350" s="437" t="s">
        <v>73</v>
      </c>
      <c r="C350" s="145">
        <v>4.8</v>
      </c>
      <c r="D350" s="145">
        <v>4</v>
      </c>
      <c r="E350" s="144">
        <v>3.1</v>
      </c>
      <c r="F350" s="173">
        <v>2.2000000000000002</v>
      </c>
      <c r="G350" s="147">
        <v>1</v>
      </c>
    </row>
    <row r="351" spans="1:7" outlineLevel="1">
      <c r="A351" s="644"/>
      <c r="B351" s="437" t="s">
        <v>73</v>
      </c>
      <c r="C351" s="174" t="s">
        <v>225</v>
      </c>
      <c r="D351" s="175">
        <v>4.8</v>
      </c>
      <c r="E351" s="175">
        <v>3.5</v>
      </c>
      <c r="F351" s="176">
        <v>2.2999999999999998</v>
      </c>
      <c r="G351" s="177">
        <v>1</v>
      </c>
    </row>
    <row r="352" spans="1:7" outlineLevel="1">
      <c r="A352" s="482"/>
      <c r="B352" s="437"/>
      <c r="C352" s="136"/>
      <c r="D352" s="180"/>
      <c r="E352" s="180"/>
      <c r="F352" s="180"/>
      <c r="G352" s="181"/>
    </row>
    <row r="353" spans="1:7" outlineLevel="1">
      <c r="A353" s="482"/>
      <c r="B353" s="437"/>
      <c r="C353" s="136"/>
      <c r="D353" s="180"/>
      <c r="E353" s="180"/>
      <c r="F353" s="180"/>
      <c r="G353" s="181"/>
    </row>
    <row r="354" spans="1:7" outlineLevel="1">
      <c r="A354" s="482"/>
      <c r="B354" s="437"/>
      <c r="C354" s="136"/>
      <c r="D354" s="180"/>
      <c r="E354" s="180"/>
      <c r="F354" s="180"/>
      <c r="G354" s="181"/>
    </row>
    <row r="355" spans="1:7" outlineLevel="1">
      <c r="A355" s="482"/>
      <c r="B355" s="437"/>
      <c r="C355" s="136"/>
      <c r="D355" s="180"/>
      <c r="E355" s="180"/>
      <c r="F355" s="180"/>
      <c r="G355" s="181"/>
    </row>
    <row r="356" spans="1:7" outlineLevel="1">
      <c r="A356" s="482"/>
      <c r="B356" s="437"/>
      <c r="C356" s="136"/>
      <c r="D356" s="180"/>
      <c r="E356" s="180"/>
      <c r="F356" s="180"/>
      <c r="G356" s="181"/>
    </row>
    <row r="357" spans="1:7" outlineLevel="1">
      <c r="A357" s="234" t="s">
        <v>196</v>
      </c>
      <c r="C357" s="64"/>
      <c r="D357" s="64"/>
      <c r="E357" s="64"/>
      <c r="F357" s="64"/>
    </row>
    <row r="358" spans="1:7" outlineLevel="1">
      <c r="A358" s="234" t="s">
        <v>197</v>
      </c>
      <c r="C358" s="64"/>
      <c r="D358" s="64"/>
      <c r="E358" s="64"/>
      <c r="F358" s="64"/>
    </row>
    <row r="359" spans="1:7" outlineLevel="1">
      <c r="A359" s="623" t="s">
        <v>198</v>
      </c>
      <c r="C359" s="626" t="s">
        <v>199</v>
      </c>
      <c r="D359" s="636" t="s">
        <v>200</v>
      </c>
      <c r="E359" s="637"/>
      <c r="F359" s="637"/>
    </row>
    <row r="360" spans="1:7" outlineLevel="1">
      <c r="A360" s="624"/>
      <c r="C360" s="627"/>
      <c r="D360" s="634" t="s">
        <v>201</v>
      </c>
      <c r="E360" s="635"/>
      <c r="F360" s="635"/>
    </row>
    <row r="361" spans="1:7" outlineLevel="1">
      <c r="A361" s="625"/>
      <c r="C361" s="628"/>
      <c r="D361" s="112" t="s">
        <v>202</v>
      </c>
      <c r="E361" s="113" t="s">
        <v>203</v>
      </c>
      <c r="F361" s="114" t="s">
        <v>204</v>
      </c>
    </row>
    <row r="362" spans="1:7" outlineLevel="1">
      <c r="A362" s="631" t="s">
        <v>205</v>
      </c>
      <c r="B362" s="437">
        <v>3.5</v>
      </c>
      <c r="C362" s="96">
        <v>0.4</v>
      </c>
      <c r="D362" s="96">
        <v>1.1000000000000001</v>
      </c>
      <c r="E362" s="96">
        <v>1</v>
      </c>
      <c r="F362" s="96">
        <v>1</v>
      </c>
    </row>
    <row r="363" spans="1:7" outlineLevel="1">
      <c r="A363" s="632"/>
      <c r="B363" s="437">
        <v>3.5</v>
      </c>
      <c r="C363" s="98">
        <v>0.8</v>
      </c>
      <c r="D363" s="98">
        <v>1.2</v>
      </c>
      <c r="E363" s="98">
        <v>1</v>
      </c>
      <c r="F363" s="98">
        <v>1</v>
      </c>
    </row>
    <row r="364" spans="1:7" outlineLevel="1">
      <c r="A364" s="632"/>
      <c r="B364" s="437">
        <v>3.5</v>
      </c>
      <c r="C364" s="118">
        <v>1.2</v>
      </c>
      <c r="D364" s="98">
        <v>1.2</v>
      </c>
      <c r="E364" s="98">
        <v>1</v>
      </c>
      <c r="F364" s="98">
        <v>1</v>
      </c>
    </row>
    <row r="365" spans="1:7" outlineLevel="1">
      <c r="A365" s="632"/>
      <c r="B365" s="437">
        <v>3.5</v>
      </c>
      <c r="C365" s="98">
        <v>1.6</v>
      </c>
      <c r="D365" s="98">
        <v>1.3</v>
      </c>
      <c r="E365" s="98">
        <v>1</v>
      </c>
      <c r="F365" s="98">
        <v>1</v>
      </c>
    </row>
    <row r="366" spans="1:7" outlineLevel="1">
      <c r="A366" s="632"/>
      <c r="B366" s="437">
        <v>3.5</v>
      </c>
      <c r="C366" s="98">
        <v>2.4</v>
      </c>
      <c r="D366" s="98">
        <v>1.4</v>
      </c>
      <c r="E366" s="98">
        <v>1</v>
      </c>
      <c r="F366" s="98">
        <v>1</v>
      </c>
    </row>
    <row r="367" spans="1:7" outlineLevel="1">
      <c r="A367" s="632"/>
      <c r="B367" s="437">
        <v>3.5</v>
      </c>
      <c r="C367" s="131">
        <v>3.2</v>
      </c>
      <c r="D367" s="98">
        <v>1.4</v>
      </c>
      <c r="E367" s="98">
        <v>1</v>
      </c>
      <c r="F367" s="98">
        <v>1</v>
      </c>
    </row>
    <row r="368" spans="1:7" outlineLevel="1">
      <c r="A368" s="632"/>
      <c r="B368" s="437">
        <v>3.5</v>
      </c>
      <c r="C368" s="98">
        <v>4.8</v>
      </c>
      <c r="D368" s="98">
        <v>1.5</v>
      </c>
      <c r="E368" s="98">
        <v>1</v>
      </c>
      <c r="F368" s="98">
        <v>1</v>
      </c>
    </row>
    <row r="369" spans="1:6" outlineLevel="1">
      <c r="A369" s="658"/>
      <c r="B369" s="437">
        <v>3.5</v>
      </c>
      <c r="C369" s="81" t="s">
        <v>206</v>
      </c>
      <c r="D369" s="132">
        <v>1.5</v>
      </c>
      <c r="E369" s="132">
        <v>1</v>
      </c>
      <c r="F369" s="132">
        <v>1</v>
      </c>
    </row>
    <row r="370" spans="1:6" outlineLevel="1">
      <c r="A370" s="657" t="s">
        <v>207</v>
      </c>
      <c r="B370" s="437">
        <v>4.5</v>
      </c>
      <c r="C370" s="105">
        <v>0.4</v>
      </c>
      <c r="D370" s="105">
        <v>1.3</v>
      </c>
      <c r="E370" s="105">
        <v>1</v>
      </c>
      <c r="F370" s="105">
        <v>1</v>
      </c>
    </row>
    <row r="371" spans="1:6" outlineLevel="1">
      <c r="A371" s="632"/>
      <c r="B371" s="437">
        <v>4.5</v>
      </c>
      <c r="C371" s="98">
        <v>0.8</v>
      </c>
      <c r="D371" s="98">
        <v>1.3</v>
      </c>
      <c r="E371" s="98">
        <v>1</v>
      </c>
      <c r="F371" s="98">
        <v>1</v>
      </c>
    </row>
    <row r="372" spans="1:6" outlineLevel="1">
      <c r="A372" s="632"/>
      <c r="B372" s="437">
        <v>4.5</v>
      </c>
      <c r="C372" s="98">
        <v>1.2</v>
      </c>
      <c r="D372" s="98">
        <v>1.3</v>
      </c>
      <c r="E372" s="98">
        <v>1</v>
      </c>
      <c r="F372" s="98">
        <v>1</v>
      </c>
    </row>
    <row r="373" spans="1:6" outlineLevel="1">
      <c r="A373" s="632"/>
      <c r="B373" s="437">
        <v>4.5</v>
      </c>
      <c r="C373" s="98">
        <v>1.6</v>
      </c>
      <c r="D373" s="98">
        <v>1.4</v>
      </c>
      <c r="E373" s="98">
        <v>1</v>
      </c>
      <c r="F373" s="98">
        <v>1</v>
      </c>
    </row>
    <row r="374" spans="1:6" outlineLevel="1">
      <c r="A374" s="632"/>
      <c r="B374" s="437">
        <v>4.5</v>
      </c>
      <c r="C374" s="98">
        <v>2.4</v>
      </c>
      <c r="D374" s="98">
        <v>1.4</v>
      </c>
      <c r="E374" s="98">
        <v>1</v>
      </c>
      <c r="F374" s="98">
        <v>1</v>
      </c>
    </row>
    <row r="375" spans="1:6" outlineLevel="1">
      <c r="A375" s="632"/>
      <c r="B375" s="437">
        <v>4.5</v>
      </c>
      <c r="C375" s="98">
        <v>3.2</v>
      </c>
      <c r="D375" s="98">
        <v>1.4</v>
      </c>
      <c r="E375" s="98">
        <v>1</v>
      </c>
      <c r="F375" s="98">
        <v>1</v>
      </c>
    </row>
    <row r="376" spans="1:6" outlineLevel="1">
      <c r="A376" s="632"/>
      <c r="B376" s="437">
        <v>4.5</v>
      </c>
      <c r="C376" s="98">
        <v>4.8</v>
      </c>
      <c r="D376" s="98">
        <v>1.4</v>
      </c>
      <c r="E376" s="98">
        <v>1</v>
      </c>
      <c r="F376" s="98">
        <v>1</v>
      </c>
    </row>
    <row r="377" spans="1:6" outlineLevel="1">
      <c r="A377" s="633"/>
      <c r="B377" s="437">
        <v>4.5</v>
      </c>
      <c r="C377" s="75" t="s">
        <v>208</v>
      </c>
      <c r="D377" s="133">
        <v>1.5</v>
      </c>
      <c r="E377" s="133">
        <v>1</v>
      </c>
      <c r="F377" s="133">
        <v>1</v>
      </c>
    </row>
    <row r="378" spans="1:6" outlineLevel="1">
      <c r="A378" s="662" t="s">
        <v>209</v>
      </c>
      <c r="B378" s="437">
        <v>5.5</v>
      </c>
      <c r="C378" s="102">
        <v>0.4</v>
      </c>
      <c r="D378" s="102">
        <v>1.5</v>
      </c>
      <c r="E378" s="102">
        <v>1</v>
      </c>
      <c r="F378" s="102">
        <v>1</v>
      </c>
    </row>
    <row r="379" spans="1:6" outlineLevel="1">
      <c r="A379" s="632"/>
      <c r="B379" s="437">
        <v>5.5</v>
      </c>
      <c r="C379" s="98">
        <v>0.8</v>
      </c>
      <c r="D379" s="98">
        <v>1.5</v>
      </c>
      <c r="E379" s="98">
        <v>1</v>
      </c>
      <c r="F379" s="98">
        <v>1</v>
      </c>
    </row>
    <row r="380" spans="1:6" outlineLevel="1">
      <c r="A380" s="632"/>
      <c r="B380" s="437">
        <v>5.5</v>
      </c>
      <c r="C380" s="98">
        <v>1.2</v>
      </c>
      <c r="D380" s="98">
        <v>1.5</v>
      </c>
      <c r="E380" s="98">
        <v>1</v>
      </c>
      <c r="F380" s="98">
        <v>1</v>
      </c>
    </row>
    <row r="381" spans="1:6" outlineLevel="1">
      <c r="A381" s="632"/>
      <c r="B381" s="437">
        <v>5.5</v>
      </c>
      <c r="C381" s="98">
        <v>1.6</v>
      </c>
      <c r="D381" s="98">
        <v>1.5</v>
      </c>
      <c r="E381" s="98">
        <v>1</v>
      </c>
      <c r="F381" s="98">
        <v>1</v>
      </c>
    </row>
    <row r="382" spans="1:6" outlineLevel="1">
      <c r="A382" s="632"/>
      <c r="B382" s="437">
        <v>5.5</v>
      </c>
      <c r="C382" s="98">
        <v>2.4</v>
      </c>
      <c r="D382" s="98">
        <v>1.5</v>
      </c>
      <c r="E382" s="98">
        <v>1</v>
      </c>
      <c r="F382" s="98">
        <v>1</v>
      </c>
    </row>
    <row r="383" spans="1:6" outlineLevel="1">
      <c r="A383" s="632"/>
      <c r="B383" s="437">
        <v>5.5</v>
      </c>
      <c r="C383" s="98">
        <v>3.2</v>
      </c>
      <c r="D383" s="98">
        <v>1.5</v>
      </c>
      <c r="E383" s="98">
        <v>1</v>
      </c>
      <c r="F383" s="98">
        <v>1</v>
      </c>
    </row>
    <row r="384" spans="1:6" outlineLevel="1">
      <c r="A384" s="632"/>
      <c r="B384" s="437">
        <v>5.5</v>
      </c>
      <c r="C384" s="98">
        <v>4.8</v>
      </c>
      <c r="D384" s="98">
        <v>1.6</v>
      </c>
      <c r="E384" s="98">
        <v>1</v>
      </c>
      <c r="F384" s="98">
        <v>1</v>
      </c>
    </row>
    <row r="385" spans="1:6" outlineLevel="1">
      <c r="A385" s="658"/>
      <c r="B385" s="437">
        <v>5.5</v>
      </c>
      <c r="C385" s="81" t="s">
        <v>208</v>
      </c>
      <c r="D385" s="132">
        <v>1.6</v>
      </c>
      <c r="E385" s="132">
        <v>1</v>
      </c>
      <c r="F385" s="132">
        <v>1</v>
      </c>
    </row>
    <row r="386" spans="1:6" outlineLevel="1">
      <c r="A386" s="657" t="s">
        <v>210</v>
      </c>
      <c r="B386" s="437">
        <v>6.5</v>
      </c>
      <c r="C386" s="105">
        <v>0.4</v>
      </c>
      <c r="D386" s="105">
        <v>1.5</v>
      </c>
      <c r="E386" s="105">
        <v>1</v>
      </c>
      <c r="F386" s="105">
        <v>1</v>
      </c>
    </row>
    <row r="387" spans="1:6" outlineLevel="1">
      <c r="A387" s="632"/>
      <c r="B387" s="437">
        <v>6.5</v>
      </c>
      <c r="C387" s="98">
        <v>0.8</v>
      </c>
      <c r="D387" s="98">
        <v>1.5</v>
      </c>
      <c r="E387" s="98">
        <v>1</v>
      </c>
      <c r="F387" s="98">
        <v>1</v>
      </c>
    </row>
    <row r="388" spans="1:6" outlineLevel="1">
      <c r="A388" s="632"/>
      <c r="B388" s="437">
        <v>6.5</v>
      </c>
      <c r="C388" s="98">
        <v>1.2</v>
      </c>
      <c r="D388" s="98">
        <v>1.5</v>
      </c>
      <c r="E388" s="98">
        <v>1</v>
      </c>
      <c r="F388" s="98">
        <v>1</v>
      </c>
    </row>
    <row r="389" spans="1:6" outlineLevel="1">
      <c r="A389" s="632"/>
      <c r="B389" s="437">
        <v>6.5</v>
      </c>
      <c r="C389" s="98">
        <v>1.6</v>
      </c>
      <c r="D389" s="98">
        <v>1.6</v>
      </c>
      <c r="E389" s="98">
        <v>1</v>
      </c>
      <c r="F389" s="98">
        <v>1</v>
      </c>
    </row>
    <row r="390" spans="1:6" outlineLevel="1">
      <c r="A390" s="632"/>
      <c r="B390" s="437">
        <v>6.5</v>
      </c>
      <c r="C390" s="131">
        <v>2.4</v>
      </c>
      <c r="D390" s="98">
        <v>1.6</v>
      </c>
      <c r="E390" s="98">
        <v>1</v>
      </c>
      <c r="F390" s="98">
        <v>1</v>
      </c>
    </row>
    <row r="391" spans="1:6" outlineLevel="1">
      <c r="A391" s="632"/>
      <c r="B391" s="437">
        <v>6.5</v>
      </c>
      <c r="C391" s="98">
        <v>3.2</v>
      </c>
      <c r="D391" s="98">
        <v>1.6</v>
      </c>
      <c r="E391" s="98">
        <v>1</v>
      </c>
      <c r="F391" s="98">
        <v>1</v>
      </c>
    </row>
    <row r="392" spans="1:6" outlineLevel="1">
      <c r="A392" s="632"/>
      <c r="B392" s="437">
        <v>6.5</v>
      </c>
      <c r="C392" s="98">
        <v>4.8</v>
      </c>
      <c r="D392" s="98">
        <v>1.6</v>
      </c>
      <c r="E392" s="98">
        <v>1.2</v>
      </c>
      <c r="F392" s="98">
        <v>1</v>
      </c>
    </row>
    <row r="393" spans="1:6" outlineLevel="1">
      <c r="A393" s="661"/>
      <c r="B393" s="437">
        <v>6.5</v>
      </c>
      <c r="C393" s="107" t="s">
        <v>206</v>
      </c>
      <c r="D393" s="134">
        <v>1.6</v>
      </c>
      <c r="E393" s="134">
        <v>1.5</v>
      </c>
      <c r="F393" s="134">
        <v>1.2</v>
      </c>
    </row>
    <row r="394" spans="1:6" outlineLevel="1">
      <c r="A394" s="659" t="s">
        <v>211</v>
      </c>
      <c r="B394" s="437" t="s">
        <v>73</v>
      </c>
      <c r="C394" s="109">
        <v>0.4</v>
      </c>
      <c r="D394" s="109">
        <v>1.6</v>
      </c>
      <c r="E394" s="109">
        <v>1</v>
      </c>
      <c r="F394" s="109">
        <v>1</v>
      </c>
    </row>
    <row r="395" spans="1:6" outlineLevel="1">
      <c r="A395" s="632"/>
      <c r="B395" s="437" t="s">
        <v>73</v>
      </c>
      <c r="C395" s="98">
        <v>0.8</v>
      </c>
      <c r="D395" s="98">
        <v>1.6</v>
      </c>
      <c r="E395" s="98">
        <v>1</v>
      </c>
      <c r="F395" s="98">
        <v>1</v>
      </c>
    </row>
    <row r="396" spans="1:6" outlineLevel="1">
      <c r="A396" s="632"/>
      <c r="B396" s="437" t="s">
        <v>73</v>
      </c>
      <c r="C396" s="98">
        <v>1.2</v>
      </c>
      <c r="D396" s="98">
        <v>1.6</v>
      </c>
      <c r="E396" s="98">
        <v>1</v>
      </c>
      <c r="F396" s="98">
        <v>1</v>
      </c>
    </row>
    <row r="397" spans="1:6" outlineLevel="1">
      <c r="A397" s="632"/>
      <c r="B397" s="437" t="s">
        <v>73</v>
      </c>
      <c r="C397" s="98">
        <v>1.6</v>
      </c>
      <c r="D397" s="98">
        <v>1.6</v>
      </c>
      <c r="E397" s="98">
        <v>1</v>
      </c>
      <c r="F397" s="98">
        <v>1</v>
      </c>
    </row>
    <row r="398" spans="1:6" outlineLevel="1">
      <c r="A398" s="632"/>
      <c r="B398" s="437" t="s">
        <v>73</v>
      </c>
      <c r="C398" s="98">
        <v>2.4</v>
      </c>
      <c r="D398" s="98">
        <v>1.6</v>
      </c>
      <c r="E398" s="98">
        <v>1</v>
      </c>
      <c r="F398" s="98">
        <v>1</v>
      </c>
    </row>
    <row r="399" spans="1:6" outlineLevel="1">
      <c r="A399" s="632"/>
      <c r="B399" s="437" t="s">
        <v>73</v>
      </c>
      <c r="C399" s="98">
        <v>3.2</v>
      </c>
      <c r="D399" s="98">
        <v>1.6</v>
      </c>
      <c r="E399" s="98">
        <v>1</v>
      </c>
      <c r="F399" s="98">
        <v>1</v>
      </c>
    </row>
    <row r="400" spans="1:6" outlineLevel="1">
      <c r="A400" s="632"/>
      <c r="B400" s="437" t="s">
        <v>73</v>
      </c>
      <c r="C400" s="98">
        <v>4.8</v>
      </c>
      <c r="D400" s="98">
        <v>1.6</v>
      </c>
      <c r="E400" s="98">
        <v>1.3</v>
      </c>
      <c r="F400" s="98">
        <v>1.3</v>
      </c>
    </row>
    <row r="401" spans="1:9" outlineLevel="1">
      <c r="A401" s="660"/>
      <c r="B401" s="437" t="s">
        <v>73</v>
      </c>
      <c r="C401" s="75" t="s">
        <v>158</v>
      </c>
      <c r="D401" s="135">
        <v>1.6</v>
      </c>
      <c r="E401" s="135">
        <v>1.5</v>
      </c>
      <c r="F401" s="135">
        <v>1.4</v>
      </c>
    </row>
    <row r="402" spans="1:9" outlineLevel="1">
      <c r="A402" s="233"/>
    </row>
    <row r="403" spans="1:9" outlineLevel="1"/>
    <row r="404" spans="1:9" outlineLevel="1">
      <c r="A404" s="57" t="s">
        <v>148</v>
      </c>
      <c r="B404" s="656" t="s">
        <v>123</v>
      </c>
      <c r="C404" s="653" t="s">
        <v>127</v>
      </c>
      <c r="D404" s="654"/>
      <c r="E404" s="654"/>
      <c r="F404" s="655"/>
    </row>
    <row r="405" spans="1:9" outlineLevel="1">
      <c r="B405" s="656"/>
      <c r="C405" s="653" t="s">
        <v>126</v>
      </c>
      <c r="D405" s="654"/>
      <c r="E405" s="654"/>
      <c r="F405" s="655"/>
    </row>
    <row r="406" spans="1:9" outlineLevel="1">
      <c r="B406" s="656"/>
      <c r="C406" s="55">
        <v>300</v>
      </c>
      <c r="D406" s="55">
        <v>600</v>
      </c>
      <c r="E406" s="55" t="s">
        <v>15</v>
      </c>
      <c r="F406" s="5" t="s">
        <v>73</v>
      </c>
    </row>
    <row r="407" spans="1:9" outlineLevel="1">
      <c r="A407" s="13" t="s">
        <v>124</v>
      </c>
      <c r="B407" s="55">
        <v>20</v>
      </c>
      <c r="C407" s="34">
        <v>4.4000000000000004</v>
      </c>
      <c r="D407" s="34">
        <v>2.8</v>
      </c>
      <c r="E407" s="34">
        <v>1.4</v>
      </c>
      <c r="F407" s="8" t="s">
        <v>73</v>
      </c>
    </row>
    <row r="408" spans="1:9" outlineLevel="1">
      <c r="A408" s="13">
        <v>40</v>
      </c>
      <c r="B408" s="55">
        <v>40</v>
      </c>
      <c r="C408" s="34">
        <v>14.3</v>
      </c>
      <c r="D408" s="34">
        <v>9.6</v>
      </c>
      <c r="E408" s="34">
        <v>5.7</v>
      </c>
      <c r="F408" s="8" t="s">
        <v>73</v>
      </c>
    </row>
    <row r="409" spans="1:9" outlineLevel="1">
      <c r="A409" s="13" t="s">
        <v>125</v>
      </c>
      <c r="B409" s="55">
        <v>60</v>
      </c>
      <c r="C409" s="34">
        <v>34.1</v>
      </c>
      <c r="D409" s="34">
        <v>21.1</v>
      </c>
      <c r="E409" s="34">
        <v>13</v>
      </c>
      <c r="F409" s="8" t="s">
        <v>73</v>
      </c>
    </row>
    <row r="410" spans="1:9" outlineLevel="1">
      <c r="C410" s="437"/>
      <c r="D410" s="437"/>
      <c r="E410" s="56"/>
    </row>
    <row r="411" spans="1:9" outlineLevel="1">
      <c r="A411" s="236"/>
      <c r="B411" s="1"/>
      <c r="C411" s="1"/>
      <c r="D411" s="1"/>
      <c r="F411" s="1"/>
    </row>
    <row r="412" spans="1:9" s="183" customFormat="1" outlineLevel="1">
      <c r="A412" s="237" t="s">
        <v>232</v>
      </c>
      <c r="B412" s="184"/>
      <c r="C412" s="184"/>
      <c r="D412" s="184"/>
      <c r="E412" s="185"/>
      <c r="F412" s="184"/>
      <c r="G412" s="184"/>
      <c r="H412" s="184"/>
      <c r="I412" s="184"/>
    </row>
    <row r="413" spans="1:9" s="183" customFormat="1" outlineLevel="1">
      <c r="A413" s="617" t="s">
        <v>233</v>
      </c>
      <c r="B413" s="619" t="s">
        <v>231</v>
      </c>
      <c r="C413" s="620"/>
      <c r="D413" s="620"/>
      <c r="E413" s="620"/>
      <c r="F413" s="620"/>
      <c r="G413" s="184"/>
      <c r="H413" s="184"/>
      <c r="I413" s="184"/>
    </row>
    <row r="414" spans="1:9" s="183" customFormat="1" outlineLevel="1">
      <c r="A414" s="618"/>
      <c r="B414" s="187">
        <v>20</v>
      </c>
      <c r="C414" s="188">
        <v>40</v>
      </c>
      <c r="D414" s="189">
        <v>60</v>
      </c>
      <c r="E414" s="188">
        <v>80</v>
      </c>
      <c r="F414" s="190">
        <v>100</v>
      </c>
      <c r="G414" s="184"/>
      <c r="H414" s="184"/>
      <c r="I414" s="184"/>
    </row>
    <row r="415" spans="1:9" s="183" customFormat="1" outlineLevel="1">
      <c r="A415" s="186" t="s">
        <v>234</v>
      </c>
      <c r="B415" s="186"/>
      <c r="C415" s="186"/>
      <c r="D415" s="186"/>
      <c r="E415" s="186"/>
      <c r="F415" s="186"/>
      <c r="G415" s="184"/>
      <c r="H415" s="184"/>
      <c r="I415" s="184"/>
    </row>
    <row r="416" spans="1:9" s="183" customFormat="1" outlineLevel="1">
      <c r="A416" s="238" t="s">
        <v>235</v>
      </c>
      <c r="B416" s="191">
        <v>1.7</v>
      </c>
      <c r="C416" s="191">
        <v>3.5</v>
      </c>
      <c r="D416" s="191">
        <v>4.5</v>
      </c>
      <c r="E416" s="191">
        <v>4.8</v>
      </c>
      <c r="F416" s="192">
        <v>5</v>
      </c>
      <c r="G416" s="184"/>
      <c r="H416" s="184"/>
      <c r="I416" s="184"/>
    </row>
    <row r="417" spans="1:9" s="183" customFormat="1" outlineLevel="1">
      <c r="A417" s="239">
        <v>200</v>
      </c>
      <c r="B417" s="193">
        <v>3.5</v>
      </c>
      <c r="C417" s="194">
        <v>5.3</v>
      </c>
      <c r="D417" s="193">
        <v>6.2</v>
      </c>
      <c r="E417" s="193">
        <v>6.5</v>
      </c>
      <c r="F417" s="195">
        <v>6.9</v>
      </c>
      <c r="G417" s="184"/>
      <c r="H417" s="184"/>
      <c r="I417" s="184"/>
    </row>
    <row r="418" spans="1:9" s="183" customFormat="1" outlineLevel="1">
      <c r="A418" s="240">
        <v>400</v>
      </c>
      <c r="B418" s="193">
        <v>2.6</v>
      </c>
      <c r="C418" s="194">
        <v>3.7</v>
      </c>
      <c r="D418" s="194">
        <v>4.4000000000000004</v>
      </c>
      <c r="E418" s="194">
        <v>4.5</v>
      </c>
      <c r="F418" s="196">
        <v>4.7</v>
      </c>
      <c r="G418" s="184"/>
      <c r="H418" s="184"/>
      <c r="I418" s="184"/>
    </row>
    <row r="419" spans="1:9" s="183" customFormat="1" outlineLevel="1">
      <c r="A419" s="239">
        <v>600</v>
      </c>
      <c r="B419" s="193">
        <v>2.2000000000000002</v>
      </c>
      <c r="C419" s="194">
        <v>2.4</v>
      </c>
      <c r="D419" s="194">
        <v>2.9</v>
      </c>
      <c r="E419" s="193">
        <v>3.1</v>
      </c>
      <c r="F419" s="195">
        <v>3.3</v>
      </c>
      <c r="G419" s="184"/>
      <c r="H419" s="184"/>
      <c r="I419" s="184"/>
    </row>
    <row r="420" spans="1:9" s="183" customFormat="1" outlineLevel="1">
      <c r="A420" s="239">
        <v>900</v>
      </c>
      <c r="B420" s="193">
        <v>1.1000000000000001</v>
      </c>
      <c r="C420" s="193">
        <v>1.6</v>
      </c>
      <c r="D420" s="194">
        <v>2</v>
      </c>
      <c r="E420" s="193">
        <v>2.2000000000000002</v>
      </c>
      <c r="F420" s="195">
        <v>2.4</v>
      </c>
      <c r="G420" s="184"/>
      <c r="H420" s="184"/>
      <c r="I420" s="184"/>
    </row>
    <row r="421" spans="1:9" s="183" customFormat="1" outlineLevel="1">
      <c r="A421" s="239">
        <v>1000</v>
      </c>
      <c r="B421" s="193">
        <v>1</v>
      </c>
      <c r="C421" s="193">
        <v>1.3</v>
      </c>
      <c r="D421" s="194">
        <v>1.7</v>
      </c>
      <c r="E421" s="193">
        <v>1.9</v>
      </c>
      <c r="F421" s="196">
        <v>1.9</v>
      </c>
      <c r="G421" s="184"/>
      <c r="H421" s="184"/>
      <c r="I421" s="184"/>
    </row>
    <row r="422" spans="1:9" s="183" customFormat="1" outlineLevel="1">
      <c r="A422" s="240">
        <v>1200</v>
      </c>
      <c r="B422" s="193">
        <v>0.9</v>
      </c>
      <c r="C422" s="194">
        <v>1.3</v>
      </c>
      <c r="D422" s="194">
        <v>1.5</v>
      </c>
      <c r="E422" s="193">
        <v>1.6</v>
      </c>
      <c r="F422" s="196">
        <v>1.7</v>
      </c>
      <c r="G422" s="184"/>
      <c r="H422" s="184"/>
      <c r="I422" s="184"/>
    </row>
    <row r="423" spans="1:9" s="183" customFormat="1" outlineLevel="1">
      <c r="A423" s="239">
        <v>1400</v>
      </c>
      <c r="B423" s="193">
        <v>0.9</v>
      </c>
      <c r="C423" s="194">
        <v>1.2</v>
      </c>
      <c r="D423" s="193">
        <v>1.4</v>
      </c>
      <c r="E423" s="193">
        <v>1.4</v>
      </c>
      <c r="F423" s="196">
        <v>1.5</v>
      </c>
      <c r="G423" s="184"/>
      <c r="H423" s="184"/>
      <c r="I423" s="184"/>
    </row>
    <row r="424" spans="1:9" s="183" customFormat="1" outlineLevel="1">
      <c r="A424" s="241">
        <v>1600</v>
      </c>
      <c r="B424" s="197">
        <v>0.9</v>
      </c>
      <c r="C424" s="198">
        <v>1.1000000000000001</v>
      </c>
      <c r="D424" s="198">
        <v>1.2</v>
      </c>
      <c r="E424" s="197">
        <v>1.2</v>
      </c>
      <c r="F424" s="199">
        <v>1.3</v>
      </c>
      <c r="G424" s="184"/>
      <c r="H424" s="184"/>
      <c r="I424" s="184"/>
    </row>
    <row r="425" spans="1:9" s="183" customFormat="1" outlineLevel="1">
      <c r="A425" s="186" t="s">
        <v>236</v>
      </c>
      <c r="B425" s="203">
        <v>0.2</v>
      </c>
      <c r="C425" s="204">
        <v>0.4</v>
      </c>
      <c r="D425" s="205">
        <v>0.6</v>
      </c>
      <c r="E425" s="204">
        <v>0.8</v>
      </c>
      <c r="F425" s="206">
        <v>1</v>
      </c>
      <c r="G425" s="184"/>
      <c r="H425" s="184"/>
      <c r="I425" s="184"/>
    </row>
    <row r="426" spans="1:9" s="183" customFormat="1" outlineLevel="1">
      <c r="A426" s="242">
        <v>100</v>
      </c>
      <c r="B426" s="191">
        <v>1.2</v>
      </c>
      <c r="C426" s="191">
        <v>2.7</v>
      </c>
      <c r="D426" s="191">
        <v>4</v>
      </c>
      <c r="E426" s="191">
        <v>4.5</v>
      </c>
      <c r="F426" s="200">
        <v>4.7</v>
      </c>
      <c r="G426" s="184"/>
      <c r="H426" s="184"/>
      <c r="I426" s="184"/>
    </row>
    <row r="427" spans="1:9" s="183" customFormat="1" outlineLevel="1">
      <c r="A427" s="243">
        <v>200</v>
      </c>
      <c r="B427" s="193">
        <v>3</v>
      </c>
      <c r="C427" s="194">
        <v>4.5999999999999996</v>
      </c>
      <c r="D427" s="194">
        <v>5.9</v>
      </c>
      <c r="E427" s="193">
        <v>6.4</v>
      </c>
      <c r="F427" s="195">
        <v>6.7</v>
      </c>
      <c r="G427" s="184"/>
      <c r="H427" s="184"/>
      <c r="I427" s="184"/>
    </row>
    <row r="428" spans="1:9" s="183" customFormat="1" outlineLevel="1">
      <c r="A428" s="244">
        <v>400</v>
      </c>
      <c r="B428" s="193">
        <v>2.2999999999999998</v>
      </c>
      <c r="C428" s="194">
        <v>3.3</v>
      </c>
      <c r="D428" s="194">
        <v>4.0999999999999996</v>
      </c>
      <c r="E428" s="194">
        <v>4.4000000000000004</v>
      </c>
      <c r="F428" s="196">
        <v>4.5999999999999996</v>
      </c>
      <c r="G428" s="184"/>
      <c r="H428" s="184"/>
      <c r="I428" s="184"/>
    </row>
    <row r="429" spans="1:9" s="183" customFormat="1" outlineLevel="1">
      <c r="A429" s="243">
        <v>600</v>
      </c>
      <c r="B429" s="193">
        <v>1.8</v>
      </c>
      <c r="C429" s="194">
        <v>2.1</v>
      </c>
      <c r="D429" s="194">
        <v>2.6</v>
      </c>
      <c r="E429" s="193">
        <v>3</v>
      </c>
      <c r="F429" s="195">
        <v>3.2</v>
      </c>
      <c r="G429" s="184"/>
      <c r="H429" s="184"/>
      <c r="I429" s="184"/>
    </row>
    <row r="430" spans="1:9" s="183" customFormat="1" outlineLevel="1">
      <c r="A430" s="243">
        <v>900</v>
      </c>
      <c r="B430" s="193">
        <v>0.9</v>
      </c>
      <c r="C430" s="194">
        <v>1.4</v>
      </c>
      <c r="D430" s="194">
        <v>1.8</v>
      </c>
      <c r="E430" s="193">
        <v>2.1</v>
      </c>
      <c r="F430" s="195">
        <v>2.2999999999999998</v>
      </c>
      <c r="G430" s="184"/>
      <c r="H430" s="184"/>
      <c r="I430" s="184"/>
    </row>
    <row r="431" spans="1:9" s="183" customFormat="1" outlineLevel="1">
      <c r="A431" s="243">
        <v>1000</v>
      </c>
      <c r="B431" s="193">
        <v>0.9</v>
      </c>
      <c r="C431" s="193">
        <v>1.1000000000000001</v>
      </c>
      <c r="D431" s="193">
        <v>1.5</v>
      </c>
      <c r="E431" s="193">
        <v>1.7</v>
      </c>
      <c r="F431" s="196">
        <v>1.9</v>
      </c>
      <c r="G431" s="184"/>
      <c r="H431" s="184"/>
      <c r="I431" s="184"/>
    </row>
    <row r="432" spans="1:9" s="183" customFormat="1" outlineLevel="1">
      <c r="A432" s="243">
        <v>1200</v>
      </c>
      <c r="B432" s="193">
        <v>0.8</v>
      </c>
      <c r="C432" s="207">
        <v>1.1000000000000001</v>
      </c>
      <c r="D432" s="193">
        <v>1.4</v>
      </c>
      <c r="E432" s="193">
        <v>1.5</v>
      </c>
      <c r="F432" s="196">
        <v>1.7</v>
      </c>
      <c r="G432" s="184"/>
      <c r="H432" s="184"/>
      <c r="I432" s="184"/>
    </row>
    <row r="433" spans="1:9" s="183" customFormat="1" outlineLevel="1">
      <c r="A433" s="244">
        <v>1400</v>
      </c>
      <c r="B433" s="193">
        <v>0.8</v>
      </c>
      <c r="C433" s="194">
        <v>1</v>
      </c>
      <c r="D433" s="194">
        <v>1.3</v>
      </c>
      <c r="E433" s="193">
        <v>1.3</v>
      </c>
      <c r="F433" s="196">
        <v>1.4</v>
      </c>
      <c r="G433" s="184"/>
      <c r="H433" s="184"/>
      <c r="I433" s="184"/>
    </row>
    <row r="434" spans="1:9" s="183" customFormat="1" outlineLevel="1">
      <c r="A434" s="245">
        <v>1600</v>
      </c>
      <c r="B434" s="197">
        <v>0.8</v>
      </c>
      <c r="C434" s="197">
        <v>1</v>
      </c>
      <c r="D434" s="197">
        <v>1.1000000000000001</v>
      </c>
      <c r="E434" s="197">
        <v>1.1000000000000001</v>
      </c>
      <c r="F434" s="199">
        <v>1.2</v>
      </c>
      <c r="G434" s="184"/>
      <c r="H434" s="184"/>
      <c r="I434" s="184"/>
    </row>
    <row r="435" spans="1:9" s="183" customFormat="1" outlineLevel="1">
      <c r="A435" s="186" t="s">
        <v>237</v>
      </c>
      <c r="B435" s="186"/>
      <c r="C435" s="186"/>
      <c r="D435" s="186"/>
      <c r="E435" s="186"/>
      <c r="F435" s="186"/>
      <c r="G435" s="184"/>
      <c r="H435" s="184"/>
      <c r="I435" s="184"/>
    </row>
    <row r="436" spans="1:9" s="183" customFormat="1" outlineLevel="1">
      <c r="A436" s="238" t="s">
        <v>238</v>
      </c>
      <c r="B436" s="201">
        <v>0.8</v>
      </c>
      <c r="C436" s="191">
        <v>1.9</v>
      </c>
      <c r="D436" s="191">
        <v>3.6</v>
      </c>
      <c r="E436" s="191">
        <v>4.2</v>
      </c>
      <c r="F436" s="200">
        <v>4.4000000000000004</v>
      </c>
      <c r="G436" s="184"/>
      <c r="H436" s="184"/>
      <c r="I436" s="184"/>
    </row>
    <row r="437" spans="1:9" s="183" customFormat="1" outlineLevel="1">
      <c r="A437" s="239">
        <v>200</v>
      </c>
      <c r="B437" s="193">
        <v>2.4</v>
      </c>
      <c r="C437" s="194">
        <v>3.9</v>
      </c>
      <c r="D437" s="194">
        <v>5.6</v>
      </c>
      <c r="E437" s="193">
        <v>6.3</v>
      </c>
      <c r="F437" s="195">
        <v>6.6</v>
      </c>
      <c r="G437" s="184"/>
      <c r="H437" s="184"/>
      <c r="I437" s="184"/>
    </row>
    <row r="438" spans="1:9" s="183" customFormat="1" outlineLevel="1">
      <c r="A438" s="240">
        <v>400</v>
      </c>
      <c r="B438" s="193">
        <v>2.1</v>
      </c>
      <c r="C438" s="194">
        <v>3</v>
      </c>
      <c r="D438" s="194">
        <v>3.9</v>
      </c>
      <c r="E438" s="194">
        <v>4.3</v>
      </c>
      <c r="F438" s="196">
        <v>4.5</v>
      </c>
      <c r="G438" s="184"/>
      <c r="H438" s="184"/>
      <c r="I438" s="184"/>
    </row>
    <row r="439" spans="1:9" s="183" customFormat="1" outlineLevel="1">
      <c r="A439" s="239">
        <v>600</v>
      </c>
      <c r="B439" s="193">
        <v>1.4</v>
      </c>
      <c r="C439" s="193">
        <v>1.8</v>
      </c>
      <c r="D439" s="194">
        <v>2.5</v>
      </c>
      <c r="E439" s="193">
        <v>2.9</v>
      </c>
      <c r="F439" s="195">
        <v>3.1</v>
      </c>
      <c r="G439" s="184"/>
      <c r="H439" s="184"/>
      <c r="I439" s="184"/>
    </row>
    <row r="440" spans="1:9" s="183" customFormat="1" outlineLevel="1">
      <c r="A440" s="239">
        <v>900</v>
      </c>
      <c r="B440" s="193">
        <v>0.8</v>
      </c>
      <c r="C440" s="194">
        <v>1.1000000000000001</v>
      </c>
      <c r="D440" s="194">
        <v>1.7</v>
      </c>
      <c r="E440" s="193">
        <v>2</v>
      </c>
      <c r="F440" s="195">
        <v>2.2000000000000002</v>
      </c>
      <c r="G440" s="184"/>
      <c r="H440" s="184"/>
      <c r="I440" s="184"/>
    </row>
    <row r="441" spans="1:9" s="183" customFormat="1" outlineLevel="1">
      <c r="A441" s="239">
        <v>1000</v>
      </c>
      <c r="B441" s="193">
        <v>0.8</v>
      </c>
      <c r="C441" s="193">
        <v>0.9</v>
      </c>
      <c r="D441" s="193">
        <v>1.3</v>
      </c>
      <c r="E441" s="193">
        <v>1.5</v>
      </c>
      <c r="F441" s="196">
        <v>1.8</v>
      </c>
      <c r="G441" s="184"/>
      <c r="H441" s="184"/>
      <c r="I441" s="184"/>
    </row>
    <row r="442" spans="1:9" s="183" customFormat="1" outlineLevel="1">
      <c r="A442" s="239">
        <v>1200</v>
      </c>
      <c r="B442" s="193">
        <v>0.8</v>
      </c>
      <c r="C442" s="193">
        <v>0.9</v>
      </c>
      <c r="D442" s="193">
        <v>1.2</v>
      </c>
      <c r="E442" s="193">
        <v>1.4</v>
      </c>
      <c r="F442" s="196">
        <v>1.6</v>
      </c>
      <c r="G442" s="184"/>
      <c r="H442" s="184"/>
      <c r="I442" s="184"/>
    </row>
    <row r="443" spans="1:9" s="183" customFormat="1" outlineLevel="1">
      <c r="A443" s="240">
        <v>1400</v>
      </c>
      <c r="B443" s="193">
        <v>0.8</v>
      </c>
      <c r="C443" s="193">
        <v>0.9</v>
      </c>
      <c r="D443" s="194">
        <v>1.1000000000000001</v>
      </c>
      <c r="E443" s="193">
        <v>1.2</v>
      </c>
      <c r="F443" s="196">
        <v>1.4</v>
      </c>
      <c r="G443" s="184"/>
      <c r="H443" s="184"/>
      <c r="I443" s="184"/>
    </row>
    <row r="444" spans="1:9" s="183" customFormat="1" outlineLevel="1">
      <c r="A444" s="241">
        <v>1600</v>
      </c>
      <c r="B444" s="197">
        <v>0.8</v>
      </c>
      <c r="C444" s="197">
        <v>0.8</v>
      </c>
      <c r="D444" s="197">
        <v>0.9</v>
      </c>
      <c r="E444" s="197">
        <v>0.9</v>
      </c>
      <c r="F444" s="199">
        <v>1.1000000000000001</v>
      </c>
      <c r="G444" s="184"/>
      <c r="H444" s="184"/>
      <c r="I444" s="184"/>
    </row>
    <row r="445" spans="1:9" s="183" customFormat="1" outlineLevel="1">
      <c r="A445" s="186" t="s">
        <v>239</v>
      </c>
      <c r="B445" s="186"/>
      <c r="C445" s="186"/>
      <c r="D445" s="186"/>
      <c r="E445" s="186"/>
      <c r="F445" s="186"/>
      <c r="G445" s="184"/>
      <c r="H445" s="184"/>
      <c r="I445" s="184"/>
    </row>
    <row r="446" spans="1:9" s="183" customFormat="1" outlineLevel="1">
      <c r="A446" s="238" t="s">
        <v>238</v>
      </c>
      <c r="B446" s="201">
        <v>0.3</v>
      </c>
      <c r="C446" s="191">
        <v>1.1000000000000001</v>
      </c>
      <c r="D446" s="191">
        <v>3.1</v>
      </c>
      <c r="E446" s="201">
        <v>3.9</v>
      </c>
      <c r="F446" s="200">
        <v>4.0999999999999996</v>
      </c>
      <c r="G446" s="184"/>
      <c r="H446" s="184"/>
      <c r="I446" s="184"/>
    </row>
    <row r="447" spans="1:9" s="183" customFormat="1" outlineLevel="1">
      <c r="A447" s="239">
        <v>200</v>
      </c>
      <c r="B447" s="193">
        <v>1.9</v>
      </c>
      <c r="C447" s="194">
        <v>3.2</v>
      </c>
      <c r="D447" s="194">
        <v>5.3</v>
      </c>
      <c r="E447" s="193">
        <v>6.2</v>
      </c>
      <c r="F447" s="195">
        <v>6.5</v>
      </c>
      <c r="G447" s="184"/>
      <c r="H447" s="184"/>
      <c r="I447" s="184"/>
    </row>
    <row r="448" spans="1:9" s="183" customFormat="1" outlineLevel="1">
      <c r="A448" s="240">
        <v>400</v>
      </c>
      <c r="B448" s="193">
        <v>1.8</v>
      </c>
      <c r="C448" s="194">
        <v>2.6</v>
      </c>
      <c r="D448" s="194">
        <v>3.5</v>
      </c>
      <c r="E448" s="194">
        <v>4.2</v>
      </c>
      <c r="F448" s="196">
        <v>4.4000000000000004</v>
      </c>
      <c r="G448" s="184"/>
      <c r="H448" s="184"/>
      <c r="I448" s="184"/>
    </row>
    <row r="449" spans="1:9" s="183" customFormat="1" outlineLevel="1">
      <c r="A449" s="239">
        <v>600</v>
      </c>
      <c r="B449" s="194">
        <v>1</v>
      </c>
      <c r="C449" s="194">
        <v>1.5</v>
      </c>
      <c r="D449" s="194">
        <v>2.2999999999999998</v>
      </c>
      <c r="E449" s="193">
        <v>2.8</v>
      </c>
      <c r="F449" s="195">
        <v>3</v>
      </c>
      <c r="G449" s="184"/>
      <c r="H449" s="184"/>
      <c r="I449" s="184"/>
    </row>
    <row r="450" spans="1:9" s="183" customFormat="1" outlineLevel="1">
      <c r="A450" s="239">
        <v>900</v>
      </c>
      <c r="B450" s="193">
        <v>0.6</v>
      </c>
      <c r="C450" s="193">
        <v>0.9</v>
      </c>
      <c r="D450" s="193">
        <v>1.5</v>
      </c>
      <c r="E450" s="193">
        <v>1.9</v>
      </c>
      <c r="F450" s="195">
        <v>2.1</v>
      </c>
      <c r="G450" s="184"/>
      <c r="H450" s="184"/>
      <c r="I450" s="184"/>
    </row>
    <row r="451" spans="1:9" s="183" customFormat="1" outlineLevel="1">
      <c r="A451" s="240">
        <v>1000</v>
      </c>
      <c r="B451" s="193">
        <v>0.6</v>
      </c>
      <c r="C451" s="193">
        <v>0.7</v>
      </c>
      <c r="D451" s="194">
        <v>1.1000000000000001</v>
      </c>
      <c r="E451" s="193">
        <v>1.4</v>
      </c>
      <c r="F451" s="196">
        <v>1.9</v>
      </c>
      <c r="G451" s="184"/>
      <c r="H451" s="184"/>
      <c r="I451" s="184"/>
    </row>
    <row r="452" spans="1:9" s="183" customFormat="1" outlineLevel="1">
      <c r="A452" s="239">
        <v>1200</v>
      </c>
      <c r="B452" s="193">
        <v>0.6</v>
      </c>
      <c r="C452" s="193">
        <v>0.7</v>
      </c>
      <c r="D452" s="193">
        <v>1.1000000000000001</v>
      </c>
      <c r="E452" s="193">
        <v>1.3</v>
      </c>
      <c r="F452" s="196">
        <v>1.6</v>
      </c>
      <c r="G452" s="184"/>
      <c r="H452" s="184"/>
      <c r="I452" s="184"/>
    </row>
    <row r="453" spans="1:9" s="183" customFormat="1" outlineLevel="1">
      <c r="A453" s="239">
        <v>1400</v>
      </c>
      <c r="B453" s="193">
        <v>0.6</v>
      </c>
      <c r="C453" s="193">
        <v>0.7</v>
      </c>
      <c r="D453" s="193">
        <v>1</v>
      </c>
      <c r="E453" s="193">
        <v>1.1000000000000001</v>
      </c>
      <c r="F453" s="196">
        <v>1.3</v>
      </c>
      <c r="G453" s="184"/>
      <c r="H453" s="184"/>
      <c r="I453" s="184"/>
    </row>
    <row r="454" spans="1:9" s="183" customFormat="1" outlineLevel="1">
      <c r="A454" s="241">
        <v>1600</v>
      </c>
      <c r="B454" s="197">
        <v>0.6</v>
      </c>
      <c r="C454" s="197">
        <v>0.7</v>
      </c>
      <c r="D454" s="197">
        <v>0.9</v>
      </c>
      <c r="E454" s="197">
        <v>0.8</v>
      </c>
      <c r="F454" s="199">
        <v>1</v>
      </c>
      <c r="G454" s="184"/>
      <c r="H454" s="184"/>
      <c r="I454" s="184"/>
    </row>
    <row r="455" spans="1:9" s="183" customFormat="1" outlineLevel="1">
      <c r="A455" s="186" t="s">
        <v>240</v>
      </c>
      <c r="B455" s="186"/>
      <c r="C455" s="186"/>
      <c r="D455" s="186"/>
      <c r="E455" s="186"/>
      <c r="F455" s="186"/>
      <c r="G455" s="184"/>
      <c r="H455" s="184"/>
      <c r="I455" s="184"/>
    </row>
    <row r="456" spans="1:9" s="183" customFormat="1" outlineLevel="1">
      <c r="A456" s="238" t="s">
        <v>235</v>
      </c>
      <c r="B456" s="201">
        <v>0.1</v>
      </c>
      <c r="C456" s="201">
        <v>0.6</v>
      </c>
      <c r="D456" s="191">
        <v>2.7</v>
      </c>
      <c r="E456" s="201">
        <v>3.6</v>
      </c>
      <c r="F456" s="192">
        <v>3.9</v>
      </c>
      <c r="G456" s="184"/>
      <c r="H456" s="184"/>
      <c r="I456" s="184"/>
    </row>
    <row r="457" spans="1:9" s="183" customFormat="1" outlineLevel="1">
      <c r="A457" s="239">
        <v>200</v>
      </c>
      <c r="B457" s="194">
        <v>1.5</v>
      </c>
      <c r="C457" s="194">
        <v>2.6</v>
      </c>
      <c r="D457" s="194">
        <v>5</v>
      </c>
      <c r="E457" s="193">
        <v>6.1</v>
      </c>
      <c r="F457" s="195">
        <v>6.4</v>
      </c>
      <c r="G457" s="184"/>
      <c r="H457" s="184"/>
      <c r="I457" s="184"/>
    </row>
    <row r="458" spans="1:9" s="183" customFormat="1" outlineLevel="1">
      <c r="A458" s="240">
        <v>400</v>
      </c>
      <c r="B458" s="194">
        <v>1.5</v>
      </c>
      <c r="C458" s="193">
        <v>0.8</v>
      </c>
      <c r="D458" s="194">
        <v>3.2</v>
      </c>
      <c r="E458" s="194">
        <v>4.0999999999999996</v>
      </c>
      <c r="F458" s="196">
        <v>4.3</v>
      </c>
      <c r="G458" s="184"/>
      <c r="H458" s="184"/>
      <c r="I458" s="184"/>
    </row>
    <row r="459" spans="1:9" s="183" customFormat="1" outlineLevel="1">
      <c r="A459" s="239">
        <v>600</v>
      </c>
      <c r="B459" s="193">
        <v>0.7</v>
      </c>
      <c r="C459" s="193">
        <v>0.5</v>
      </c>
      <c r="D459" s="194">
        <v>2.1</v>
      </c>
      <c r="E459" s="193">
        <v>2.7</v>
      </c>
      <c r="F459" s="195">
        <v>2.9</v>
      </c>
      <c r="G459" s="184"/>
      <c r="H459" s="184"/>
      <c r="I459" s="184"/>
    </row>
    <row r="460" spans="1:9" s="183" customFormat="1" outlineLevel="1">
      <c r="A460" s="239">
        <v>900</v>
      </c>
      <c r="B460" s="193">
        <v>0.5</v>
      </c>
      <c r="C460" s="193">
        <v>0.5</v>
      </c>
      <c r="D460" s="194">
        <v>1.3</v>
      </c>
      <c r="E460" s="193">
        <v>1.8</v>
      </c>
      <c r="F460" s="195">
        <v>2</v>
      </c>
      <c r="G460" s="184"/>
      <c r="H460" s="184"/>
      <c r="I460" s="184"/>
    </row>
    <row r="461" spans="1:9" s="183" customFormat="1" outlineLevel="1">
      <c r="A461" s="239">
        <v>1000</v>
      </c>
      <c r="B461" s="193">
        <v>0.5</v>
      </c>
      <c r="C461" s="193">
        <v>0.5</v>
      </c>
      <c r="D461" s="193">
        <v>1</v>
      </c>
      <c r="E461" s="193">
        <v>1.3</v>
      </c>
      <c r="F461" s="196">
        <v>1.9</v>
      </c>
      <c r="G461" s="184"/>
      <c r="H461" s="184"/>
      <c r="I461" s="184"/>
    </row>
    <row r="462" spans="1:9" s="183" customFormat="1" outlineLevel="1">
      <c r="A462" s="240">
        <v>1200</v>
      </c>
      <c r="B462" s="193">
        <v>0.5</v>
      </c>
      <c r="C462" s="193">
        <v>0.5</v>
      </c>
      <c r="D462" s="194">
        <v>1</v>
      </c>
      <c r="E462" s="193">
        <v>1.2</v>
      </c>
      <c r="F462" s="196">
        <v>1.6</v>
      </c>
      <c r="G462" s="184"/>
      <c r="H462" s="184"/>
      <c r="I462" s="184"/>
    </row>
    <row r="463" spans="1:9" s="183" customFormat="1" outlineLevel="1">
      <c r="A463" s="240">
        <v>1400</v>
      </c>
      <c r="B463" s="193">
        <v>0.5</v>
      </c>
      <c r="C463" s="193">
        <v>0.5</v>
      </c>
      <c r="D463" s="194">
        <v>1</v>
      </c>
      <c r="E463" s="193">
        <v>1</v>
      </c>
      <c r="F463" s="196">
        <v>1.2</v>
      </c>
      <c r="G463" s="184"/>
      <c r="H463" s="184"/>
      <c r="I463" s="184"/>
    </row>
    <row r="464" spans="1:9" s="183" customFormat="1" outlineLevel="1">
      <c r="A464" s="241">
        <v>1600</v>
      </c>
      <c r="B464" s="197">
        <v>0.5</v>
      </c>
      <c r="C464" s="197">
        <v>0.5</v>
      </c>
      <c r="D464" s="197">
        <v>0.7</v>
      </c>
      <c r="E464" s="197">
        <v>0.7</v>
      </c>
      <c r="F464" s="202">
        <v>0.9</v>
      </c>
      <c r="G464" s="184"/>
      <c r="H464" s="184"/>
      <c r="I464" s="184"/>
    </row>
    <row r="465" spans="1:9" s="183" customFormat="1" outlineLevel="1">
      <c r="A465" s="246"/>
      <c r="B465" s="228"/>
      <c r="C465" s="228"/>
      <c r="D465" s="228"/>
      <c r="E465" s="228"/>
      <c r="F465" s="228"/>
      <c r="G465" s="184"/>
      <c r="H465" s="184"/>
      <c r="I465" s="184"/>
    </row>
    <row r="466" spans="1:9" s="183" customFormat="1" outlineLevel="1">
      <c r="A466" s="246"/>
      <c r="B466" s="228"/>
      <c r="C466" s="228"/>
      <c r="D466" s="228"/>
      <c r="E466" s="228"/>
      <c r="F466" s="228"/>
      <c r="G466" s="184"/>
      <c r="H466" s="184"/>
      <c r="I466" s="184"/>
    </row>
    <row r="467" spans="1:9" s="183" customFormat="1" outlineLevel="1">
      <c r="A467" s="246"/>
      <c r="B467" s="228"/>
      <c r="C467" s="228"/>
      <c r="D467" s="228"/>
      <c r="E467" s="228"/>
      <c r="F467" s="228"/>
      <c r="G467" s="184"/>
      <c r="H467" s="184"/>
      <c r="I467" s="184"/>
    </row>
    <row r="468" spans="1:9" s="183" customFormat="1" outlineLevel="1">
      <c r="A468" s="246"/>
      <c r="B468" s="228"/>
      <c r="C468" s="228"/>
      <c r="D468" s="228"/>
      <c r="E468" s="228"/>
      <c r="F468" s="228"/>
      <c r="G468" s="184"/>
      <c r="H468" s="184"/>
      <c r="I468" s="184"/>
    </row>
    <row r="469" spans="1:9" s="183" customFormat="1" outlineLevel="1">
      <c r="A469" s="246"/>
      <c r="B469" s="228"/>
      <c r="C469" s="228"/>
      <c r="D469" s="228"/>
      <c r="E469" s="228"/>
      <c r="F469" s="228"/>
      <c r="G469" s="184"/>
      <c r="H469" s="184"/>
      <c r="I469" s="184"/>
    </row>
    <row r="470" spans="1:9" s="183" customFormat="1" outlineLevel="1">
      <c r="A470" s="246"/>
      <c r="B470" s="228"/>
      <c r="C470" s="228"/>
      <c r="D470" s="228"/>
      <c r="E470" s="228"/>
      <c r="F470" s="228"/>
      <c r="G470" s="184"/>
      <c r="H470" s="184"/>
      <c r="I470" s="184"/>
    </row>
    <row r="471" spans="1:9" outlineLevel="1">
      <c r="A471" s="233"/>
    </row>
    <row r="472" spans="1:9" outlineLevel="1">
      <c r="A472" s="237" t="s">
        <v>251</v>
      </c>
    </row>
    <row r="473" spans="1:9" outlineLevel="1">
      <c r="A473" s="613" t="s">
        <v>241</v>
      </c>
      <c r="B473" s="615" t="s">
        <v>242</v>
      </c>
      <c r="C473" s="616"/>
      <c r="D473" s="616"/>
      <c r="E473" s="616"/>
      <c r="F473" s="616"/>
    </row>
    <row r="474" spans="1:9" outlineLevel="1">
      <c r="A474" s="614"/>
      <c r="B474" s="208" t="s">
        <v>243</v>
      </c>
      <c r="C474" s="209">
        <v>40</v>
      </c>
      <c r="D474" s="210">
        <v>60</v>
      </c>
      <c r="E474" s="211">
        <v>80</v>
      </c>
      <c r="F474" s="212">
        <v>100</v>
      </c>
    </row>
    <row r="475" spans="1:9" outlineLevel="1">
      <c r="A475" s="247" t="s">
        <v>244</v>
      </c>
      <c r="B475" s="222"/>
      <c r="C475" s="222"/>
      <c r="D475" s="222"/>
      <c r="E475" s="222"/>
      <c r="F475" s="222"/>
    </row>
    <row r="476" spans="1:9" outlineLevel="1">
      <c r="A476" s="248" t="s">
        <v>245</v>
      </c>
      <c r="B476" s="213">
        <v>10.1</v>
      </c>
      <c r="C476" s="213">
        <v>17.2</v>
      </c>
      <c r="D476" s="221">
        <v>20.2</v>
      </c>
      <c r="E476" s="214">
        <v>21</v>
      </c>
      <c r="F476" s="214">
        <v>21.8</v>
      </c>
    </row>
    <row r="477" spans="1:9" outlineLevel="1">
      <c r="A477" s="249">
        <v>200</v>
      </c>
      <c r="B477" s="215">
        <v>12.4</v>
      </c>
      <c r="C477" s="215">
        <v>19</v>
      </c>
      <c r="D477" s="215">
        <v>22.7</v>
      </c>
      <c r="E477" s="217">
        <v>23.8</v>
      </c>
      <c r="F477" s="217">
        <v>24.8</v>
      </c>
    </row>
    <row r="478" spans="1:9" outlineLevel="1">
      <c r="A478" s="249">
        <v>400</v>
      </c>
      <c r="B478" s="216">
        <v>9</v>
      </c>
      <c r="C478" s="215">
        <v>12.3</v>
      </c>
      <c r="D478" s="215">
        <v>14.1</v>
      </c>
      <c r="E478" s="217">
        <v>14.4</v>
      </c>
      <c r="F478" s="217">
        <v>15.4</v>
      </c>
    </row>
    <row r="479" spans="1:9" outlineLevel="1">
      <c r="A479" s="250">
        <v>600</v>
      </c>
      <c r="B479" s="216">
        <v>5.3</v>
      </c>
      <c r="C479" s="216">
        <v>7.7</v>
      </c>
      <c r="D479" s="216">
        <v>9.1999999999999993</v>
      </c>
      <c r="E479" s="218">
        <v>9.6999999999999993</v>
      </c>
      <c r="F479" s="217">
        <v>10.4</v>
      </c>
    </row>
    <row r="480" spans="1:9" outlineLevel="1">
      <c r="A480" s="250">
        <v>800</v>
      </c>
      <c r="B480" s="216">
        <v>3</v>
      </c>
      <c r="C480" s="215">
        <v>4.5999999999999996</v>
      </c>
      <c r="D480" s="216">
        <v>5.7</v>
      </c>
      <c r="E480" s="218">
        <v>6.2</v>
      </c>
      <c r="F480" s="218">
        <v>6.7</v>
      </c>
    </row>
    <row r="481" spans="1:6" outlineLevel="1">
      <c r="A481" s="249">
        <v>1000</v>
      </c>
      <c r="B481" s="215">
        <v>1.8</v>
      </c>
      <c r="C481" s="216">
        <v>2.9</v>
      </c>
      <c r="D481" s="216">
        <v>3.7</v>
      </c>
      <c r="E481" s="217">
        <v>4.0999999999999996</v>
      </c>
      <c r="F481" s="217">
        <v>4.4000000000000004</v>
      </c>
    </row>
    <row r="482" spans="1:6" outlineLevel="1">
      <c r="A482" s="249">
        <v>1200</v>
      </c>
      <c r="B482" s="215">
        <v>1.3</v>
      </c>
      <c r="C482" s="215">
        <v>2</v>
      </c>
      <c r="D482" s="215">
        <v>2.6</v>
      </c>
      <c r="E482" s="217">
        <v>2.9</v>
      </c>
      <c r="F482" s="218">
        <v>3.1</v>
      </c>
    </row>
    <row r="483" spans="1:6" outlineLevel="1">
      <c r="A483" s="249">
        <v>1400</v>
      </c>
      <c r="B483" s="216">
        <v>0.9</v>
      </c>
      <c r="C483" s="215">
        <v>1.4</v>
      </c>
      <c r="D483" s="215">
        <v>1.7</v>
      </c>
      <c r="E483" s="217">
        <v>1.9</v>
      </c>
      <c r="F483" s="217">
        <v>2.1</v>
      </c>
    </row>
    <row r="484" spans="1:6" outlineLevel="1">
      <c r="A484" s="251">
        <v>1600</v>
      </c>
      <c r="B484" s="219">
        <v>0.7</v>
      </c>
      <c r="C484" s="219">
        <v>0.9</v>
      </c>
      <c r="D484" s="220">
        <v>1.1000000000000001</v>
      </c>
      <c r="E484" s="223">
        <v>1.2</v>
      </c>
      <c r="F484" s="223">
        <v>1.4</v>
      </c>
    </row>
    <row r="485" spans="1:6" outlineLevel="1">
      <c r="A485" s="247" t="s">
        <v>246</v>
      </c>
      <c r="B485" s="203">
        <v>0.2</v>
      </c>
      <c r="C485" s="204">
        <v>0.4</v>
      </c>
      <c r="D485" s="205">
        <v>0.6</v>
      </c>
      <c r="E485" s="204">
        <v>0.8</v>
      </c>
      <c r="F485" s="206">
        <v>1</v>
      </c>
    </row>
    <row r="486" spans="1:6" outlineLevel="1">
      <c r="A486" s="252">
        <v>100</v>
      </c>
      <c r="B486" s="221">
        <v>8.4</v>
      </c>
      <c r="C486" s="213">
        <v>14.9</v>
      </c>
      <c r="D486" s="213">
        <v>20.9</v>
      </c>
      <c r="E486" s="224">
        <v>22.8</v>
      </c>
      <c r="F486" s="224">
        <v>26.6</v>
      </c>
    </row>
    <row r="487" spans="1:6" outlineLevel="1">
      <c r="A487" s="253">
        <v>200</v>
      </c>
      <c r="B487" s="215">
        <v>11.5</v>
      </c>
      <c r="C487" s="215">
        <v>18.2</v>
      </c>
      <c r="D487" s="216">
        <v>24.1</v>
      </c>
      <c r="E487" s="218">
        <v>26.2</v>
      </c>
      <c r="F487" s="218">
        <v>29.7</v>
      </c>
    </row>
    <row r="488" spans="1:6" outlineLevel="1">
      <c r="A488" s="254">
        <v>400</v>
      </c>
      <c r="B488" s="216">
        <v>8.6</v>
      </c>
      <c r="C488" s="215">
        <v>12.1</v>
      </c>
      <c r="D488" s="215">
        <v>14.8</v>
      </c>
      <c r="E488" s="217">
        <v>15.9</v>
      </c>
      <c r="F488" s="217">
        <v>18.100000000000001</v>
      </c>
    </row>
    <row r="489" spans="1:6" outlineLevel="1">
      <c r="A489" s="253">
        <v>600</v>
      </c>
      <c r="B489" s="216">
        <v>5.0999999999999996</v>
      </c>
      <c r="C489" s="216">
        <v>7.5</v>
      </c>
      <c r="D489" s="216">
        <v>9.6</v>
      </c>
      <c r="E489" s="217">
        <v>10.6</v>
      </c>
      <c r="F489" s="217">
        <v>12.1</v>
      </c>
    </row>
    <row r="490" spans="1:6" outlineLevel="1">
      <c r="A490" s="253">
        <v>800</v>
      </c>
      <c r="B490" s="215">
        <v>2.8</v>
      </c>
      <c r="C490" s="215">
        <v>4.5</v>
      </c>
      <c r="D490" s="216">
        <v>5.9</v>
      </c>
      <c r="E490" s="218">
        <v>6.7</v>
      </c>
      <c r="F490" s="217">
        <v>7.7</v>
      </c>
    </row>
    <row r="491" spans="1:6" outlineLevel="1">
      <c r="A491" s="254">
        <v>1000</v>
      </c>
      <c r="B491" s="215">
        <v>1.6</v>
      </c>
      <c r="C491" s="215">
        <v>2.8</v>
      </c>
      <c r="D491" s="216">
        <v>3.7</v>
      </c>
      <c r="E491" s="217">
        <v>4.3</v>
      </c>
      <c r="F491" s="217">
        <v>4.9000000000000004</v>
      </c>
    </row>
    <row r="492" spans="1:6" outlineLevel="1">
      <c r="A492" s="254">
        <v>1200</v>
      </c>
      <c r="B492" s="215">
        <v>1.2</v>
      </c>
      <c r="C492" s="215">
        <v>1.9</v>
      </c>
      <c r="D492" s="216">
        <v>2.6</v>
      </c>
      <c r="E492" s="218">
        <v>3</v>
      </c>
      <c r="F492" s="218">
        <v>3.4</v>
      </c>
    </row>
    <row r="493" spans="1:6" outlineLevel="1">
      <c r="A493" s="254">
        <v>1400</v>
      </c>
      <c r="B493" s="216">
        <v>0.8</v>
      </c>
      <c r="C493" s="215">
        <v>1.3</v>
      </c>
      <c r="D493" s="225">
        <v>1.7</v>
      </c>
      <c r="E493" s="218">
        <v>2</v>
      </c>
      <c r="F493" s="218">
        <v>2.2999999999999998</v>
      </c>
    </row>
    <row r="494" spans="1:6" outlineLevel="1">
      <c r="A494" s="255">
        <v>1600</v>
      </c>
      <c r="B494" s="219">
        <v>0.6</v>
      </c>
      <c r="C494" s="219">
        <v>0.9</v>
      </c>
      <c r="D494" s="220">
        <v>1.1000000000000001</v>
      </c>
      <c r="E494" s="223">
        <v>1.2</v>
      </c>
      <c r="F494" s="223">
        <v>1.5</v>
      </c>
    </row>
    <row r="495" spans="1:6" outlineLevel="1">
      <c r="A495" s="247" t="s">
        <v>247</v>
      </c>
      <c r="B495" s="222"/>
      <c r="C495" s="222"/>
      <c r="D495" s="222"/>
      <c r="E495" s="222"/>
      <c r="F495" s="222"/>
    </row>
    <row r="496" spans="1:6" outlineLevel="1">
      <c r="A496" s="248" t="s">
        <v>248</v>
      </c>
      <c r="B496" s="221">
        <v>6.7</v>
      </c>
      <c r="C496" s="213">
        <v>12.7</v>
      </c>
      <c r="D496" s="221">
        <v>21.7</v>
      </c>
      <c r="E496" s="214">
        <v>24.5</v>
      </c>
      <c r="F496" s="214">
        <v>31.3</v>
      </c>
    </row>
    <row r="497" spans="1:6" outlineLevel="1">
      <c r="A497" s="250">
        <v>200</v>
      </c>
      <c r="B497" s="215">
        <v>10.5</v>
      </c>
      <c r="C497" s="225">
        <v>17.5</v>
      </c>
      <c r="D497" s="216">
        <v>25.4</v>
      </c>
      <c r="E497" s="218">
        <v>28.6</v>
      </c>
      <c r="F497" s="218">
        <v>34.700000000000003</v>
      </c>
    </row>
    <row r="498" spans="1:6" outlineLevel="1">
      <c r="A498" s="249">
        <v>400</v>
      </c>
      <c r="B498" s="216">
        <v>8.3000000000000007</v>
      </c>
      <c r="C498" s="225">
        <v>11.8</v>
      </c>
      <c r="D498" s="225">
        <v>15.5</v>
      </c>
      <c r="E498" s="226">
        <v>17.5</v>
      </c>
      <c r="F498" s="217">
        <v>20.7</v>
      </c>
    </row>
    <row r="499" spans="1:6" outlineLevel="1">
      <c r="A499" s="250">
        <v>600</v>
      </c>
      <c r="B499" s="215">
        <v>4.9000000000000004</v>
      </c>
      <c r="C499" s="215">
        <v>7.3</v>
      </c>
      <c r="D499" s="215">
        <v>10</v>
      </c>
      <c r="E499" s="217">
        <v>11.5</v>
      </c>
      <c r="F499" s="217">
        <v>13.9</v>
      </c>
    </row>
    <row r="500" spans="1:6" outlineLevel="1">
      <c r="A500" s="250">
        <v>800</v>
      </c>
      <c r="B500" s="216">
        <v>2.7</v>
      </c>
      <c r="C500" s="215">
        <v>4.3</v>
      </c>
      <c r="D500" s="216">
        <v>6.1</v>
      </c>
      <c r="E500" s="217">
        <v>7.2</v>
      </c>
      <c r="F500" s="218">
        <v>8.8000000000000007</v>
      </c>
    </row>
    <row r="501" spans="1:6" outlineLevel="1">
      <c r="A501" s="249">
        <v>1000</v>
      </c>
      <c r="B501" s="215">
        <v>1.5</v>
      </c>
      <c r="C501" s="216">
        <v>2.7</v>
      </c>
      <c r="D501" s="216">
        <v>3.8</v>
      </c>
      <c r="E501" s="217">
        <v>4.5</v>
      </c>
      <c r="F501" s="218">
        <v>5.4</v>
      </c>
    </row>
    <row r="502" spans="1:6" outlineLevel="1">
      <c r="A502" s="249">
        <v>1200</v>
      </c>
      <c r="B502" s="225">
        <v>1</v>
      </c>
      <c r="C502" s="225">
        <v>1.8</v>
      </c>
      <c r="D502" s="216">
        <v>2.6</v>
      </c>
      <c r="E502" s="218">
        <v>3.1</v>
      </c>
      <c r="F502" s="218">
        <v>3.8</v>
      </c>
    </row>
    <row r="503" spans="1:6" outlineLevel="1">
      <c r="A503" s="256">
        <v>1400</v>
      </c>
      <c r="B503" s="216">
        <v>0.7</v>
      </c>
      <c r="C503" s="215">
        <v>1.2</v>
      </c>
      <c r="D503" s="215">
        <v>1.7</v>
      </c>
      <c r="E503" s="217">
        <v>2</v>
      </c>
      <c r="F503" s="217">
        <v>2.4</v>
      </c>
    </row>
    <row r="504" spans="1:6" outlineLevel="1">
      <c r="A504" s="251">
        <v>1600</v>
      </c>
      <c r="B504" s="219">
        <v>0.6</v>
      </c>
      <c r="C504" s="219">
        <v>0.9</v>
      </c>
      <c r="D504" s="220">
        <v>1.2</v>
      </c>
      <c r="E504" s="223">
        <v>1.3</v>
      </c>
      <c r="F504" s="223">
        <v>1.5</v>
      </c>
    </row>
    <row r="505" spans="1:6" outlineLevel="1">
      <c r="A505" s="247" t="s">
        <v>249</v>
      </c>
      <c r="B505" s="222"/>
      <c r="C505" s="222"/>
      <c r="D505" s="222"/>
      <c r="E505" s="222"/>
      <c r="F505" s="222"/>
    </row>
    <row r="506" spans="1:6" outlineLevel="1">
      <c r="A506" s="248" t="s">
        <v>248</v>
      </c>
      <c r="B506" s="221">
        <v>5</v>
      </c>
      <c r="C506" s="213">
        <v>10.4</v>
      </c>
      <c r="D506" s="213">
        <v>22.4</v>
      </c>
      <c r="E506" s="224">
        <v>26.3</v>
      </c>
      <c r="F506" s="214">
        <v>36.1</v>
      </c>
    </row>
    <row r="507" spans="1:6" outlineLevel="1">
      <c r="A507" s="249">
        <v>200</v>
      </c>
      <c r="B507" s="216">
        <v>9.6</v>
      </c>
      <c r="C507" s="215">
        <v>16.7</v>
      </c>
      <c r="D507" s="215">
        <v>26.8</v>
      </c>
      <c r="E507" s="218">
        <v>31</v>
      </c>
      <c r="F507" s="218">
        <v>39.6</v>
      </c>
    </row>
    <row r="508" spans="1:6" outlineLevel="1">
      <c r="A508" s="249">
        <v>400</v>
      </c>
      <c r="B508" s="215">
        <v>7.9</v>
      </c>
      <c r="C508" s="215">
        <v>11.6</v>
      </c>
      <c r="D508" s="215">
        <v>16.2</v>
      </c>
      <c r="E508" s="217">
        <v>19</v>
      </c>
      <c r="F508" s="218">
        <v>23.4</v>
      </c>
    </row>
    <row r="509" spans="1:6" outlineLevel="1">
      <c r="A509" s="250">
        <v>600</v>
      </c>
      <c r="B509" s="215">
        <v>4.7</v>
      </c>
      <c r="C509" s="216">
        <v>7.1</v>
      </c>
      <c r="D509" s="215">
        <v>10.4</v>
      </c>
      <c r="E509" s="217">
        <v>12.4</v>
      </c>
      <c r="F509" s="217">
        <v>15.6</v>
      </c>
    </row>
    <row r="510" spans="1:6" outlineLevel="1">
      <c r="A510" s="250">
        <v>800</v>
      </c>
      <c r="B510" s="216">
        <v>2.5</v>
      </c>
      <c r="C510" s="215">
        <v>4.2</v>
      </c>
      <c r="D510" s="216">
        <v>6.3</v>
      </c>
      <c r="E510" s="218">
        <v>7.7</v>
      </c>
      <c r="F510" s="218">
        <v>9.8000000000000007</v>
      </c>
    </row>
    <row r="511" spans="1:6" outlineLevel="1">
      <c r="A511" s="249">
        <v>1000</v>
      </c>
      <c r="B511" s="215">
        <v>1.3</v>
      </c>
      <c r="C511" s="215">
        <v>2.6</v>
      </c>
      <c r="D511" s="216">
        <v>3.8</v>
      </c>
      <c r="E511" s="217">
        <v>4.7</v>
      </c>
      <c r="F511" s="218">
        <v>5.9</v>
      </c>
    </row>
    <row r="512" spans="1:6" outlineLevel="1">
      <c r="A512" s="249">
        <v>1200</v>
      </c>
      <c r="B512" s="216">
        <v>0.9</v>
      </c>
      <c r="C512" s="215">
        <v>1.7</v>
      </c>
      <c r="D512" s="215">
        <v>2.6</v>
      </c>
      <c r="E512" s="218">
        <v>3.2</v>
      </c>
      <c r="F512" s="217">
        <v>4.0999999999999996</v>
      </c>
    </row>
    <row r="513" spans="1:9" outlineLevel="1">
      <c r="A513" s="249">
        <v>1400</v>
      </c>
      <c r="B513" s="216">
        <v>0.6</v>
      </c>
      <c r="C513" s="215">
        <v>1.1000000000000001</v>
      </c>
      <c r="D513" s="215">
        <v>1.7</v>
      </c>
      <c r="E513" s="218">
        <v>2.1</v>
      </c>
      <c r="F513" s="218">
        <v>2.6</v>
      </c>
    </row>
    <row r="514" spans="1:9" outlineLevel="1">
      <c r="A514" s="251">
        <v>1600</v>
      </c>
      <c r="B514" s="219">
        <v>0.5</v>
      </c>
      <c r="C514" s="219">
        <v>0.9</v>
      </c>
      <c r="D514" s="220">
        <v>1.2</v>
      </c>
      <c r="E514" s="223">
        <v>1.3</v>
      </c>
      <c r="F514" s="223">
        <v>1.6</v>
      </c>
    </row>
    <row r="515" spans="1:9" outlineLevel="1">
      <c r="A515" s="247" t="s">
        <v>250</v>
      </c>
      <c r="B515" s="222"/>
      <c r="C515" s="222"/>
      <c r="D515" s="222"/>
      <c r="E515" s="222"/>
      <c r="F515" s="222"/>
    </row>
    <row r="516" spans="1:9" outlineLevel="1">
      <c r="A516" s="248" t="s">
        <v>248</v>
      </c>
      <c r="B516" s="221">
        <v>3.7</v>
      </c>
      <c r="C516" s="221">
        <v>8.5</v>
      </c>
      <c r="D516" s="213">
        <v>23.2</v>
      </c>
      <c r="E516" s="224">
        <v>28.2</v>
      </c>
      <c r="F516" s="224">
        <v>41.6</v>
      </c>
    </row>
    <row r="517" spans="1:9" outlineLevel="1">
      <c r="A517" s="250">
        <v>200</v>
      </c>
      <c r="B517" s="216">
        <v>8.6999999999999993</v>
      </c>
      <c r="C517" s="215">
        <v>16</v>
      </c>
      <c r="D517" s="216">
        <v>28.2</v>
      </c>
      <c r="E517" s="218">
        <v>33.6</v>
      </c>
      <c r="F517" s="217">
        <v>45.2</v>
      </c>
    </row>
    <row r="518" spans="1:9" outlineLevel="1">
      <c r="A518" s="249">
        <v>400</v>
      </c>
      <c r="B518" s="216">
        <v>7.5</v>
      </c>
      <c r="C518" s="215">
        <v>11.4</v>
      </c>
      <c r="D518" s="215">
        <v>16.899999999999999</v>
      </c>
      <c r="E518" s="218">
        <v>20.7</v>
      </c>
      <c r="F518" s="218">
        <v>26.4</v>
      </c>
    </row>
    <row r="519" spans="1:9" outlineLevel="1">
      <c r="A519" s="250">
        <v>600</v>
      </c>
      <c r="B519" s="215">
        <v>4.5</v>
      </c>
      <c r="C519" s="216">
        <v>6.9</v>
      </c>
      <c r="D519" s="215">
        <v>10.8</v>
      </c>
      <c r="E519" s="226">
        <v>13.4</v>
      </c>
      <c r="F519" s="217">
        <v>17.600000000000001</v>
      </c>
    </row>
    <row r="520" spans="1:9" outlineLevel="1">
      <c r="A520" s="250">
        <v>800</v>
      </c>
      <c r="B520" s="215">
        <v>2.2999999999999998</v>
      </c>
      <c r="C520" s="215">
        <v>4.0999999999999996</v>
      </c>
      <c r="D520" s="216">
        <v>6.5</v>
      </c>
      <c r="E520" s="218">
        <v>8.1999999999999993</v>
      </c>
      <c r="F520" s="217">
        <v>11</v>
      </c>
    </row>
    <row r="521" spans="1:9" outlineLevel="1">
      <c r="A521" s="249">
        <v>1000</v>
      </c>
      <c r="B521" s="215">
        <v>1.2</v>
      </c>
      <c r="C521" s="216">
        <v>2.5</v>
      </c>
      <c r="D521" s="216">
        <v>3.8</v>
      </c>
      <c r="E521" s="217">
        <v>4.9000000000000004</v>
      </c>
      <c r="F521" s="218">
        <v>6.4</v>
      </c>
    </row>
    <row r="522" spans="1:9" outlineLevel="1">
      <c r="A522" s="249">
        <v>1200</v>
      </c>
      <c r="B522" s="216">
        <v>0.8</v>
      </c>
      <c r="C522" s="215">
        <v>1.6</v>
      </c>
      <c r="D522" s="216">
        <v>2.6</v>
      </c>
      <c r="E522" s="218">
        <v>3.3</v>
      </c>
      <c r="F522" s="217">
        <v>4.5</v>
      </c>
    </row>
    <row r="523" spans="1:9" outlineLevel="1">
      <c r="A523" s="249">
        <v>1400</v>
      </c>
      <c r="B523" s="216">
        <v>0.5</v>
      </c>
      <c r="C523" s="215">
        <v>1</v>
      </c>
      <c r="D523" s="215">
        <v>1.7</v>
      </c>
      <c r="E523" s="218">
        <v>2.2000000000000002</v>
      </c>
      <c r="F523" s="218">
        <v>2.8</v>
      </c>
    </row>
    <row r="524" spans="1:9" outlineLevel="1">
      <c r="A524" s="257">
        <v>1600</v>
      </c>
      <c r="B524" s="219">
        <v>0.4</v>
      </c>
      <c r="C524" s="219">
        <v>0.9</v>
      </c>
      <c r="D524" s="227">
        <v>1.2</v>
      </c>
      <c r="E524" s="223">
        <v>1.3</v>
      </c>
      <c r="F524" s="223">
        <v>1.7</v>
      </c>
    </row>
    <row r="525" spans="1:9" outlineLevel="1">
      <c r="A525" s="233"/>
    </row>
    <row r="526" spans="1:9" outlineLevel="1">
      <c r="A526" s="237" t="s">
        <v>252</v>
      </c>
      <c r="E526" s="2"/>
      <c r="G526" s="3"/>
      <c r="H526" s="3"/>
      <c r="I526" s="3"/>
    </row>
    <row r="527" spans="1:9" outlineLevel="1">
      <c r="A527" s="613" t="s">
        <v>241</v>
      </c>
      <c r="B527" s="229"/>
      <c r="C527" s="230"/>
      <c r="E527" s="2"/>
      <c r="G527" s="3"/>
      <c r="H527" s="3"/>
      <c r="I527" s="3"/>
    </row>
    <row r="528" spans="1:9" outlineLevel="1">
      <c r="A528" s="614"/>
      <c r="B528" s="231" t="s">
        <v>253</v>
      </c>
      <c r="C528" s="209" t="s">
        <v>254</v>
      </c>
      <c r="E528" s="2"/>
      <c r="G528" s="3"/>
      <c r="H528" s="3"/>
      <c r="I528" s="3"/>
    </row>
    <row r="529" spans="1:20" outlineLevel="1">
      <c r="A529" s="250">
        <v>200</v>
      </c>
      <c r="B529" s="232">
        <f t="shared" ref="B529:B536" si="4">-1*D529/1000</f>
        <v>-1.2999999999999999E-2</v>
      </c>
      <c r="C529" s="232">
        <f t="shared" ref="C529:C536" si="5">E529/1000</f>
        <v>0.66800000000000004</v>
      </c>
      <c r="D529" s="2">
        <v>13</v>
      </c>
      <c r="E529" s="2">
        <v>668</v>
      </c>
      <c r="G529" s="3"/>
      <c r="H529" s="3"/>
      <c r="I529" s="3"/>
    </row>
    <row r="530" spans="1:20" outlineLevel="1">
      <c r="A530" s="249">
        <v>400</v>
      </c>
      <c r="B530" s="232">
        <f t="shared" si="4"/>
        <v>-5.7000000000000002E-2</v>
      </c>
      <c r="C530" s="232">
        <f t="shared" si="5"/>
        <v>0.47899999999999998</v>
      </c>
      <c r="D530" s="2">
        <v>57</v>
      </c>
      <c r="E530" s="2">
        <v>479</v>
      </c>
      <c r="G530" s="3"/>
      <c r="H530" s="3"/>
      <c r="I530" s="3"/>
    </row>
    <row r="531" spans="1:20" outlineLevel="1">
      <c r="A531" s="250">
        <v>600</v>
      </c>
      <c r="B531" s="232">
        <f t="shared" si="4"/>
        <v>-0.1</v>
      </c>
      <c r="C531" s="232">
        <f t="shared" si="5"/>
        <v>0.41299999999999998</v>
      </c>
      <c r="D531" s="2">
        <v>100</v>
      </c>
      <c r="E531" s="2">
        <v>413</v>
      </c>
      <c r="G531" s="3"/>
      <c r="H531" s="3"/>
      <c r="I531" s="3"/>
    </row>
    <row r="532" spans="1:20" outlineLevel="1">
      <c r="A532" s="250">
        <v>800</v>
      </c>
      <c r="B532" s="232">
        <f t="shared" si="4"/>
        <v>-0.17299999999999999</v>
      </c>
      <c r="C532" s="232">
        <f t="shared" si="5"/>
        <v>0.34899999999999998</v>
      </c>
      <c r="D532" s="2">
        <v>173</v>
      </c>
      <c r="E532" s="2">
        <v>349</v>
      </c>
      <c r="G532" s="3"/>
      <c r="H532" s="3"/>
      <c r="I532" s="3"/>
    </row>
    <row r="533" spans="1:20" outlineLevel="1">
      <c r="A533" s="249">
        <v>1000</v>
      </c>
      <c r="B533" s="232">
        <f t="shared" si="4"/>
        <v>-0.32</v>
      </c>
      <c r="C533" s="232">
        <f t="shared" si="5"/>
        <v>0.27600000000000002</v>
      </c>
      <c r="D533" s="2">
        <v>320</v>
      </c>
      <c r="E533" s="2">
        <v>276</v>
      </c>
      <c r="G533" s="3"/>
      <c r="H533" s="3"/>
      <c r="I533" s="3"/>
    </row>
    <row r="534" spans="1:20" outlineLevel="1">
      <c r="A534" s="249">
        <v>1200</v>
      </c>
      <c r="B534" s="232">
        <f t="shared" si="4"/>
        <v>-0.43</v>
      </c>
      <c r="C534" s="232">
        <f t="shared" si="5"/>
        <v>0.24199999999999999</v>
      </c>
      <c r="D534" s="2">
        <v>430</v>
      </c>
      <c r="E534" s="2">
        <v>242</v>
      </c>
      <c r="G534" s="3"/>
      <c r="H534" s="3"/>
      <c r="I534" s="3"/>
    </row>
    <row r="535" spans="1:20" outlineLevel="1">
      <c r="A535" s="249">
        <v>1400</v>
      </c>
      <c r="B535" s="232">
        <f t="shared" si="4"/>
        <v>-0.52200000000000002</v>
      </c>
      <c r="C535" s="232">
        <f t="shared" si="5"/>
        <v>0.22500000000000001</v>
      </c>
      <c r="D535" s="2">
        <v>522</v>
      </c>
      <c r="E535" s="2">
        <v>225</v>
      </c>
      <c r="G535" s="3"/>
      <c r="H535" s="3"/>
      <c r="I535" s="3"/>
    </row>
    <row r="536" spans="1:20" outlineLevel="1">
      <c r="A536" s="257">
        <v>1600</v>
      </c>
      <c r="B536" s="232">
        <f t="shared" si="4"/>
        <v>-0.66500000000000004</v>
      </c>
      <c r="C536" s="232">
        <f t="shared" si="5"/>
        <v>0.19900000000000001</v>
      </c>
      <c r="D536" s="2">
        <v>665</v>
      </c>
      <c r="E536" s="2">
        <v>199</v>
      </c>
      <c r="G536" s="3"/>
      <c r="H536" s="3"/>
      <c r="I536" s="3"/>
    </row>
    <row r="537" spans="1:20" outlineLevel="1"/>
    <row r="538" spans="1:20">
      <c r="A538" s="492" t="s">
        <v>391</v>
      </c>
      <c r="B538" s="492"/>
      <c r="C538" s="492"/>
      <c r="D538" s="492"/>
      <c r="E538" s="492"/>
      <c r="F538" s="492"/>
      <c r="G538" s="492"/>
      <c r="H538" s="492"/>
      <c r="I538" s="492"/>
      <c r="J538" s="492"/>
      <c r="K538" s="492"/>
      <c r="L538" s="492"/>
      <c r="M538" s="492"/>
      <c r="N538" s="492"/>
      <c r="O538" s="492"/>
      <c r="P538" s="492"/>
      <c r="Q538" s="492"/>
      <c r="R538" s="492"/>
      <c r="S538" s="492"/>
      <c r="T538" s="491"/>
    </row>
    <row r="539" spans="1:20" outlineLevel="1"/>
    <row r="540" spans="1:20" ht="19.5" customHeight="1" outlineLevel="1">
      <c r="A540" s="1" t="s">
        <v>274</v>
      </c>
      <c r="B540" s="1" t="s">
        <v>275</v>
      </c>
      <c r="C540" s="1" t="s">
        <v>276</v>
      </c>
      <c r="D540" s="1"/>
      <c r="F540" s="1"/>
      <c r="G540" s="1"/>
      <c r="H540" s="1"/>
      <c r="I540" s="1"/>
      <c r="J540" s="281"/>
      <c r="K540" s="281"/>
      <c r="L540" s="281"/>
    </row>
    <row r="541" spans="1:20" outlineLevel="1">
      <c r="A541" s="1"/>
      <c r="B541" s="289">
        <v>3</v>
      </c>
      <c r="C541" s="1">
        <v>10.6</v>
      </c>
      <c r="D541" s="1"/>
      <c r="F541" s="1"/>
      <c r="G541" s="1"/>
      <c r="H541" s="1"/>
      <c r="I541" s="1"/>
      <c r="J541" s="281"/>
      <c r="K541" s="281"/>
      <c r="L541" s="281"/>
    </row>
    <row r="542" spans="1:20" outlineLevel="1">
      <c r="A542" s="1"/>
      <c r="B542" s="289">
        <v>3.1</v>
      </c>
      <c r="C542" s="1">
        <v>8.1</v>
      </c>
      <c r="D542" s="1"/>
      <c r="F542" s="1"/>
      <c r="G542" s="1"/>
      <c r="H542" s="1"/>
      <c r="I542" s="1"/>
      <c r="J542" s="281"/>
      <c r="K542" s="281"/>
      <c r="L542" s="281"/>
    </row>
    <row r="543" spans="1:20" outlineLevel="1">
      <c r="A543" s="1"/>
      <c r="B543" s="289">
        <v>3.2</v>
      </c>
      <c r="C543" s="1">
        <v>5.6</v>
      </c>
      <c r="D543" s="1"/>
      <c r="F543" s="1"/>
      <c r="G543" s="1"/>
      <c r="H543" s="1"/>
      <c r="I543" s="1"/>
      <c r="J543" s="281"/>
      <c r="K543" s="281"/>
      <c r="L543" s="281"/>
    </row>
    <row r="544" spans="1:20" outlineLevel="1">
      <c r="A544" s="1"/>
      <c r="B544" s="289">
        <v>3.3</v>
      </c>
      <c r="C544" s="1">
        <v>3.1</v>
      </c>
      <c r="D544" s="1"/>
      <c r="F544" s="1"/>
      <c r="G544" s="1"/>
      <c r="H544" s="1"/>
      <c r="I544" s="1"/>
      <c r="J544" s="281"/>
      <c r="K544" s="281"/>
      <c r="L544" s="281"/>
    </row>
    <row r="545" spans="1:12" outlineLevel="1">
      <c r="A545" s="1"/>
      <c r="B545" s="289">
        <v>3.4</v>
      </c>
      <c r="C545" s="1">
        <v>2.1</v>
      </c>
      <c r="D545" s="1"/>
      <c r="F545" s="1"/>
      <c r="G545" s="1"/>
      <c r="H545" s="1"/>
      <c r="I545" s="1"/>
      <c r="J545" s="281"/>
      <c r="K545" s="281"/>
      <c r="L545" s="281"/>
    </row>
    <row r="546" spans="1:12" outlineLevel="1">
      <c r="A546" s="1"/>
      <c r="B546" s="289">
        <v>3.5</v>
      </c>
      <c r="C546" s="1">
        <v>1</v>
      </c>
      <c r="D546" s="1"/>
      <c r="F546" s="1"/>
      <c r="G546" s="1"/>
      <c r="H546" s="1"/>
      <c r="I546" s="1"/>
      <c r="J546" s="281"/>
      <c r="K546" s="281"/>
      <c r="L546" s="281"/>
    </row>
    <row r="547" spans="1:12" outlineLevel="1">
      <c r="A547" s="1"/>
      <c r="B547" s="289">
        <v>3.6</v>
      </c>
      <c r="C547" s="1">
        <v>0</v>
      </c>
      <c r="D547" s="1"/>
      <c r="F547" s="1"/>
      <c r="G547" s="1"/>
      <c r="H547" s="1"/>
      <c r="I547" s="1"/>
      <c r="J547" s="281"/>
      <c r="K547" s="281"/>
      <c r="L547" s="281"/>
    </row>
    <row r="548" spans="1:12" outlineLevel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281"/>
    </row>
    <row r="549" spans="1:12" ht="14.25" customHeight="1" outlineLevel="1">
      <c r="A549" s="1" t="s">
        <v>277</v>
      </c>
      <c r="B549" s="282" t="s">
        <v>278</v>
      </c>
      <c r="C549" s="1">
        <v>4</v>
      </c>
      <c r="D549" s="1">
        <v>6</v>
      </c>
      <c r="E549" s="1"/>
      <c r="I549" s="1"/>
      <c r="J549" s="1"/>
      <c r="K549" s="1"/>
      <c r="L549" s="281"/>
    </row>
    <row r="550" spans="1:12" ht="25.5" outlineLevel="1">
      <c r="A550" s="1"/>
      <c r="B550" s="481" t="s">
        <v>279</v>
      </c>
      <c r="C550" s="481" t="s">
        <v>280</v>
      </c>
      <c r="D550" s="481" t="s">
        <v>281</v>
      </c>
      <c r="E550" s="1"/>
      <c r="I550" s="1"/>
      <c r="J550" s="1"/>
      <c r="K550" s="1"/>
      <c r="L550" s="281"/>
    </row>
    <row r="551" spans="1:12" ht="12.75" customHeight="1" outlineLevel="1">
      <c r="A551" s="1"/>
      <c r="B551" s="283">
        <v>3.6</v>
      </c>
      <c r="C551" s="283">
        <v>0</v>
      </c>
      <c r="D551" s="283">
        <v>0</v>
      </c>
      <c r="E551" s="1"/>
      <c r="I551" s="1"/>
      <c r="J551" s="1"/>
      <c r="K551" s="1"/>
      <c r="L551" s="281"/>
    </row>
    <row r="552" spans="1:12" ht="12.75" customHeight="1" outlineLevel="1">
      <c r="A552" s="1"/>
      <c r="B552" s="1">
        <v>3.5</v>
      </c>
      <c r="C552" s="1">
        <f t="shared" ref="C552:C562" si="6">$C$551+(B552-$B$551)*($C$563-$C$551)/($B$563-$B$551)</f>
        <v>0.12500000000000008</v>
      </c>
      <c r="D552" s="1">
        <f t="shared" ref="D552:D562" si="7">$D$551+(B552-$B$551)*($D$563-$D$551)/($B$563-$B$551)</f>
        <v>0.12500000000000008</v>
      </c>
      <c r="E552" s="612" t="s">
        <v>282</v>
      </c>
      <c r="I552" s="1"/>
      <c r="J552" s="1"/>
      <c r="K552" s="1"/>
      <c r="L552" s="281"/>
    </row>
    <row r="553" spans="1:12" ht="12.75" customHeight="1" outlineLevel="1">
      <c r="A553" s="1"/>
      <c r="B553" s="1">
        <v>3.4</v>
      </c>
      <c r="C553" s="1">
        <f t="shared" si="6"/>
        <v>0.25000000000000017</v>
      </c>
      <c r="D553" s="1">
        <f t="shared" si="7"/>
        <v>0.25000000000000017</v>
      </c>
      <c r="E553" s="612"/>
      <c r="I553" s="1"/>
      <c r="J553" s="1"/>
      <c r="K553" s="1"/>
      <c r="L553" s="281"/>
    </row>
    <row r="554" spans="1:12" ht="12.75" customHeight="1" outlineLevel="1">
      <c r="A554" s="1"/>
      <c r="B554" s="1">
        <v>3.3</v>
      </c>
      <c r="C554" s="1">
        <f t="shared" si="6"/>
        <v>0.37500000000000028</v>
      </c>
      <c r="D554" s="1">
        <f t="shared" si="7"/>
        <v>0.37500000000000028</v>
      </c>
      <c r="E554" s="612"/>
      <c r="I554" s="1"/>
      <c r="J554" s="1"/>
      <c r="K554" s="1"/>
      <c r="L554" s="281"/>
    </row>
    <row r="555" spans="1:12" ht="12.75" customHeight="1" outlineLevel="1">
      <c r="A555" s="1"/>
      <c r="B555" s="1">
        <v>3.2</v>
      </c>
      <c r="C555" s="1">
        <f t="shared" si="6"/>
        <v>0.49999999999999983</v>
      </c>
      <c r="D555" s="1">
        <f t="shared" si="7"/>
        <v>0.49999999999999983</v>
      </c>
      <c r="E555" s="612"/>
      <c r="I555" s="1"/>
      <c r="J555" s="1"/>
      <c r="K555" s="1"/>
      <c r="L555" s="281"/>
    </row>
    <row r="556" spans="1:12" ht="12.75" customHeight="1" outlineLevel="1">
      <c r="A556" s="1"/>
      <c r="B556" s="1">
        <v>3.1</v>
      </c>
      <c r="C556" s="1">
        <f t="shared" si="6"/>
        <v>0.62499999999999989</v>
      </c>
      <c r="D556" s="1">
        <f t="shared" si="7"/>
        <v>0.62499999999999989</v>
      </c>
      <c r="E556" s="612"/>
      <c r="I556" s="1"/>
      <c r="J556" s="1"/>
      <c r="K556" s="1"/>
      <c r="L556" s="281"/>
    </row>
    <row r="557" spans="1:12" ht="12.75" customHeight="1" outlineLevel="1">
      <c r="A557" s="1"/>
      <c r="B557" s="1">
        <v>3</v>
      </c>
      <c r="C557" s="1">
        <f t="shared" si="6"/>
        <v>0.75</v>
      </c>
      <c r="D557" s="1">
        <f t="shared" si="7"/>
        <v>0.75</v>
      </c>
      <c r="E557" s="612"/>
      <c r="I557" s="1"/>
      <c r="J557" s="1"/>
      <c r="K557" s="1"/>
      <c r="L557" s="281"/>
    </row>
    <row r="558" spans="1:12" ht="12.75" customHeight="1" outlineLevel="1">
      <c r="A558" s="1"/>
      <c r="B558" s="1">
        <v>2.9</v>
      </c>
      <c r="C558" s="1">
        <f t="shared" si="6"/>
        <v>0.87500000000000011</v>
      </c>
      <c r="D558" s="1">
        <f t="shared" si="7"/>
        <v>0.87500000000000011</v>
      </c>
      <c r="E558" s="612"/>
      <c r="I558" s="1"/>
      <c r="J558" s="1"/>
      <c r="K558" s="1"/>
      <c r="L558" s="281"/>
    </row>
    <row r="559" spans="1:12" ht="12.75" customHeight="1" outlineLevel="1">
      <c r="A559" s="1"/>
      <c r="B559" s="1">
        <v>2.8</v>
      </c>
      <c r="C559" s="1">
        <f t="shared" si="6"/>
        <v>1.0000000000000002</v>
      </c>
      <c r="D559" s="1">
        <f t="shared" si="7"/>
        <v>1.0000000000000002</v>
      </c>
      <c r="E559" s="612"/>
      <c r="I559" s="1"/>
      <c r="J559" s="1"/>
      <c r="K559" s="1"/>
      <c r="L559" s="281"/>
    </row>
    <row r="560" spans="1:12" ht="12.75" customHeight="1" outlineLevel="1">
      <c r="A560" s="1"/>
      <c r="B560" s="1">
        <v>2.7</v>
      </c>
      <c r="C560" s="1">
        <f t="shared" si="6"/>
        <v>1.1249999999999998</v>
      </c>
      <c r="D560" s="1">
        <f t="shared" si="7"/>
        <v>1.1249999999999998</v>
      </c>
      <c r="E560" s="612"/>
      <c r="I560" s="1"/>
      <c r="J560" s="1"/>
      <c r="K560" s="1"/>
      <c r="L560" s="281"/>
    </row>
    <row r="561" spans="1:12" ht="12.75" customHeight="1" outlineLevel="1">
      <c r="A561" s="1"/>
      <c r="B561" s="1">
        <v>2.6</v>
      </c>
      <c r="C561" s="1">
        <f t="shared" si="6"/>
        <v>1.2499999999999998</v>
      </c>
      <c r="D561" s="1">
        <f t="shared" si="7"/>
        <v>1.2499999999999998</v>
      </c>
      <c r="E561" s="612"/>
      <c r="I561" s="1"/>
      <c r="J561" s="1"/>
      <c r="K561" s="1"/>
      <c r="L561" s="281"/>
    </row>
    <row r="562" spans="1:12" ht="12.75" customHeight="1" outlineLevel="1">
      <c r="A562" s="1"/>
      <c r="B562" s="1">
        <v>2.5</v>
      </c>
      <c r="C562" s="1">
        <f t="shared" si="6"/>
        <v>1.375</v>
      </c>
      <c r="D562" s="1">
        <f t="shared" si="7"/>
        <v>1.375</v>
      </c>
      <c r="E562" s="612"/>
      <c r="I562" s="1"/>
      <c r="J562" s="1"/>
      <c r="K562" s="1"/>
      <c r="L562" s="281"/>
    </row>
    <row r="563" spans="1:12" outlineLevel="1">
      <c r="A563" s="1"/>
      <c r="B563" s="283">
        <v>2.4</v>
      </c>
      <c r="C563" s="283">
        <v>1.5</v>
      </c>
      <c r="D563" s="283">
        <v>1.5</v>
      </c>
      <c r="E563" s="1"/>
      <c r="I563" s="1"/>
      <c r="J563" s="1"/>
      <c r="K563" s="1"/>
      <c r="L563" s="281"/>
    </row>
    <row r="564" spans="1:12" outlineLevel="1">
      <c r="A564" s="1"/>
      <c r="B564" s="1">
        <v>2.2999999999999998</v>
      </c>
      <c r="C564" s="1">
        <f>$C$563+(B564-$B$563)*($C$569-$C$563)/($B$569-$B$563)</f>
        <v>1.6</v>
      </c>
      <c r="D564" s="1">
        <f>$D$563+(B564-$B$563)*($D$569-$D$563)/($B$569-$B$563)</f>
        <v>1.6</v>
      </c>
      <c r="E564" s="612" t="s">
        <v>282</v>
      </c>
      <c r="I564" s="1"/>
      <c r="J564" s="1"/>
      <c r="K564" s="1"/>
      <c r="L564" s="281"/>
    </row>
    <row r="565" spans="1:12" outlineLevel="1">
      <c r="A565" s="1"/>
      <c r="B565" s="1">
        <v>2.2000000000000002</v>
      </c>
      <c r="C565" s="1">
        <f>$C$563+(B565-$B$563)*($C$569-$C$563)/($B$569-$B$563)</f>
        <v>1.6999999999999997</v>
      </c>
      <c r="D565" s="1">
        <f>$D$563+(B565-$B$563)*($D$569-$D$563)/($B$569-$B$563)</f>
        <v>1.6999999999999997</v>
      </c>
      <c r="E565" s="612"/>
      <c r="I565" s="1"/>
      <c r="J565" s="1"/>
      <c r="K565" s="1"/>
      <c r="L565" s="281"/>
    </row>
    <row r="566" spans="1:12" outlineLevel="1">
      <c r="A566" s="1"/>
      <c r="B566" s="1">
        <v>2.1</v>
      </c>
      <c r="C566" s="1">
        <f>$C$563+(B566-$B$563)*($C$569-$C$563)/($B$569-$B$563)</f>
        <v>1.7999999999999998</v>
      </c>
      <c r="D566" s="1">
        <f>$D$563+(B566-$B$563)*($D$569-$D$563)/($B$569-$B$563)</f>
        <v>1.7999999999999998</v>
      </c>
      <c r="E566" s="612"/>
      <c r="I566" s="1"/>
      <c r="J566" s="1"/>
      <c r="K566" s="1"/>
      <c r="L566" s="281"/>
    </row>
    <row r="567" spans="1:12" outlineLevel="1">
      <c r="A567" s="1"/>
      <c r="B567" s="1">
        <v>2</v>
      </c>
      <c r="C567" s="1">
        <f>$C$563+(B567-$B$563)*($C$569-$C$563)/($B$569-$B$563)</f>
        <v>1.9000000000000001</v>
      </c>
      <c r="D567" s="1">
        <f>$D$563+(B567-$B$563)*($D$569-$D$563)/($B$569-$B$563)</f>
        <v>1.9000000000000001</v>
      </c>
      <c r="E567" s="612"/>
      <c r="I567" s="1"/>
      <c r="J567" s="1"/>
      <c r="K567" s="1"/>
      <c r="L567" s="281"/>
    </row>
    <row r="568" spans="1:12" outlineLevel="1">
      <c r="A568" s="1"/>
      <c r="B568" s="1">
        <v>1.9</v>
      </c>
      <c r="C568" s="1">
        <f>$C$563+(B568-$B$563)*($C$569-$C$563)/($B$569-$B$563)</f>
        <v>2</v>
      </c>
      <c r="D568" s="1">
        <f>$D$563+(B568-$B$563)*($D$569-$D$563)/($B$569-$B$563)</f>
        <v>2</v>
      </c>
      <c r="E568" s="612"/>
      <c r="I568" s="1"/>
      <c r="J568" s="1"/>
      <c r="K568" s="1"/>
      <c r="L568" s="281"/>
    </row>
    <row r="569" spans="1:12" outlineLevel="1">
      <c r="A569" s="1"/>
      <c r="B569" s="283">
        <v>1.8</v>
      </c>
      <c r="C569" s="283">
        <v>2.1</v>
      </c>
      <c r="D569" s="283">
        <v>2.1</v>
      </c>
      <c r="E569" s="1"/>
      <c r="I569" s="1"/>
      <c r="J569" s="1"/>
      <c r="K569" s="1"/>
      <c r="L569" s="281"/>
    </row>
    <row r="570" spans="1:12" outlineLevel="1">
      <c r="A570" s="1"/>
      <c r="B570" s="1">
        <v>1.7</v>
      </c>
      <c r="C570" s="1">
        <f>$C$569+(B570-$B$569)*($C$575-$C$569)/($B$575-$B$569)</f>
        <v>2.25</v>
      </c>
      <c r="D570" s="1">
        <f>$D$569+(B570-$B$569)*($D$575-$D$569)/($B$575-$B$569)</f>
        <v>2.2000000000000002</v>
      </c>
      <c r="E570" s="612" t="s">
        <v>282</v>
      </c>
      <c r="I570" s="1"/>
      <c r="J570" s="1"/>
      <c r="K570" s="1"/>
      <c r="L570" s="281"/>
    </row>
    <row r="571" spans="1:12" outlineLevel="1">
      <c r="A571" s="1"/>
      <c r="B571" s="1">
        <v>1.6</v>
      </c>
      <c r="C571" s="1">
        <f>$C$569+(B571-$B$569)*($C$575-$C$569)/($B$575-$B$569)</f>
        <v>2.4</v>
      </c>
      <c r="D571" s="1">
        <f>$D$569+(B571-$B$569)*($D$575-$D$569)/($B$575-$B$569)</f>
        <v>2.2999999999999998</v>
      </c>
      <c r="E571" s="612"/>
      <c r="I571" s="1"/>
      <c r="J571" s="1"/>
      <c r="K571" s="1"/>
      <c r="L571" s="281"/>
    </row>
    <row r="572" spans="1:12" outlineLevel="1">
      <c r="A572" s="1"/>
      <c r="B572" s="1">
        <v>1.5</v>
      </c>
      <c r="C572" s="1">
        <f>$C$569+(B572-$B$569)*($C$575-$C$569)/($B$575-$B$569)</f>
        <v>2.5499999999999998</v>
      </c>
      <c r="D572" s="1">
        <f>$D$569+(B572-$B$569)*($D$575-$D$569)/($B$575-$B$569)</f>
        <v>2.4000000000000004</v>
      </c>
      <c r="E572" s="612"/>
      <c r="I572" s="1"/>
      <c r="J572" s="1"/>
      <c r="K572" s="1"/>
      <c r="L572" s="281"/>
    </row>
    <row r="573" spans="1:12" outlineLevel="1">
      <c r="A573" s="1"/>
      <c r="B573" s="1">
        <v>1.4</v>
      </c>
      <c r="C573" s="1">
        <f>$C$569+(B573-$B$569)*($C$575-$C$569)/($B$575-$B$569)</f>
        <v>2.7</v>
      </c>
      <c r="D573" s="1">
        <f>$D$569+(B573-$B$569)*($D$575-$D$569)/($B$575-$B$569)</f>
        <v>2.5</v>
      </c>
      <c r="E573" s="612"/>
      <c r="I573" s="1"/>
      <c r="J573" s="1"/>
      <c r="K573" s="1"/>
      <c r="L573" s="281"/>
    </row>
    <row r="574" spans="1:12" outlineLevel="1">
      <c r="A574" s="1"/>
      <c r="B574" s="1">
        <v>1.3</v>
      </c>
      <c r="C574" s="1">
        <f>$C$569+(B574-$B$569)*($C$575-$C$569)/($B$575-$B$569)</f>
        <v>2.8499999999999996</v>
      </c>
      <c r="D574" s="1">
        <f>$D$569+(B574-$B$569)*($D$575-$D$569)/($B$575-$B$569)</f>
        <v>2.6</v>
      </c>
      <c r="E574" s="612"/>
      <c r="I574" s="1"/>
      <c r="J574" s="1"/>
      <c r="K574" s="1"/>
      <c r="L574" s="281"/>
    </row>
    <row r="575" spans="1:12" outlineLevel="1">
      <c r="A575" s="1"/>
      <c r="B575" s="283">
        <v>1.2</v>
      </c>
      <c r="C575" s="283">
        <v>3</v>
      </c>
      <c r="D575" s="283">
        <v>2.7</v>
      </c>
      <c r="E575" s="1"/>
      <c r="I575" s="1"/>
      <c r="J575" s="1"/>
      <c r="K575" s="1"/>
      <c r="L575" s="281"/>
    </row>
    <row r="576" spans="1:12" outlineLevel="1">
      <c r="A576" s="1"/>
      <c r="B576" s="284">
        <v>1.1000000000000001</v>
      </c>
      <c r="C576" s="1">
        <f>$C$575+(B576-$B$575)*($C$581-$C$575)/($B$581-$B$575)</f>
        <v>3.4666666666666659</v>
      </c>
      <c r="D576" s="1">
        <f>$D$575+(B576-$B$575)*($D$581-$D$575)/($B$581-$B$575)</f>
        <v>3</v>
      </c>
      <c r="E576" s="612" t="s">
        <v>282</v>
      </c>
      <c r="I576" s="1"/>
      <c r="J576" s="1"/>
      <c r="K576" s="1"/>
      <c r="L576" s="281"/>
    </row>
    <row r="577" spans="1:12" outlineLevel="1">
      <c r="A577" s="1"/>
      <c r="B577" s="284">
        <v>1</v>
      </c>
      <c r="C577" s="1">
        <f>$C$575+(B577-$B$575)*($C$581-$C$575)/($B$581-$B$575)</f>
        <v>3.9333333333333331</v>
      </c>
      <c r="D577" s="1">
        <f>$D$575+(B577-$B$575)*($D$581-$D$575)/($B$581-$B$575)</f>
        <v>3.3</v>
      </c>
      <c r="E577" s="612"/>
      <c r="I577" s="1"/>
      <c r="J577" s="1"/>
      <c r="K577" s="1"/>
      <c r="L577" s="281"/>
    </row>
    <row r="578" spans="1:12" outlineLevel="1">
      <c r="A578" s="1"/>
      <c r="B578" s="284">
        <v>0.9</v>
      </c>
      <c r="C578" s="1">
        <f>$C$575+(B578-$B$575)*($C$581-$C$575)/($B$581-$B$575)</f>
        <v>4.3999999999999995</v>
      </c>
      <c r="D578" s="1">
        <f>$D$575+(B578-$B$575)*($D$581-$D$575)/($B$581-$B$575)</f>
        <v>3.5999999999999996</v>
      </c>
      <c r="E578" s="612"/>
      <c r="I578" s="1"/>
      <c r="J578" s="1"/>
      <c r="K578" s="1"/>
      <c r="L578" s="281"/>
    </row>
    <row r="579" spans="1:12" outlineLevel="1">
      <c r="A579" s="1"/>
      <c r="B579" s="284">
        <v>0.8</v>
      </c>
      <c r="C579" s="1">
        <f>$C$575+(B579-$B$575)*($C$581-$C$575)/($B$581-$B$575)</f>
        <v>4.8666666666666663</v>
      </c>
      <c r="D579" s="1">
        <f>$D$575+(B579-$B$575)*($D$581-$D$575)/($B$581-$B$575)</f>
        <v>3.9</v>
      </c>
      <c r="E579" s="612"/>
      <c r="I579" s="1"/>
      <c r="J579" s="1"/>
      <c r="K579" s="1"/>
      <c r="L579" s="281"/>
    </row>
    <row r="580" spans="1:12" outlineLevel="1">
      <c r="A580" s="1"/>
      <c r="B580" s="284">
        <v>0.7</v>
      </c>
      <c r="C580" s="1">
        <f>$C$575+(B580-$B$575)*($C$581-$C$575)/($B$581-$B$575)</f>
        <v>5.3333333333333339</v>
      </c>
      <c r="D580" s="1">
        <f>$D$575+(B580-$B$575)*($D$581-$D$575)/($B$581-$B$575)</f>
        <v>4.2</v>
      </c>
      <c r="E580" s="612"/>
      <c r="I580" s="1"/>
      <c r="J580" s="1"/>
      <c r="K580" s="1"/>
      <c r="L580" s="281"/>
    </row>
    <row r="581" spans="1:12" outlineLevel="1">
      <c r="A581" s="1"/>
      <c r="B581" s="283">
        <v>0.6</v>
      </c>
      <c r="C581" s="283">
        <v>5.8</v>
      </c>
      <c r="D581" s="283">
        <v>4.5</v>
      </c>
      <c r="E581" s="1"/>
      <c r="I581" s="1"/>
      <c r="J581" s="1"/>
      <c r="K581" s="1"/>
      <c r="L581" s="281"/>
    </row>
    <row r="582" spans="1:12" outlineLevel="1">
      <c r="A582" s="1"/>
      <c r="B582" s="284">
        <v>0.5</v>
      </c>
      <c r="C582" s="1">
        <f>$C$581+(B582-$B$581)*($C$587-$C$581)/($B$587-$B$581)</f>
        <v>6.2833333333333332</v>
      </c>
      <c r="D582" s="1">
        <f>$D$581+(B582-$B$581)*($D$587-$D$581)/($B$587-$B$581)</f>
        <v>4.8</v>
      </c>
      <c r="E582" s="612" t="s">
        <v>282</v>
      </c>
      <c r="I582" s="1"/>
      <c r="J582" s="1"/>
      <c r="K582" s="1"/>
      <c r="L582" s="281"/>
    </row>
    <row r="583" spans="1:12" outlineLevel="1">
      <c r="A583" s="1"/>
      <c r="B583" s="284">
        <v>0.4</v>
      </c>
      <c r="C583" s="1">
        <f>$C$581+(B583-$B$581)*($C$587-$C$581)/($B$587-$B$581)</f>
        <v>6.7666666666666657</v>
      </c>
      <c r="D583" s="1">
        <f>$D$581+(B583-$B$581)*($D$587-$D$581)/($B$587-$B$581)</f>
        <v>5.0999999999999996</v>
      </c>
      <c r="E583" s="612"/>
      <c r="I583" s="1"/>
      <c r="J583" s="1"/>
      <c r="K583" s="1"/>
      <c r="L583" s="281"/>
    </row>
    <row r="584" spans="1:12" outlineLevel="1">
      <c r="A584" s="1"/>
      <c r="B584" s="284">
        <v>0.3</v>
      </c>
      <c r="C584" s="1">
        <f>$C$581+(B584-$B$581)*($C$587-$C$581)/($B$587-$B$581)</f>
        <v>7.25</v>
      </c>
      <c r="D584" s="1">
        <f>$D$581+(B584-$B$581)*($D$587-$D$581)/($B$587-$B$581)</f>
        <v>5.4</v>
      </c>
      <c r="E584" s="612"/>
      <c r="I584" s="1"/>
      <c r="J584" s="1"/>
      <c r="K584" s="1"/>
      <c r="L584" s="281"/>
    </row>
    <row r="585" spans="1:12" outlineLevel="1">
      <c r="A585" s="1"/>
      <c r="B585" s="284">
        <v>0.2</v>
      </c>
      <c r="C585" s="1">
        <f>$C$581+(B585-$B$581)*($C$587-$C$581)/($B$587-$B$581)</f>
        <v>7.7333333333333325</v>
      </c>
      <c r="D585" s="1">
        <f>$D$581+(B585-$B$581)*($D$587-$D$581)/($B$587-$B$581)</f>
        <v>5.6999999999999993</v>
      </c>
      <c r="E585" s="612"/>
      <c r="I585" s="1"/>
      <c r="J585" s="1"/>
      <c r="K585" s="1"/>
      <c r="L585" s="281"/>
    </row>
    <row r="586" spans="1:12" outlineLevel="1">
      <c r="A586" s="1"/>
      <c r="B586" s="284">
        <v>0.1</v>
      </c>
      <c r="C586" s="1">
        <f>$C$581+(B586-$B$581)*($C$587-$C$581)/($B$587-$B$581)</f>
        <v>8.2166666666666668</v>
      </c>
      <c r="D586" s="1">
        <f>$D$581+(B586-$B$581)*($D$587-$D$581)/($B$587-$B$581)</f>
        <v>6</v>
      </c>
      <c r="E586" s="612"/>
      <c r="I586" s="1"/>
      <c r="J586" s="1"/>
      <c r="K586" s="1"/>
      <c r="L586" s="281"/>
    </row>
    <row r="587" spans="1:12" outlineLevel="1">
      <c r="A587" s="1"/>
      <c r="B587" s="283">
        <v>0</v>
      </c>
      <c r="C587" s="283">
        <v>8.6999999999999993</v>
      </c>
      <c r="D587" s="283">
        <v>6.3</v>
      </c>
      <c r="E587" s="1"/>
      <c r="I587" s="1"/>
      <c r="J587" s="1"/>
      <c r="K587" s="1"/>
      <c r="L587" s="281"/>
    </row>
    <row r="588" spans="1:12" outlineLevel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281"/>
    </row>
    <row r="589" spans="1:12" ht="25.5" outlineLevel="1">
      <c r="A589" s="1" t="s">
        <v>283</v>
      </c>
      <c r="B589" s="1" t="s">
        <v>284</v>
      </c>
      <c r="C589" s="1" t="s">
        <v>285</v>
      </c>
      <c r="D589" s="1"/>
      <c r="E589" s="1"/>
      <c r="F589" s="1"/>
      <c r="G589" s="1"/>
      <c r="H589" s="1"/>
      <c r="I589" s="1"/>
      <c r="J589" s="1"/>
      <c r="K589" s="1"/>
      <c r="L589" s="281"/>
    </row>
    <row r="590" spans="1:12" ht="25.5" outlineLevel="1">
      <c r="A590" s="1"/>
      <c r="B590" s="1" t="s">
        <v>286</v>
      </c>
      <c r="C590" s="1">
        <v>2.6</v>
      </c>
      <c r="D590" s="1"/>
      <c r="E590" s="1"/>
      <c r="F590" s="1"/>
      <c r="G590" s="1"/>
      <c r="H590" s="1"/>
      <c r="I590" s="1"/>
      <c r="J590" s="1"/>
      <c r="K590" s="1"/>
      <c r="L590" s="281"/>
    </row>
    <row r="591" spans="1:12" ht="25.5" outlineLevel="1">
      <c r="A591" s="1"/>
      <c r="B591" s="1" t="s">
        <v>287</v>
      </c>
      <c r="C591" s="1">
        <v>0</v>
      </c>
      <c r="D591" s="1"/>
      <c r="E591" s="1"/>
      <c r="F591" s="1"/>
      <c r="G591" s="1"/>
      <c r="H591" s="1"/>
      <c r="I591" s="1"/>
      <c r="J591" s="1"/>
      <c r="K591" s="1"/>
      <c r="L591" s="281"/>
    </row>
    <row r="592" spans="1:12" outlineLevel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281"/>
    </row>
    <row r="593" spans="1:12" ht="38.25" outlineLevel="1">
      <c r="A593" s="1" t="s">
        <v>288</v>
      </c>
      <c r="B593" s="1" t="s">
        <v>45</v>
      </c>
      <c r="C593" s="1" t="s">
        <v>46</v>
      </c>
      <c r="D593" s="1"/>
      <c r="E593" s="1"/>
      <c r="F593" s="1"/>
      <c r="G593" s="1"/>
      <c r="H593" s="1"/>
      <c r="I593" s="1"/>
      <c r="J593" s="1"/>
      <c r="K593" s="1"/>
      <c r="L593" s="281"/>
    </row>
    <row r="594" spans="1:12" outlineLevel="1">
      <c r="A594" s="1"/>
      <c r="B594" s="1">
        <v>0</v>
      </c>
      <c r="C594" s="1">
        <v>0</v>
      </c>
      <c r="D594" s="1"/>
      <c r="E594" s="1"/>
      <c r="F594" s="1"/>
      <c r="G594" s="1"/>
      <c r="H594" s="1"/>
      <c r="I594" s="1"/>
      <c r="J594" s="1"/>
      <c r="K594" s="1"/>
      <c r="L594" s="281"/>
    </row>
    <row r="595" spans="1:12" outlineLevel="1">
      <c r="A595" s="1"/>
      <c r="B595" s="1">
        <v>6</v>
      </c>
      <c r="C595" s="1">
        <v>4</v>
      </c>
      <c r="D595" s="1"/>
      <c r="E595" s="1"/>
      <c r="F595" s="1"/>
      <c r="G595" s="1"/>
      <c r="H595" s="1"/>
      <c r="I595" s="1"/>
      <c r="J595" s="1"/>
      <c r="K595" s="1"/>
      <c r="L595" s="281"/>
    </row>
    <row r="596" spans="1:12" outlineLevel="1">
      <c r="A596" s="1"/>
      <c r="B596" s="1">
        <v>12</v>
      </c>
      <c r="C596" s="1">
        <v>8</v>
      </c>
      <c r="D596" s="1"/>
      <c r="E596" s="1"/>
      <c r="F596" s="1"/>
      <c r="G596" s="1"/>
      <c r="H596" s="1"/>
      <c r="I596" s="1"/>
      <c r="J596" s="1"/>
      <c r="K596" s="1"/>
      <c r="L596" s="281"/>
    </row>
    <row r="597" spans="1:12" outlineLevel="1">
      <c r="A597" s="1"/>
      <c r="B597" s="1">
        <v>18</v>
      </c>
      <c r="C597" s="1">
        <v>12</v>
      </c>
      <c r="D597" s="1"/>
      <c r="E597" s="1"/>
      <c r="F597" s="1"/>
      <c r="G597" s="1"/>
      <c r="H597" s="1"/>
      <c r="I597" s="1"/>
      <c r="J597" s="1"/>
      <c r="K597" s="1"/>
      <c r="L597" s="281"/>
    </row>
    <row r="598" spans="1:12" outlineLevel="1">
      <c r="A598" s="1"/>
      <c r="B598" s="1" t="s">
        <v>47</v>
      </c>
      <c r="C598" s="1">
        <v>16</v>
      </c>
      <c r="D598" s="1"/>
      <c r="E598" s="1"/>
      <c r="F598" s="1"/>
      <c r="G598" s="1"/>
      <c r="H598" s="1"/>
      <c r="I598" s="1"/>
      <c r="J598" s="1"/>
      <c r="K598" s="1"/>
      <c r="L598" s="281"/>
    </row>
    <row r="599" spans="1:12" outlineLevel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281"/>
    </row>
    <row r="600" spans="1:12" ht="25.5" outlineLevel="1">
      <c r="A600" s="1" t="s">
        <v>289</v>
      </c>
      <c r="B600" s="1" t="s">
        <v>290</v>
      </c>
      <c r="C600" s="1"/>
      <c r="D600" s="1"/>
      <c r="E600" s="1"/>
      <c r="F600" s="1"/>
      <c r="G600" s="1"/>
      <c r="H600" s="1"/>
      <c r="I600" s="1"/>
      <c r="J600" s="1"/>
      <c r="K600" s="1"/>
      <c r="L600" s="281"/>
    </row>
    <row r="601" spans="1:12" outlineLevel="1">
      <c r="A601" s="1"/>
      <c r="B601" s="1" t="s">
        <v>291</v>
      </c>
      <c r="C601" s="1" t="s">
        <v>292</v>
      </c>
      <c r="D601" s="1" t="s">
        <v>293</v>
      </c>
      <c r="E601" s="1" t="s">
        <v>294</v>
      </c>
      <c r="F601" s="1"/>
      <c r="G601" s="1"/>
      <c r="H601" s="1"/>
      <c r="I601" s="1"/>
      <c r="J601" s="1"/>
      <c r="K601" s="1"/>
      <c r="L601" s="281"/>
    </row>
    <row r="602" spans="1:12" ht="25.5" outlineLevel="1">
      <c r="A602" s="1"/>
      <c r="B602" s="1" t="s">
        <v>295</v>
      </c>
      <c r="C602" s="1">
        <v>1.5</v>
      </c>
      <c r="D602" s="1">
        <v>2.5</v>
      </c>
      <c r="E602" s="1">
        <v>4.5</v>
      </c>
      <c r="F602" s="1"/>
      <c r="G602" s="1"/>
      <c r="H602" s="1"/>
      <c r="I602" s="1"/>
      <c r="J602" s="1"/>
      <c r="K602" s="1"/>
      <c r="L602" s="281"/>
    </row>
    <row r="603" spans="1:12" ht="25.5" outlineLevel="1">
      <c r="A603" s="1"/>
      <c r="B603" s="1" t="s">
        <v>296</v>
      </c>
      <c r="C603" s="1">
        <v>1.2</v>
      </c>
      <c r="D603" s="1">
        <v>2</v>
      </c>
      <c r="E603" s="1">
        <v>4</v>
      </c>
      <c r="F603" s="1"/>
      <c r="G603" s="1"/>
      <c r="H603" s="1"/>
      <c r="I603" s="1"/>
      <c r="J603" s="1"/>
      <c r="K603" s="1"/>
      <c r="L603" s="281"/>
    </row>
    <row r="604" spans="1:12" outlineLevel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281"/>
    </row>
    <row r="605" spans="1:12" ht="25.5" outlineLevel="1">
      <c r="A605" s="1"/>
      <c r="B605" s="1" t="s">
        <v>291</v>
      </c>
      <c r="C605" s="1" t="s">
        <v>295</v>
      </c>
      <c r="D605" s="3"/>
      <c r="E605" s="1" t="s">
        <v>291</v>
      </c>
      <c r="F605" s="1" t="s">
        <v>296</v>
      </c>
      <c r="G605" s="1"/>
      <c r="H605" s="1"/>
      <c r="I605" s="1"/>
      <c r="J605" s="1"/>
      <c r="K605" s="1"/>
      <c r="L605" s="281"/>
    </row>
    <row r="606" spans="1:12" outlineLevel="1">
      <c r="A606" s="1"/>
      <c r="B606" s="1" t="s">
        <v>292</v>
      </c>
      <c r="C606" s="1">
        <v>1.5</v>
      </c>
      <c r="D606" s="3"/>
      <c r="E606" s="1" t="s">
        <v>292</v>
      </c>
      <c r="F606" s="1">
        <v>1.2</v>
      </c>
      <c r="G606" s="1"/>
      <c r="H606" s="1"/>
      <c r="I606" s="1"/>
      <c r="J606" s="1"/>
      <c r="K606" s="1"/>
      <c r="L606" s="281"/>
    </row>
    <row r="607" spans="1:12" outlineLevel="1">
      <c r="A607" s="1"/>
      <c r="B607" s="1" t="s">
        <v>293</v>
      </c>
      <c r="C607" s="1">
        <v>2.5</v>
      </c>
      <c r="D607" s="3"/>
      <c r="E607" s="1" t="s">
        <v>293</v>
      </c>
      <c r="F607" s="1">
        <v>2</v>
      </c>
      <c r="G607" s="1"/>
      <c r="H607" s="1"/>
      <c r="I607" s="1"/>
      <c r="J607" s="1"/>
      <c r="K607" s="1"/>
      <c r="L607" s="281"/>
    </row>
    <row r="608" spans="1:12" outlineLevel="1">
      <c r="A608" s="1"/>
      <c r="B608" s="1" t="s">
        <v>294</v>
      </c>
      <c r="C608" s="1">
        <v>4.5</v>
      </c>
      <c r="D608" s="3"/>
      <c r="E608" s="1" t="s">
        <v>294</v>
      </c>
      <c r="F608" s="1">
        <v>4</v>
      </c>
      <c r="G608" s="1"/>
      <c r="H608" s="1"/>
      <c r="I608" s="1"/>
      <c r="J608" s="1"/>
      <c r="K608" s="1"/>
      <c r="L608" s="281"/>
    </row>
    <row r="609" spans="1:28" outlineLevel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281"/>
    </row>
    <row r="610" spans="1:28" s="365" customFormat="1" ht="51" outlineLevel="1">
      <c r="A610" s="366" t="s">
        <v>297</v>
      </c>
      <c r="B610" s="366"/>
      <c r="C610" s="366" t="s">
        <v>298</v>
      </c>
      <c r="D610" s="366" t="s">
        <v>299</v>
      </c>
      <c r="E610" s="366" t="s">
        <v>300</v>
      </c>
      <c r="F610" s="366"/>
      <c r="G610" s="366"/>
      <c r="H610" s="366"/>
      <c r="I610" s="366"/>
      <c r="J610" s="366">
        <v>3</v>
      </c>
      <c r="K610" s="366"/>
      <c r="L610" s="366"/>
      <c r="M610" s="369"/>
    </row>
    <row r="611" spans="1:28" s="365" customFormat="1" ht="25.5" outlineLevel="1">
      <c r="A611" s="366" t="s">
        <v>301</v>
      </c>
      <c r="B611" s="366"/>
      <c r="C611" s="367" t="s">
        <v>403</v>
      </c>
      <c r="D611" s="367" t="s">
        <v>404</v>
      </c>
      <c r="E611" s="367">
        <v>2</v>
      </c>
      <c r="F611" s="367">
        <v>4</v>
      </c>
      <c r="G611" s="367">
        <v>5</v>
      </c>
      <c r="H611" s="367">
        <v>6</v>
      </c>
      <c r="I611" s="367">
        <v>8</v>
      </c>
      <c r="J611" s="367">
        <v>10</v>
      </c>
      <c r="K611" s="367">
        <v>15</v>
      </c>
      <c r="L611" s="367">
        <v>20</v>
      </c>
      <c r="M611" s="368">
        <v>25</v>
      </c>
      <c r="R611" s="324" t="s">
        <v>496</v>
      </c>
      <c r="S611" s="3" t="s">
        <v>416</v>
      </c>
      <c r="T611" s="3"/>
      <c r="U611" s="3"/>
      <c r="V611" s="3"/>
      <c r="W611" s="3"/>
      <c r="X611" s="3"/>
      <c r="Y611" s="3"/>
      <c r="Z611" s="3"/>
      <c r="AA611" s="3"/>
      <c r="AB611" s="3"/>
    </row>
    <row r="612" spans="1:28" s="374" customFormat="1" outlineLevel="1">
      <c r="A612" s="370">
        <v>2</v>
      </c>
      <c r="B612" s="371" t="s">
        <v>302</v>
      </c>
      <c r="C612" s="372">
        <v>2</v>
      </c>
      <c r="D612" s="488" t="s">
        <v>402</v>
      </c>
      <c r="E612" s="371">
        <v>1.5</v>
      </c>
      <c r="F612" s="371">
        <v>1.5</v>
      </c>
      <c r="G612" s="371">
        <v>1.5</v>
      </c>
      <c r="H612" s="371">
        <v>1.5</v>
      </c>
      <c r="I612" s="371">
        <v>1.5</v>
      </c>
      <c r="J612" s="371">
        <v>1.5</v>
      </c>
      <c r="K612" s="371">
        <v>1.5</v>
      </c>
      <c r="L612" s="371">
        <v>1.5</v>
      </c>
      <c r="M612" s="373">
        <v>1.5</v>
      </c>
      <c r="R612" s="440"/>
      <c r="S612" s="440"/>
      <c r="T612" s="440">
        <v>2</v>
      </c>
      <c r="U612" s="440">
        <v>4</v>
      </c>
      <c r="V612" s="440">
        <v>5</v>
      </c>
      <c r="W612" s="440">
        <v>6</v>
      </c>
      <c r="X612" s="440">
        <v>8</v>
      </c>
      <c r="Y612" s="440">
        <v>10</v>
      </c>
      <c r="Z612" s="440">
        <v>15</v>
      </c>
      <c r="AA612" s="440">
        <v>20</v>
      </c>
      <c r="AB612" s="440">
        <v>25</v>
      </c>
    </row>
    <row r="613" spans="1:28" outlineLevel="1">
      <c r="A613" s="481" t="s">
        <v>303</v>
      </c>
      <c r="B613" s="356" t="s">
        <v>304</v>
      </c>
      <c r="C613" s="292">
        <v>2</v>
      </c>
      <c r="D613" s="342">
        <v>0</v>
      </c>
      <c r="E613" s="356">
        <v>1.5</v>
      </c>
      <c r="F613" s="356">
        <v>1.5</v>
      </c>
      <c r="G613" s="356">
        <v>1.5</v>
      </c>
      <c r="H613" s="356">
        <v>1.5</v>
      </c>
      <c r="I613" s="356">
        <v>1.5</v>
      </c>
      <c r="J613" s="356">
        <v>1.5</v>
      </c>
      <c r="K613" s="356">
        <v>1.5</v>
      </c>
      <c r="L613" s="357">
        <v>1.5</v>
      </c>
      <c r="M613" s="358">
        <v>1.5</v>
      </c>
      <c r="N613" s="273"/>
      <c r="R613" s="481" t="s">
        <v>303</v>
      </c>
      <c r="S613" s="356" t="s">
        <v>497</v>
      </c>
      <c r="T613" s="440">
        <v>1.2</v>
      </c>
      <c r="U613" s="440">
        <v>1.2</v>
      </c>
      <c r="V613" s="440">
        <v>1.2</v>
      </c>
      <c r="W613" s="440">
        <v>1.2</v>
      </c>
      <c r="X613" s="440">
        <v>1.2</v>
      </c>
      <c r="Y613" s="440">
        <v>1.2</v>
      </c>
      <c r="Z613" s="440">
        <v>1.2</v>
      </c>
      <c r="AA613" s="440">
        <v>1.2</v>
      </c>
      <c r="AB613" s="440">
        <v>1.2</v>
      </c>
    </row>
    <row r="614" spans="1:28" outlineLevel="1">
      <c r="A614" s="481"/>
      <c r="B614" s="356" t="s">
        <v>305</v>
      </c>
      <c r="C614" s="292">
        <v>2</v>
      </c>
      <c r="D614" s="342">
        <v>0.4</v>
      </c>
      <c r="E614" s="356">
        <v>1.5</v>
      </c>
      <c r="F614" s="356">
        <v>1.5</v>
      </c>
      <c r="G614" s="356">
        <v>1.5</v>
      </c>
      <c r="H614" s="356">
        <v>1.5</v>
      </c>
      <c r="I614" s="356">
        <v>1.5</v>
      </c>
      <c r="J614" s="356">
        <v>1.5</v>
      </c>
      <c r="K614" s="356">
        <v>1.5</v>
      </c>
      <c r="L614" s="357">
        <v>1.5</v>
      </c>
      <c r="M614" s="358">
        <v>1.5</v>
      </c>
      <c r="N614" s="273"/>
      <c r="R614" s="440"/>
      <c r="S614" s="440" t="s">
        <v>498</v>
      </c>
      <c r="T614" s="440">
        <v>3</v>
      </c>
      <c r="U614" s="440">
        <v>1.5</v>
      </c>
      <c r="V614" s="440">
        <v>1.5</v>
      </c>
      <c r="W614" s="440">
        <v>1.5</v>
      </c>
      <c r="X614" s="440">
        <v>1.5</v>
      </c>
      <c r="Y614" s="440">
        <v>1.5</v>
      </c>
      <c r="Z614" s="440">
        <v>1.2</v>
      </c>
      <c r="AA614" s="440">
        <v>1.2</v>
      </c>
      <c r="AB614" s="440">
        <v>1.2</v>
      </c>
    </row>
    <row r="615" spans="1:28" outlineLevel="1">
      <c r="A615" s="481"/>
      <c r="B615" s="356" t="s">
        <v>306</v>
      </c>
      <c r="C615" s="292">
        <v>2</v>
      </c>
      <c r="D615" s="342">
        <v>0.8</v>
      </c>
      <c r="E615" s="356">
        <v>1.5</v>
      </c>
      <c r="F615" s="356">
        <v>1.5</v>
      </c>
      <c r="G615" s="356">
        <v>1.5</v>
      </c>
      <c r="H615" s="356">
        <v>1.5</v>
      </c>
      <c r="I615" s="356">
        <v>1.5</v>
      </c>
      <c r="J615" s="356">
        <v>1.5</v>
      </c>
      <c r="K615" s="356">
        <v>1.5</v>
      </c>
      <c r="L615" s="357">
        <v>1.5</v>
      </c>
      <c r="M615" s="357">
        <v>1.5</v>
      </c>
      <c r="N615" s="273"/>
      <c r="R615" s="481" t="s">
        <v>310</v>
      </c>
      <c r="S615" s="356" t="s">
        <v>304</v>
      </c>
      <c r="T615" s="440">
        <v>1.2</v>
      </c>
      <c r="U615" s="440">
        <v>1.2</v>
      </c>
      <c r="V615" s="440">
        <v>1.2</v>
      </c>
      <c r="W615" s="440">
        <v>1.2</v>
      </c>
      <c r="X615" s="440">
        <v>1.2</v>
      </c>
      <c r="Y615" s="440">
        <v>1.2</v>
      </c>
      <c r="Z615" s="440">
        <v>1.2</v>
      </c>
      <c r="AA615" s="440">
        <v>1.2</v>
      </c>
      <c r="AB615" s="440">
        <v>1.2</v>
      </c>
    </row>
    <row r="616" spans="1:28" outlineLevel="1">
      <c r="A616" s="481"/>
      <c r="B616" s="356" t="s">
        <v>307</v>
      </c>
      <c r="C616" s="292">
        <v>2</v>
      </c>
      <c r="D616" s="342">
        <v>1.2000000000000002</v>
      </c>
      <c r="E616" s="356">
        <v>2</v>
      </c>
      <c r="F616" s="356">
        <v>2</v>
      </c>
      <c r="G616" s="356">
        <v>2</v>
      </c>
      <c r="H616" s="356">
        <v>2</v>
      </c>
      <c r="I616" s="356">
        <v>1.5</v>
      </c>
      <c r="J616" s="356">
        <v>1.5</v>
      </c>
      <c r="K616" s="356">
        <v>1.5</v>
      </c>
      <c r="L616" s="357">
        <v>1.5</v>
      </c>
      <c r="M616" s="357">
        <v>1.5</v>
      </c>
      <c r="N616" s="273"/>
      <c r="R616" s="481"/>
      <c r="S616" s="356" t="s">
        <v>305</v>
      </c>
      <c r="T616" s="440">
        <v>2.5</v>
      </c>
      <c r="U616" s="440">
        <v>2.5</v>
      </c>
      <c r="V616" s="440">
        <v>2</v>
      </c>
      <c r="W616" s="440">
        <v>2</v>
      </c>
      <c r="X616" s="440">
        <v>2</v>
      </c>
      <c r="Y616" s="440">
        <v>2</v>
      </c>
      <c r="Z616" s="440">
        <v>1.5</v>
      </c>
      <c r="AA616" s="440">
        <v>1.5</v>
      </c>
      <c r="AB616" s="440">
        <v>1.5</v>
      </c>
    </row>
    <row r="617" spans="1:28" outlineLevel="1">
      <c r="A617" s="481"/>
      <c r="B617" s="356" t="s">
        <v>308</v>
      </c>
      <c r="C617" s="292">
        <v>2</v>
      </c>
      <c r="D617" s="342">
        <v>1.6</v>
      </c>
      <c r="E617" s="356">
        <v>2.5</v>
      </c>
      <c r="F617" s="356">
        <v>2</v>
      </c>
      <c r="G617" s="356">
        <v>2.5</v>
      </c>
      <c r="H617" s="356">
        <v>2.5</v>
      </c>
      <c r="I617" s="356">
        <v>2</v>
      </c>
      <c r="J617" s="356">
        <v>2</v>
      </c>
      <c r="K617" s="356">
        <v>2</v>
      </c>
      <c r="L617" s="357">
        <v>2</v>
      </c>
      <c r="M617" s="358">
        <v>2</v>
      </c>
      <c r="N617" s="273"/>
      <c r="R617" s="481"/>
      <c r="S617" s="356" t="s">
        <v>498</v>
      </c>
      <c r="T617" s="440">
        <v>3</v>
      </c>
      <c r="U617" s="440">
        <v>2.5</v>
      </c>
      <c r="V617" s="440">
        <v>2.5</v>
      </c>
      <c r="W617" s="440">
        <v>2.5</v>
      </c>
      <c r="X617" s="440">
        <v>2</v>
      </c>
      <c r="Y617" s="440">
        <v>2</v>
      </c>
      <c r="Z617" s="440">
        <v>2</v>
      </c>
      <c r="AA617" s="440">
        <v>1.5</v>
      </c>
      <c r="AB617" s="440">
        <v>1.5</v>
      </c>
    </row>
    <row r="618" spans="1:28" s="365" customFormat="1" outlineLevel="1">
      <c r="A618" s="361"/>
      <c r="B618" s="362" t="s">
        <v>309</v>
      </c>
      <c r="C618" s="363">
        <v>2</v>
      </c>
      <c r="D618" s="342">
        <v>2.4</v>
      </c>
      <c r="E618" s="362">
        <v>3</v>
      </c>
      <c r="F618" s="362">
        <v>3</v>
      </c>
      <c r="G618" s="362">
        <v>2.5</v>
      </c>
      <c r="H618" s="362">
        <v>2.5</v>
      </c>
      <c r="I618" s="362">
        <v>2</v>
      </c>
      <c r="J618" s="362">
        <v>2</v>
      </c>
      <c r="K618" s="362">
        <v>2</v>
      </c>
      <c r="L618" s="362">
        <v>2</v>
      </c>
      <c r="M618" s="364">
        <v>2</v>
      </c>
      <c r="R618" s="481" t="s">
        <v>313</v>
      </c>
      <c r="S618" s="356" t="s">
        <v>304</v>
      </c>
      <c r="T618" s="440">
        <v>2.5</v>
      </c>
      <c r="U618" s="440">
        <v>2</v>
      </c>
      <c r="V618" s="440">
        <v>2</v>
      </c>
      <c r="W618" s="440">
        <v>2</v>
      </c>
      <c r="X618" s="440">
        <v>1.5</v>
      </c>
      <c r="Y618" s="440">
        <v>1.5</v>
      </c>
      <c r="Z618" s="440">
        <v>1.5</v>
      </c>
      <c r="AA618" s="440">
        <v>1.5</v>
      </c>
      <c r="AB618" s="440">
        <v>1.5</v>
      </c>
    </row>
    <row r="619" spans="1:28" outlineLevel="1">
      <c r="A619" s="481" t="s">
        <v>310</v>
      </c>
      <c r="B619" s="356" t="s">
        <v>304</v>
      </c>
      <c r="C619" s="292">
        <v>3</v>
      </c>
      <c r="D619" s="342">
        <v>0</v>
      </c>
      <c r="E619" s="356">
        <v>1.5</v>
      </c>
      <c r="F619" s="356">
        <v>1.5</v>
      </c>
      <c r="G619" s="356">
        <v>1.5</v>
      </c>
      <c r="H619" s="356">
        <v>1.5</v>
      </c>
      <c r="I619" s="356">
        <v>1.5</v>
      </c>
      <c r="J619" s="356">
        <v>1.5</v>
      </c>
      <c r="K619" s="356">
        <v>1.5</v>
      </c>
      <c r="L619" s="357">
        <v>1.5</v>
      </c>
      <c r="M619" s="358">
        <v>1.5</v>
      </c>
      <c r="N619" s="273"/>
      <c r="O619" s="359" t="s">
        <v>230</v>
      </c>
      <c r="P619" s="359">
        <v>9.5</v>
      </c>
      <c r="R619" s="481"/>
      <c r="S619" s="356" t="s">
        <v>305</v>
      </c>
      <c r="T619" s="440">
        <v>4</v>
      </c>
      <c r="U619" s="440">
        <v>3</v>
      </c>
      <c r="V619" s="440">
        <v>3</v>
      </c>
      <c r="W619" s="440">
        <v>3</v>
      </c>
      <c r="X619" s="440">
        <v>2.5</v>
      </c>
      <c r="Y619" s="440">
        <v>2.5</v>
      </c>
      <c r="Z619" s="440">
        <v>2</v>
      </c>
      <c r="AA619" s="440">
        <v>2</v>
      </c>
      <c r="AB619" s="440">
        <v>2</v>
      </c>
    </row>
    <row r="620" spans="1:28" outlineLevel="1">
      <c r="A620" s="481"/>
      <c r="B620" s="356" t="s">
        <v>305</v>
      </c>
      <c r="C620" s="292">
        <v>3</v>
      </c>
      <c r="D620" s="342">
        <v>0.4</v>
      </c>
      <c r="E620" s="356">
        <v>2</v>
      </c>
      <c r="F620" s="356">
        <v>2</v>
      </c>
      <c r="G620" s="356">
        <v>2</v>
      </c>
      <c r="H620" s="356">
        <v>2</v>
      </c>
      <c r="I620" s="356">
        <v>2</v>
      </c>
      <c r="J620" s="356">
        <v>2</v>
      </c>
      <c r="K620" s="356">
        <v>2</v>
      </c>
      <c r="L620" s="357">
        <v>2</v>
      </c>
      <c r="M620" s="358">
        <v>2</v>
      </c>
      <c r="N620" s="273"/>
      <c r="O620" s="359" t="s">
        <v>400</v>
      </c>
      <c r="P620" s="360">
        <v>8</v>
      </c>
      <c r="R620" s="481"/>
      <c r="S620" s="356" t="s">
        <v>498</v>
      </c>
      <c r="T620" s="440">
        <v>4.5</v>
      </c>
      <c r="U620" s="440">
        <v>3.5</v>
      </c>
      <c r="V620" s="440">
        <v>3</v>
      </c>
      <c r="W620" s="440">
        <v>3</v>
      </c>
      <c r="X620" s="440">
        <v>3</v>
      </c>
      <c r="Y620" s="440">
        <v>2.5</v>
      </c>
      <c r="Z620" s="440">
        <v>2.5</v>
      </c>
      <c r="AA620" s="440">
        <v>2</v>
      </c>
      <c r="AB620" s="440">
        <v>2</v>
      </c>
    </row>
    <row r="621" spans="1:28" outlineLevel="1">
      <c r="A621" s="481"/>
      <c r="B621" s="356" t="s">
        <v>311</v>
      </c>
      <c r="C621" s="292">
        <v>3</v>
      </c>
      <c r="D621" s="342">
        <v>0.8</v>
      </c>
      <c r="E621" s="356">
        <v>2.5</v>
      </c>
      <c r="F621" s="356">
        <v>2.5</v>
      </c>
      <c r="G621" s="356">
        <v>2</v>
      </c>
      <c r="H621" s="356">
        <v>2</v>
      </c>
      <c r="I621" s="356">
        <v>2</v>
      </c>
      <c r="J621" s="356">
        <v>2</v>
      </c>
      <c r="K621" s="356">
        <v>2</v>
      </c>
      <c r="L621" s="357">
        <v>2</v>
      </c>
      <c r="M621" s="357">
        <v>2</v>
      </c>
      <c r="N621" s="273"/>
      <c r="O621" s="359" t="s">
        <v>405</v>
      </c>
      <c r="P621" s="360">
        <v>1.3</v>
      </c>
      <c r="R621" s="440" t="s">
        <v>499</v>
      </c>
      <c r="S621" s="356" t="s">
        <v>304</v>
      </c>
      <c r="T621" s="440">
        <v>4</v>
      </c>
      <c r="U621" s="440">
        <v>3</v>
      </c>
      <c r="V621" s="440">
        <v>2.5</v>
      </c>
      <c r="W621" s="440">
        <v>2.5</v>
      </c>
      <c r="X621" s="440">
        <v>2.5</v>
      </c>
      <c r="Y621" s="440">
        <v>2</v>
      </c>
      <c r="Z621" s="440">
        <v>2</v>
      </c>
      <c r="AA621" s="440">
        <v>2</v>
      </c>
      <c r="AB621" s="440">
        <v>1.5</v>
      </c>
    </row>
    <row r="622" spans="1:28" outlineLevel="1">
      <c r="A622" s="481"/>
      <c r="B622" s="356" t="s">
        <v>307</v>
      </c>
      <c r="C622" s="292">
        <v>3</v>
      </c>
      <c r="D622" s="342">
        <v>1.2000000000000002</v>
      </c>
      <c r="E622" s="356">
        <v>3</v>
      </c>
      <c r="F622" s="356">
        <v>3</v>
      </c>
      <c r="G622" s="356">
        <v>2.5</v>
      </c>
      <c r="H622" s="356">
        <v>2.5</v>
      </c>
      <c r="I622" s="356">
        <v>2.5</v>
      </c>
      <c r="J622" s="356">
        <v>2.5</v>
      </c>
      <c r="K622" s="356">
        <v>2.5</v>
      </c>
      <c r="L622" s="357">
        <v>2.5</v>
      </c>
      <c r="M622" s="358">
        <v>2.5</v>
      </c>
      <c r="N622" s="273"/>
      <c r="Q622" s="380" t="e">
        <v>#REF!</v>
      </c>
      <c r="R622" s="440"/>
      <c r="S622" s="356" t="s">
        <v>305</v>
      </c>
      <c r="T622" s="440">
        <v>6</v>
      </c>
      <c r="U622" s="440">
        <v>4</v>
      </c>
      <c r="V622" s="440">
        <v>4</v>
      </c>
      <c r="W622" s="440">
        <v>3.5</v>
      </c>
      <c r="X622" s="440">
        <v>3</v>
      </c>
      <c r="Y622" s="440">
        <v>3</v>
      </c>
      <c r="Z622" s="440">
        <v>2.5</v>
      </c>
      <c r="AA622" s="440">
        <v>2.5</v>
      </c>
      <c r="AB622" s="440">
        <v>2</v>
      </c>
    </row>
    <row r="623" spans="1:28" outlineLevel="1">
      <c r="A623" s="481"/>
      <c r="B623" s="356" t="s">
        <v>312</v>
      </c>
      <c r="C623" s="292">
        <v>3</v>
      </c>
      <c r="D623" s="342">
        <v>1.6</v>
      </c>
      <c r="E623" s="356">
        <v>3.5</v>
      </c>
      <c r="F623" s="356">
        <v>3.5</v>
      </c>
      <c r="G623" s="356">
        <v>3</v>
      </c>
      <c r="H623" s="356">
        <v>3</v>
      </c>
      <c r="I623" s="356">
        <v>3</v>
      </c>
      <c r="J623" s="356">
        <v>3</v>
      </c>
      <c r="K623" s="356">
        <v>3</v>
      </c>
      <c r="L623" s="357">
        <v>3</v>
      </c>
      <c r="M623" s="358">
        <v>3</v>
      </c>
      <c r="N623" s="273"/>
      <c r="R623" s="440"/>
      <c r="S623" s="356" t="s">
        <v>498</v>
      </c>
      <c r="T623" s="440">
        <v>6</v>
      </c>
      <c r="U623" s="440">
        <v>4.5</v>
      </c>
      <c r="V623" s="440">
        <v>4</v>
      </c>
      <c r="W623" s="440">
        <v>4.5</v>
      </c>
      <c r="X623" s="440">
        <v>3.5</v>
      </c>
      <c r="Y623" s="440">
        <v>3</v>
      </c>
      <c r="Z623" s="440">
        <v>3</v>
      </c>
      <c r="AA623" s="440">
        <v>2.5</v>
      </c>
      <c r="AB623" s="440">
        <v>2</v>
      </c>
    </row>
    <row r="624" spans="1:28" s="365" customFormat="1" outlineLevel="1">
      <c r="A624" s="361"/>
      <c r="B624" s="362" t="s">
        <v>309</v>
      </c>
      <c r="C624" s="363">
        <v>3</v>
      </c>
      <c r="D624" s="342">
        <v>2.4</v>
      </c>
      <c r="E624" s="362">
        <v>4</v>
      </c>
      <c r="F624" s="362">
        <v>3.5</v>
      </c>
      <c r="G624" s="362">
        <v>3</v>
      </c>
      <c r="H624" s="362">
        <v>3</v>
      </c>
      <c r="I624" s="362">
        <v>3</v>
      </c>
      <c r="J624" s="362">
        <v>3</v>
      </c>
      <c r="K624" s="362">
        <v>3</v>
      </c>
      <c r="L624" s="362">
        <v>3</v>
      </c>
      <c r="M624" s="364">
        <v>3</v>
      </c>
    </row>
    <row r="625" spans="1:17" outlineLevel="1">
      <c r="A625" s="481" t="s">
        <v>313</v>
      </c>
      <c r="B625" s="356" t="s">
        <v>304</v>
      </c>
      <c r="C625" s="292">
        <v>4</v>
      </c>
      <c r="D625" s="342">
        <v>0</v>
      </c>
      <c r="E625" s="356">
        <v>1.5</v>
      </c>
      <c r="F625" s="356">
        <v>1.5</v>
      </c>
      <c r="G625" s="356">
        <v>1.5</v>
      </c>
      <c r="H625" s="356">
        <v>1.5</v>
      </c>
      <c r="I625" s="356">
        <v>1.5</v>
      </c>
      <c r="J625" s="356">
        <v>1.5</v>
      </c>
      <c r="K625" s="356">
        <v>1.5</v>
      </c>
      <c r="L625" s="357">
        <v>1.5</v>
      </c>
      <c r="M625" s="358">
        <v>1.5</v>
      </c>
      <c r="N625" s="273"/>
    </row>
    <row r="626" spans="1:17" outlineLevel="1">
      <c r="A626" s="481"/>
      <c r="B626" s="356" t="s">
        <v>305</v>
      </c>
      <c r="C626" s="292">
        <v>4</v>
      </c>
      <c r="D626" s="342">
        <v>0.4</v>
      </c>
      <c r="E626" s="356">
        <v>3</v>
      </c>
      <c r="F626" s="356">
        <v>2.5</v>
      </c>
      <c r="G626" s="356">
        <v>2.5</v>
      </c>
      <c r="H626" s="356">
        <v>2.5</v>
      </c>
      <c r="I626" s="356">
        <v>2</v>
      </c>
      <c r="J626" s="356">
        <v>2</v>
      </c>
      <c r="K626" s="356">
        <v>2</v>
      </c>
      <c r="L626" s="357">
        <v>2</v>
      </c>
      <c r="M626" s="358">
        <v>2</v>
      </c>
      <c r="N626" s="273"/>
      <c r="P626" s="438">
        <f>IF(P620&lt;5,MATCH(P621,'HCM2000'!$D$613:$D$618,1),MATCH(P621,'HCM2000'!$D$631:$D$636,1))-1</f>
        <v>4</v>
      </c>
      <c r="Q626" s="3" t="s">
        <v>500</v>
      </c>
    </row>
    <row r="627" spans="1:17" outlineLevel="1">
      <c r="A627" s="481"/>
      <c r="B627" s="356" t="s">
        <v>314</v>
      </c>
      <c r="C627" s="292">
        <v>4</v>
      </c>
      <c r="D627" s="342">
        <v>0.8</v>
      </c>
      <c r="E627" s="356">
        <v>3.5</v>
      </c>
      <c r="F627" s="356">
        <v>3</v>
      </c>
      <c r="G627" s="356">
        <v>3</v>
      </c>
      <c r="H627" s="356">
        <v>3</v>
      </c>
      <c r="I627" s="356">
        <v>2.5</v>
      </c>
      <c r="J627" s="356">
        <v>2.5</v>
      </c>
      <c r="K627" s="356">
        <v>2.5</v>
      </c>
      <c r="L627" s="357">
        <v>2.5</v>
      </c>
      <c r="M627" s="358">
        <v>2.5</v>
      </c>
      <c r="N627" s="273"/>
      <c r="P627" s="440">
        <f>(MATCH(P620,'HCM2000'!$C$613:$C$642,1)-5)</f>
        <v>25</v>
      </c>
      <c r="Q627" s="3" t="s">
        <v>501</v>
      </c>
    </row>
    <row r="628" spans="1:17" outlineLevel="1">
      <c r="A628" s="481"/>
      <c r="B628" s="356" t="s">
        <v>315</v>
      </c>
      <c r="C628" s="292">
        <v>4</v>
      </c>
      <c r="D628" s="342">
        <v>1.2000000000000002</v>
      </c>
      <c r="E628" s="356">
        <v>4</v>
      </c>
      <c r="F628" s="356">
        <v>3.5</v>
      </c>
      <c r="G628" s="356">
        <v>3.5</v>
      </c>
      <c r="H628" s="356">
        <v>3.5</v>
      </c>
      <c r="I628" s="356">
        <v>3</v>
      </c>
      <c r="J628" s="356">
        <v>3</v>
      </c>
      <c r="K628" s="356">
        <v>3</v>
      </c>
      <c r="L628" s="357">
        <v>3</v>
      </c>
      <c r="M628" s="358">
        <v>3</v>
      </c>
      <c r="N628" s="273"/>
      <c r="P628" s="440">
        <f>MATCH(P619,$E$611:$M$611,1)</f>
        <v>5</v>
      </c>
      <c r="Q628" s="438">
        <f>MATCH(P619,$E$611:$M$611,1)+1</f>
        <v>6</v>
      </c>
    </row>
    <row r="629" spans="1:17" outlineLevel="1">
      <c r="A629" s="481"/>
      <c r="B629" s="356" t="s">
        <v>409</v>
      </c>
      <c r="C629" s="292">
        <v>4</v>
      </c>
      <c r="D629" s="342">
        <v>1.6</v>
      </c>
      <c r="E629" s="375">
        <v>5</v>
      </c>
      <c r="F629" s="375">
        <v>4</v>
      </c>
      <c r="G629" s="375">
        <v>4</v>
      </c>
      <c r="H629" s="375">
        <v>4</v>
      </c>
      <c r="I629" s="375">
        <v>3.5</v>
      </c>
      <c r="J629" s="375">
        <v>3.5</v>
      </c>
      <c r="K629" s="375">
        <v>3</v>
      </c>
      <c r="L629" s="376">
        <v>3</v>
      </c>
      <c r="M629" s="377">
        <v>3</v>
      </c>
      <c r="N629" s="273"/>
      <c r="P629" s="440">
        <f>INDEX($E$613:$M$642,$P$626+$P$627,$P$628)</f>
        <v>4.5</v>
      </c>
      <c r="Q629" s="440">
        <f>INDEX($E$613:$M$642,$P$626+$P$627,$P$628+1)</f>
        <v>4</v>
      </c>
    </row>
    <row r="630" spans="1:17" s="365" customFormat="1" outlineLevel="1">
      <c r="A630" s="361"/>
      <c r="B630" s="362" t="s">
        <v>316</v>
      </c>
      <c r="C630" s="363">
        <v>4</v>
      </c>
      <c r="D630" s="342">
        <v>2.4</v>
      </c>
      <c r="E630" s="362">
        <v>5</v>
      </c>
      <c r="F630" s="362">
        <v>4</v>
      </c>
      <c r="G630" s="362">
        <v>4</v>
      </c>
      <c r="H630" s="362">
        <v>4</v>
      </c>
      <c r="I630" s="362">
        <v>3.5</v>
      </c>
      <c r="J630" s="362">
        <v>3.5</v>
      </c>
      <c r="K630" s="362">
        <v>3</v>
      </c>
      <c r="L630" s="362">
        <v>3</v>
      </c>
      <c r="M630" s="364">
        <v>3</v>
      </c>
      <c r="P630" s="489">
        <f>INDEX($E$613:$M$642,IF(P620&lt;5,MATCH(P621,'HCM2000'!$D$613:$D$618,1),MATCH(P621,'HCM2000'!$D$631:$D$636,1))-1+(MATCH(P620,'HCM2000'!$C$613:$C$642,1)-5),MATCH(P619,$E$611:$M$611,1))</f>
        <v>4.5</v>
      </c>
      <c r="Q630" s="365">
        <f>INDEX($E$613:$M$642,IF(P620&lt;5,MATCH(P621,'HCM2000'!$D$613:$D$618,1),MATCH(P621,'HCM2000'!$D$631:$D$636,1))-1+(MATCH(P620,'HCM2000'!$C$613:$C$642,1)-5),MATCH(P619,$E$611:$M$611,1)+1)</f>
        <v>4</v>
      </c>
    </row>
    <row r="631" spans="1:17" outlineLevel="1">
      <c r="A631" s="481" t="s">
        <v>317</v>
      </c>
      <c r="B631" s="356" t="s">
        <v>304</v>
      </c>
      <c r="C631" s="292">
        <v>5</v>
      </c>
      <c r="D631" s="342">
        <v>0</v>
      </c>
      <c r="E631" s="356">
        <v>2</v>
      </c>
      <c r="F631" s="356">
        <v>2</v>
      </c>
      <c r="G631" s="356">
        <v>1.5</v>
      </c>
      <c r="H631" s="356">
        <v>1.5</v>
      </c>
      <c r="I631" s="356">
        <v>1.5</v>
      </c>
      <c r="J631" s="356">
        <v>1.5</v>
      </c>
      <c r="K631" s="356">
        <v>1.5</v>
      </c>
      <c r="L631" s="357">
        <v>1.5</v>
      </c>
      <c r="M631" s="358">
        <v>1.5</v>
      </c>
      <c r="N631" s="273"/>
    </row>
    <row r="632" spans="1:17" outlineLevel="1">
      <c r="A632" s="481"/>
      <c r="B632" s="356" t="s">
        <v>408</v>
      </c>
      <c r="C632" s="292">
        <v>5</v>
      </c>
      <c r="D632" s="342">
        <v>0.4</v>
      </c>
      <c r="E632" s="356">
        <v>4</v>
      </c>
      <c r="F632" s="356">
        <v>3</v>
      </c>
      <c r="G632" s="356">
        <v>2.5</v>
      </c>
      <c r="H632" s="356">
        <v>2.5</v>
      </c>
      <c r="I632" s="356">
        <v>2</v>
      </c>
      <c r="J632" s="356">
        <v>2</v>
      </c>
      <c r="K632" s="356">
        <v>2</v>
      </c>
      <c r="L632" s="357">
        <v>2</v>
      </c>
      <c r="M632" s="358">
        <v>2</v>
      </c>
      <c r="N632" s="273"/>
      <c r="Q632" s="487">
        <f>IF(P620&lt;5,MATCH(P621,'HCM2000'!$D$613:$D$618,1),MATCH(P621,'HCM2000'!$D$631:$D$636,1))-1+(MATCH(P620,'HCM2000'!$C$613:$C$642,1)-5)</f>
        <v>29</v>
      </c>
    </row>
    <row r="633" spans="1:17" outlineLevel="1">
      <c r="A633" s="481"/>
      <c r="B633" s="356" t="s">
        <v>407</v>
      </c>
      <c r="C633" s="292">
        <v>5</v>
      </c>
      <c r="D633" s="342">
        <v>0.5</v>
      </c>
      <c r="E633" s="356">
        <v>4.5</v>
      </c>
      <c r="F633" s="356">
        <v>4</v>
      </c>
      <c r="G633" s="356">
        <v>3.5</v>
      </c>
      <c r="H633" s="356">
        <v>3</v>
      </c>
      <c r="I633" s="356">
        <v>2.5</v>
      </c>
      <c r="J633" s="356">
        <v>2.5</v>
      </c>
      <c r="K633" s="356">
        <v>2.5</v>
      </c>
      <c r="L633" s="357">
        <v>2.5</v>
      </c>
      <c r="M633" s="358">
        <v>2.5</v>
      </c>
      <c r="N633" s="273"/>
    </row>
    <row r="634" spans="1:17" outlineLevel="1">
      <c r="A634" s="481"/>
      <c r="B634" s="356" t="s">
        <v>311</v>
      </c>
      <c r="C634" s="292">
        <v>5</v>
      </c>
      <c r="D634" s="342">
        <v>0.8</v>
      </c>
      <c r="E634" s="356">
        <v>5</v>
      </c>
      <c r="F634" s="356">
        <v>4.5</v>
      </c>
      <c r="G634" s="356">
        <v>4</v>
      </c>
      <c r="H634" s="356">
        <v>3.5</v>
      </c>
      <c r="I634" s="356">
        <v>3</v>
      </c>
      <c r="J634" s="356">
        <v>3</v>
      </c>
      <c r="K634" s="356">
        <v>3</v>
      </c>
      <c r="L634" s="357">
        <v>3</v>
      </c>
      <c r="M634" s="358">
        <v>3</v>
      </c>
      <c r="N634" s="273"/>
    </row>
    <row r="635" spans="1:17" outlineLevel="1">
      <c r="A635" s="481"/>
      <c r="B635" s="356" t="s">
        <v>307</v>
      </c>
      <c r="C635" s="292">
        <v>5</v>
      </c>
      <c r="D635" s="342">
        <v>1.2000000000000002</v>
      </c>
      <c r="E635" s="356">
        <v>5.5</v>
      </c>
      <c r="F635" s="356">
        <v>5</v>
      </c>
      <c r="G635" s="356">
        <v>4.5</v>
      </c>
      <c r="H635" s="356">
        <v>4</v>
      </c>
      <c r="I635" s="356">
        <v>3</v>
      </c>
      <c r="J635" s="356">
        <v>3</v>
      </c>
      <c r="K635" s="356">
        <v>3</v>
      </c>
      <c r="L635" s="357">
        <v>3</v>
      </c>
      <c r="M635" s="358">
        <v>3</v>
      </c>
      <c r="N635" s="273"/>
    </row>
    <row r="636" spans="1:17" s="365" customFormat="1" outlineLevel="1">
      <c r="A636" s="361"/>
      <c r="B636" s="362" t="s">
        <v>406</v>
      </c>
      <c r="C636" s="363">
        <v>5</v>
      </c>
      <c r="D636" s="342">
        <v>1.6</v>
      </c>
      <c r="E636" s="362">
        <v>6</v>
      </c>
      <c r="F636" s="362">
        <v>5</v>
      </c>
      <c r="G636" s="362">
        <v>5</v>
      </c>
      <c r="H636" s="362">
        <v>4.5</v>
      </c>
      <c r="I636" s="362">
        <v>3.5</v>
      </c>
      <c r="J636" s="362">
        <v>3.5</v>
      </c>
      <c r="K636" s="362">
        <v>3.5</v>
      </c>
      <c r="L636" s="362">
        <v>3.5</v>
      </c>
      <c r="M636" s="364">
        <v>3.5</v>
      </c>
    </row>
    <row r="637" spans="1:17" outlineLevel="1">
      <c r="A637" s="481" t="s">
        <v>318</v>
      </c>
      <c r="B637" s="356" t="s">
        <v>304</v>
      </c>
      <c r="C637" s="292">
        <v>6</v>
      </c>
      <c r="D637" s="342">
        <v>0</v>
      </c>
      <c r="E637" s="356">
        <v>4</v>
      </c>
      <c r="F637" s="356">
        <v>3</v>
      </c>
      <c r="G637" s="356">
        <v>2.5</v>
      </c>
      <c r="H637" s="356">
        <v>2.5</v>
      </c>
      <c r="I637" s="356">
        <v>2.5</v>
      </c>
      <c r="J637" s="356">
        <v>2.5</v>
      </c>
      <c r="K637" s="356">
        <v>2</v>
      </c>
      <c r="L637" s="357">
        <v>2</v>
      </c>
      <c r="M637" s="358">
        <v>2</v>
      </c>
      <c r="N637" s="273"/>
    </row>
    <row r="638" spans="1:17" outlineLevel="1">
      <c r="A638" s="481"/>
      <c r="B638" s="356" t="s">
        <v>408</v>
      </c>
      <c r="C638" s="292">
        <v>6</v>
      </c>
      <c r="D638" s="342">
        <v>0.4</v>
      </c>
      <c r="E638" s="356">
        <v>4.5</v>
      </c>
      <c r="F638" s="356">
        <v>4</v>
      </c>
      <c r="G638" s="356">
        <v>3.5</v>
      </c>
      <c r="H638" s="356">
        <v>3.5</v>
      </c>
      <c r="I638" s="356">
        <v>3.5</v>
      </c>
      <c r="J638" s="356">
        <v>3</v>
      </c>
      <c r="K638" s="356">
        <v>2.5</v>
      </c>
      <c r="L638" s="357">
        <v>2.5</v>
      </c>
      <c r="M638" s="358">
        <v>2.5</v>
      </c>
      <c r="N638" s="273"/>
    </row>
    <row r="639" spans="1:17" outlineLevel="1">
      <c r="A639" s="481"/>
      <c r="B639" s="356" t="s">
        <v>407</v>
      </c>
      <c r="C639" s="292">
        <v>6</v>
      </c>
      <c r="D639" s="342">
        <v>0.5</v>
      </c>
      <c r="E639" s="356">
        <v>5</v>
      </c>
      <c r="F639" s="356">
        <v>4.5</v>
      </c>
      <c r="G639" s="356">
        <v>4</v>
      </c>
      <c r="H639" s="356">
        <v>4</v>
      </c>
      <c r="I639" s="356">
        <v>3.5</v>
      </c>
      <c r="J639" s="356">
        <v>3</v>
      </c>
      <c r="K639" s="356">
        <v>2.5</v>
      </c>
      <c r="L639" s="357">
        <v>2.5</v>
      </c>
      <c r="M639" s="358">
        <v>2.5</v>
      </c>
      <c r="N639" s="273"/>
    </row>
    <row r="640" spans="1:17" outlineLevel="1">
      <c r="A640" s="481"/>
      <c r="B640" s="356" t="s">
        <v>311</v>
      </c>
      <c r="C640" s="292">
        <v>6</v>
      </c>
      <c r="D640" s="342">
        <v>0.8</v>
      </c>
      <c r="E640" s="356">
        <v>5.5</v>
      </c>
      <c r="F640" s="356">
        <v>5</v>
      </c>
      <c r="G640" s="356">
        <v>4.5</v>
      </c>
      <c r="H640" s="356">
        <v>4.5</v>
      </c>
      <c r="I640" s="356">
        <v>4</v>
      </c>
      <c r="J640" s="356">
        <v>3.5</v>
      </c>
      <c r="K640" s="356">
        <v>3</v>
      </c>
      <c r="L640" s="357">
        <v>3</v>
      </c>
      <c r="M640" s="358">
        <v>3</v>
      </c>
      <c r="N640" s="273"/>
    </row>
    <row r="641" spans="1:19" outlineLevel="1">
      <c r="A641" s="481"/>
      <c r="B641" s="356" t="s">
        <v>307</v>
      </c>
      <c r="C641" s="292">
        <v>6</v>
      </c>
      <c r="D641" s="342">
        <v>1.2000000000000002</v>
      </c>
      <c r="E641" s="356">
        <v>6</v>
      </c>
      <c r="F641" s="356">
        <v>5.5</v>
      </c>
      <c r="G641" s="356">
        <v>5</v>
      </c>
      <c r="H641" s="356">
        <v>5</v>
      </c>
      <c r="I641" s="356">
        <v>4.5</v>
      </c>
      <c r="J641" s="356">
        <v>4</v>
      </c>
      <c r="K641" s="356">
        <v>3.5</v>
      </c>
      <c r="L641" s="357">
        <v>3.5</v>
      </c>
      <c r="M641" s="358">
        <v>3.5</v>
      </c>
      <c r="N641" s="273"/>
    </row>
    <row r="642" spans="1:19" s="365" customFormat="1" outlineLevel="1">
      <c r="A642" s="361"/>
      <c r="B642" s="362" t="s">
        <v>406</v>
      </c>
      <c r="C642" s="363">
        <v>6</v>
      </c>
      <c r="D642" s="342">
        <v>1.6</v>
      </c>
      <c r="E642" s="362">
        <v>7</v>
      </c>
      <c r="F642" s="362">
        <v>6</v>
      </c>
      <c r="G642" s="362">
        <v>5.5</v>
      </c>
      <c r="H642" s="362">
        <v>5.5</v>
      </c>
      <c r="I642" s="362">
        <v>5</v>
      </c>
      <c r="J642" s="362">
        <v>4.5</v>
      </c>
      <c r="K642" s="362">
        <v>4</v>
      </c>
      <c r="L642" s="362">
        <v>4</v>
      </c>
      <c r="M642" s="364">
        <v>4</v>
      </c>
    </row>
    <row r="643" spans="1:19" outlineLevel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306"/>
      <c r="M643" s="273"/>
      <c r="N643" s="273"/>
    </row>
    <row r="644" spans="1:19" ht="28.5" outlineLevel="1">
      <c r="A644" s="1" t="s">
        <v>319</v>
      </c>
      <c r="B644" s="286" t="s">
        <v>320</v>
      </c>
      <c r="C644" s="286" t="s">
        <v>321</v>
      </c>
      <c r="D644" s="286" t="s">
        <v>322</v>
      </c>
      <c r="E644" s="286"/>
      <c r="F644" s="286"/>
      <c r="G644" s="286"/>
      <c r="H644" s="286"/>
      <c r="I644" s="1"/>
      <c r="J644" s="1"/>
      <c r="K644" s="1"/>
      <c r="L644" s="306"/>
      <c r="M644" s="273"/>
      <c r="N644" s="273"/>
    </row>
    <row r="645" spans="1:19" ht="14.25" outlineLevel="1">
      <c r="A645" s="1" t="s">
        <v>323</v>
      </c>
      <c r="B645" s="286" t="s">
        <v>324</v>
      </c>
      <c r="C645" s="286" t="s">
        <v>325</v>
      </c>
      <c r="D645" s="286">
        <v>5</v>
      </c>
      <c r="E645" s="286">
        <v>10</v>
      </c>
      <c r="F645" s="286">
        <v>15</v>
      </c>
      <c r="G645" s="286">
        <v>20</v>
      </c>
      <c r="H645" s="286"/>
      <c r="I645" s="1"/>
      <c r="J645" s="1"/>
      <c r="K645" s="1"/>
      <c r="L645" s="281"/>
    </row>
    <row r="646" spans="1:19" ht="15" outlineLevel="1">
      <c r="A646" s="1"/>
      <c r="B646" s="286" t="s">
        <v>326</v>
      </c>
      <c r="C646" s="286" t="s">
        <v>327</v>
      </c>
      <c r="D646" s="286">
        <v>1.5</v>
      </c>
      <c r="E646" s="286">
        <v>1.5</v>
      </c>
      <c r="F646" s="286">
        <v>1.5</v>
      </c>
      <c r="G646" s="286">
        <v>1.5</v>
      </c>
      <c r="H646" s="286"/>
      <c r="I646" s="1"/>
      <c r="J646" s="1"/>
      <c r="K646" s="1"/>
      <c r="L646" s="281"/>
    </row>
    <row r="647" spans="1:19" ht="15" outlineLevel="1">
      <c r="A647" s="1"/>
      <c r="B647" s="286" t="s">
        <v>328</v>
      </c>
      <c r="C647" s="286" t="s">
        <v>329</v>
      </c>
      <c r="D647" s="286">
        <v>1.5</v>
      </c>
      <c r="E647" s="286">
        <v>1.5</v>
      </c>
      <c r="F647" s="286">
        <v>1.5</v>
      </c>
      <c r="G647" s="286">
        <v>1.5</v>
      </c>
      <c r="H647" s="286"/>
      <c r="I647" s="1"/>
      <c r="J647" s="1"/>
      <c r="K647" s="1"/>
      <c r="L647" s="281"/>
    </row>
    <row r="648" spans="1:19" ht="15" outlineLevel="1">
      <c r="A648" s="1"/>
      <c r="B648" s="286" t="s">
        <v>328</v>
      </c>
      <c r="C648" s="286" t="s">
        <v>330</v>
      </c>
      <c r="D648" s="286">
        <v>2</v>
      </c>
      <c r="E648" s="286">
        <v>2</v>
      </c>
      <c r="F648" s="286">
        <v>2</v>
      </c>
      <c r="G648" s="286">
        <v>1.5</v>
      </c>
      <c r="H648" s="286"/>
      <c r="I648" s="1"/>
      <c r="J648" s="1"/>
      <c r="K648" s="1"/>
      <c r="L648" s="281"/>
    </row>
    <row r="649" spans="1:19" ht="15" outlineLevel="1">
      <c r="A649" s="1"/>
      <c r="B649" s="286" t="s">
        <v>331</v>
      </c>
      <c r="C649" s="286" t="s">
        <v>329</v>
      </c>
      <c r="D649" s="286">
        <v>1.5</v>
      </c>
      <c r="E649" s="286">
        <v>1.5</v>
      </c>
      <c r="F649" s="286">
        <v>1.5</v>
      </c>
      <c r="G649" s="286">
        <v>1.5</v>
      </c>
      <c r="H649" s="286"/>
      <c r="I649" s="1"/>
      <c r="J649" s="1"/>
      <c r="K649" s="1"/>
      <c r="L649" s="281"/>
    </row>
    <row r="650" spans="1:19" ht="15" outlineLevel="1">
      <c r="A650" s="1"/>
      <c r="B650" s="286" t="s">
        <v>332</v>
      </c>
      <c r="C650" s="286" t="s">
        <v>330</v>
      </c>
      <c r="D650" s="286">
        <v>5.5</v>
      </c>
      <c r="E650" s="286">
        <v>4</v>
      </c>
      <c r="F650" s="286">
        <v>4</v>
      </c>
      <c r="G650" s="286">
        <v>3</v>
      </c>
      <c r="H650" s="286"/>
      <c r="I650" s="1"/>
      <c r="J650" s="1"/>
      <c r="K650" s="1"/>
      <c r="L650" s="281"/>
    </row>
    <row r="651" spans="1:19" ht="15" outlineLevel="1">
      <c r="A651" s="1"/>
      <c r="B651" s="286" t="s">
        <v>333</v>
      </c>
      <c r="C651" s="286" t="s">
        <v>329</v>
      </c>
      <c r="D651" s="286">
        <v>1.5</v>
      </c>
      <c r="E651" s="286">
        <v>1.5</v>
      </c>
      <c r="F651" s="286">
        <v>1.5</v>
      </c>
      <c r="G651" s="286">
        <v>1.5</v>
      </c>
      <c r="H651" s="286"/>
      <c r="I651" s="1"/>
      <c r="J651" s="1"/>
      <c r="K651" s="1"/>
      <c r="L651" s="281"/>
    </row>
    <row r="652" spans="1:19" ht="15" outlineLevel="1">
      <c r="A652" s="1"/>
      <c r="B652" s="286" t="s">
        <v>333</v>
      </c>
      <c r="C652" s="286" t="s">
        <v>330</v>
      </c>
      <c r="D652" s="286">
        <v>7.5</v>
      </c>
      <c r="E652" s="286">
        <v>6</v>
      </c>
      <c r="F652" s="286">
        <v>5.5</v>
      </c>
      <c r="G652" s="286">
        <v>4.5</v>
      </c>
      <c r="H652" s="286"/>
      <c r="I652" s="1"/>
      <c r="J652" s="1"/>
      <c r="K652" s="1"/>
      <c r="L652" s="281"/>
    </row>
    <row r="653" spans="1:19" outlineLevel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281"/>
    </row>
    <row r="654" spans="1:19" ht="25.5" outlineLevel="1">
      <c r="A654" s="1" t="s">
        <v>334</v>
      </c>
      <c r="B654" s="1" t="s">
        <v>335</v>
      </c>
      <c r="C654" s="1" t="s">
        <v>336</v>
      </c>
      <c r="D654" s="1" t="s">
        <v>337</v>
      </c>
      <c r="E654" s="1"/>
      <c r="F654" s="1"/>
      <c r="G654" s="1"/>
      <c r="H654" s="1"/>
      <c r="I654" s="1"/>
      <c r="J654" s="1"/>
      <c r="K654" s="1"/>
      <c r="L654" s="281"/>
    </row>
    <row r="655" spans="1:19" ht="25.5" outlineLevel="1">
      <c r="A655" s="1" t="s">
        <v>338</v>
      </c>
      <c r="B655" s="1"/>
      <c r="C655" s="1"/>
      <c r="D655" s="1" t="s">
        <v>339</v>
      </c>
      <c r="E655" s="1" t="s">
        <v>340</v>
      </c>
      <c r="F655" s="287" t="s">
        <v>64</v>
      </c>
      <c r="G655" s="287" t="s">
        <v>106</v>
      </c>
      <c r="H655" s="1" t="s">
        <v>342</v>
      </c>
      <c r="I655" s="1"/>
      <c r="J655" s="1"/>
      <c r="K655" s="1"/>
      <c r="L655" s="1" t="s">
        <v>342</v>
      </c>
      <c r="M655" s="1" t="s">
        <v>341</v>
      </c>
      <c r="N655" s="287" t="s">
        <v>64</v>
      </c>
      <c r="O655" s="1" t="s">
        <v>340</v>
      </c>
      <c r="P655" s="1" t="s">
        <v>339</v>
      </c>
      <c r="R655" s="3">
        <v>1</v>
      </c>
      <c r="S655" s="3" t="s">
        <v>65</v>
      </c>
    </row>
    <row r="656" spans="1:19" ht="38.25" outlineLevel="1">
      <c r="A656" s="1"/>
      <c r="B656" s="1" t="s">
        <v>343</v>
      </c>
      <c r="C656" s="1" t="s">
        <v>344</v>
      </c>
      <c r="D656" s="285">
        <v>7</v>
      </c>
      <c r="E656" s="285">
        <v>11</v>
      </c>
      <c r="F656" s="285">
        <v>16</v>
      </c>
      <c r="G656" s="285">
        <v>22</v>
      </c>
      <c r="H656" s="285">
        <v>25</v>
      </c>
      <c r="I656" s="1"/>
      <c r="J656" s="1" t="s">
        <v>343</v>
      </c>
      <c r="K656" s="1" t="s">
        <v>344</v>
      </c>
      <c r="L656" s="285">
        <v>25</v>
      </c>
      <c r="M656" s="285">
        <v>22</v>
      </c>
      <c r="N656" s="285">
        <v>16</v>
      </c>
      <c r="O656" s="285">
        <v>11</v>
      </c>
      <c r="P656" s="285">
        <v>7</v>
      </c>
      <c r="R656" s="3">
        <v>2</v>
      </c>
      <c r="S656" s="3" t="s">
        <v>106</v>
      </c>
    </row>
    <row r="657" spans="1:19" ht="25.5" outlineLevel="1">
      <c r="A657" s="1"/>
      <c r="B657" s="1"/>
      <c r="C657" s="1" t="s">
        <v>345</v>
      </c>
      <c r="D657" s="285">
        <v>100</v>
      </c>
      <c r="E657" s="285">
        <v>100</v>
      </c>
      <c r="F657" s="288">
        <v>98.4</v>
      </c>
      <c r="G657" s="285">
        <v>91.5</v>
      </c>
      <c r="H657" s="285">
        <v>88</v>
      </c>
      <c r="I657" s="1"/>
      <c r="J657" s="1"/>
      <c r="K657" s="1" t="s">
        <v>345</v>
      </c>
      <c r="L657" s="285">
        <v>88</v>
      </c>
      <c r="M657" s="285">
        <v>91.5</v>
      </c>
      <c r="N657" s="288">
        <v>98.4</v>
      </c>
      <c r="O657" s="285">
        <v>100</v>
      </c>
      <c r="P657" s="285">
        <v>100</v>
      </c>
      <c r="R657" s="3">
        <v>3</v>
      </c>
      <c r="S657" s="3" t="s">
        <v>64</v>
      </c>
    </row>
    <row r="658" spans="1:19" ht="38.25" outlineLevel="1">
      <c r="A658" s="1"/>
      <c r="B658" s="1"/>
      <c r="C658" s="1" t="s">
        <v>346</v>
      </c>
      <c r="D658" s="285">
        <v>0.32</v>
      </c>
      <c r="E658" s="285">
        <v>0.5</v>
      </c>
      <c r="F658" s="285">
        <v>0.72</v>
      </c>
      <c r="G658" s="285">
        <v>0.92</v>
      </c>
      <c r="H658" s="285">
        <v>1</v>
      </c>
      <c r="I658" s="1"/>
      <c r="J658" s="1"/>
      <c r="K658" s="1" t="s">
        <v>346</v>
      </c>
      <c r="L658" s="285">
        <v>1</v>
      </c>
      <c r="M658" s="285">
        <v>0.92</v>
      </c>
      <c r="N658" s="285">
        <v>0.72</v>
      </c>
      <c r="O658" s="285">
        <v>0.5</v>
      </c>
      <c r="P658" s="285">
        <v>0.32</v>
      </c>
      <c r="R658" s="3">
        <v>4</v>
      </c>
      <c r="S658" s="3" t="s">
        <v>105</v>
      </c>
    </row>
    <row r="659" spans="1:19" ht="25.5" outlineLevel="1">
      <c r="A659" s="1"/>
      <c r="B659" s="1"/>
      <c r="C659" s="1" t="s">
        <v>347</v>
      </c>
      <c r="D659" s="285">
        <v>700</v>
      </c>
      <c r="E659" s="285">
        <v>1100</v>
      </c>
      <c r="F659" s="285">
        <v>1575</v>
      </c>
      <c r="G659" s="285">
        <v>2015</v>
      </c>
      <c r="H659" s="285">
        <v>2200</v>
      </c>
      <c r="I659" s="1"/>
      <c r="J659" s="1"/>
      <c r="K659" s="1" t="s">
        <v>347</v>
      </c>
      <c r="L659" s="285">
        <v>2200</v>
      </c>
      <c r="M659" s="285">
        <v>2015</v>
      </c>
      <c r="N659" s="285">
        <v>1575</v>
      </c>
      <c r="O659" s="285">
        <v>1100</v>
      </c>
      <c r="P659" s="285">
        <v>700</v>
      </c>
      <c r="R659" s="3">
        <v>5</v>
      </c>
      <c r="S659" s="3" t="s">
        <v>104</v>
      </c>
    </row>
    <row r="660" spans="1:19" ht="38.25" outlineLevel="1">
      <c r="A660" s="1"/>
      <c r="B660" s="1" t="s">
        <v>348</v>
      </c>
      <c r="C660" s="1" t="s">
        <v>349</v>
      </c>
      <c r="D660" s="285">
        <v>7</v>
      </c>
      <c r="E660" s="285">
        <v>11</v>
      </c>
      <c r="F660" s="285">
        <v>16</v>
      </c>
      <c r="G660" s="285">
        <v>22</v>
      </c>
      <c r="H660" s="285">
        <v>26</v>
      </c>
      <c r="I660" s="1"/>
      <c r="J660" s="1" t="s">
        <v>348</v>
      </c>
      <c r="K660" s="1" t="s">
        <v>349</v>
      </c>
      <c r="L660" s="285">
        <v>26</v>
      </c>
      <c r="M660" s="285">
        <v>22</v>
      </c>
      <c r="N660" s="285">
        <v>16</v>
      </c>
      <c r="O660" s="285">
        <v>11</v>
      </c>
      <c r="P660" s="285">
        <v>7</v>
      </c>
    </row>
    <row r="661" spans="1:19" ht="25.5" outlineLevel="1">
      <c r="A661" s="1"/>
      <c r="B661" s="1"/>
      <c r="C661" s="1" t="s">
        <v>345</v>
      </c>
      <c r="D661" s="285">
        <v>90</v>
      </c>
      <c r="E661" s="285">
        <v>90</v>
      </c>
      <c r="F661" s="285">
        <v>89.8</v>
      </c>
      <c r="G661" s="285">
        <v>84.7</v>
      </c>
      <c r="H661" s="285">
        <v>80.8</v>
      </c>
      <c r="I661" s="1"/>
      <c r="J661" s="1"/>
      <c r="K661" s="1" t="s">
        <v>345</v>
      </c>
      <c r="L661" s="285">
        <v>80.8</v>
      </c>
      <c r="M661" s="285">
        <v>84.7</v>
      </c>
      <c r="N661" s="285">
        <v>89.8</v>
      </c>
      <c r="O661" s="285">
        <v>90</v>
      </c>
      <c r="P661" s="285">
        <v>90</v>
      </c>
    </row>
    <row r="662" spans="1:19" outlineLevel="1">
      <c r="A662" s="1"/>
      <c r="B662" s="1"/>
      <c r="C662" s="1" t="s">
        <v>350</v>
      </c>
      <c r="D662" s="285">
        <v>0.3</v>
      </c>
      <c r="E662" s="285">
        <v>0.47</v>
      </c>
      <c r="F662" s="285">
        <v>0.68</v>
      </c>
      <c r="G662" s="285">
        <v>0.89</v>
      </c>
      <c r="H662" s="285">
        <v>1</v>
      </c>
      <c r="I662" s="1"/>
      <c r="J662" s="1"/>
      <c r="K662" s="1" t="s">
        <v>350</v>
      </c>
      <c r="L662" s="285">
        <v>1</v>
      </c>
      <c r="M662" s="285">
        <v>0.89</v>
      </c>
      <c r="N662" s="285">
        <v>0.68</v>
      </c>
      <c r="O662" s="285">
        <v>0.47</v>
      </c>
      <c r="P662" s="285">
        <v>0.3</v>
      </c>
    </row>
    <row r="663" spans="1:19" ht="25.5" outlineLevel="1">
      <c r="A663" s="1"/>
      <c r="B663" s="1"/>
      <c r="C663" s="1" t="s">
        <v>351</v>
      </c>
      <c r="D663" s="285"/>
      <c r="E663" s="285"/>
      <c r="F663" s="285"/>
      <c r="G663" s="285"/>
      <c r="H663" s="285"/>
      <c r="I663" s="1"/>
      <c r="J663" s="1"/>
      <c r="K663" s="1" t="s">
        <v>351</v>
      </c>
      <c r="L663" s="285"/>
      <c r="M663" s="285"/>
      <c r="N663" s="285"/>
      <c r="O663" s="285"/>
      <c r="P663" s="285"/>
    </row>
    <row r="664" spans="1:19" ht="25.5" outlineLevel="1">
      <c r="A664" s="1"/>
      <c r="B664" s="1"/>
      <c r="C664" s="1" t="s">
        <v>352</v>
      </c>
      <c r="D664" s="285">
        <v>630</v>
      </c>
      <c r="E664" s="285">
        <v>990</v>
      </c>
      <c r="F664" s="285">
        <v>1435</v>
      </c>
      <c r="G664" s="285">
        <v>1860</v>
      </c>
      <c r="H664" s="285">
        <v>2100</v>
      </c>
      <c r="I664" s="1"/>
      <c r="J664" s="1"/>
      <c r="K664" s="1" t="s">
        <v>352</v>
      </c>
      <c r="L664" s="285">
        <v>2100</v>
      </c>
      <c r="M664" s="285">
        <v>1860</v>
      </c>
      <c r="N664" s="285">
        <v>1435</v>
      </c>
      <c r="O664" s="285">
        <v>990</v>
      </c>
      <c r="P664" s="285">
        <v>630</v>
      </c>
    </row>
    <row r="665" spans="1:19" ht="38.25" outlineLevel="1">
      <c r="A665" s="1"/>
      <c r="B665" s="1" t="s">
        <v>353</v>
      </c>
      <c r="C665" s="1" t="s">
        <v>349</v>
      </c>
      <c r="D665" s="285">
        <v>7</v>
      </c>
      <c r="E665" s="285">
        <v>11</v>
      </c>
      <c r="F665" s="285">
        <v>16</v>
      </c>
      <c r="G665" s="285">
        <v>22</v>
      </c>
      <c r="H665" s="285">
        <v>27</v>
      </c>
      <c r="I665" s="1"/>
      <c r="J665" s="1" t="s">
        <v>353</v>
      </c>
      <c r="K665" s="1" t="s">
        <v>349</v>
      </c>
      <c r="L665" s="285">
        <v>27</v>
      </c>
      <c r="M665" s="285">
        <v>22</v>
      </c>
      <c r="N665" s="285">
        <v>16</v>
      </c>
      <c r="O665" s="285">
        <v>11</v>
      </c>
      <c r="P665" s="285">
        <v>7</v>
      </c>
    </row>
    <row r="666" spans="1:19" ht="25.5" outlineLevel="1">
      <c r="A666" s="1"/>
      <c r="B666" s="1"/>
      <c r="C666" s="1" t="s">
        <v>345</v>
      </c>
      <c r="D666" s="285">
        <v>80</v>
      </c>
      <c r="E666" s="285">
        <v>80</v>
      </c>
      <c r="F666" s="285">
        <v>80</v>
      </c>
      <c r="G666" s="285">
        <v>77.599999999999994</v>
      </c>
      <c r="H666" s="285">
        <v>74.099999999999994</v>
      </c>
      <c r="I666" s="1"/>
      <c r="J666" s="1"/>
      <c r="K666" s="1" t="s">
        <v>345</v>
      </c>
      <c r="L666" s="285">
        <v>74.099999999999994</v>
      </c>
      <c r="M666" s="285">
        <v>77.599999999999994</v>
      </c>
      <c r="N666" s="285">
        <v>80</v>
      </c>
      <c r="O666" s="285">
        <v>80</v>
      </c>
      <c r="P666" s="285">
        <v>80</v>
      </c>
    </row>
    <row r="667" spans="1:19" outlineLevel="1">
      <c r="A667" s="1"/>
      <c r="B667" s="1"/>
      <c r="C667" s="1" t="s">
        <v>354</v>
      </c>
      <c r="D667" s="285">
        <v>0.28000000000000003</v>
      </c>
      <c r="E667" s="285">
        <v>0.44</v>
      </c>
      <c r="F667" s="285">
        <v>0.64</v>
      </c>
      <c r="G667" s="285">
        <v>0.85</v>
      </c>
      <c r="H667" s="285">
        <v>1</v>
      </c>
      <c r="I667" s="1"/>
      <c r="J667" s="1"/>
      <c r="K667" s="1" t="s">
        <v>354</v>
      </c>
      <c r="L667" s="285">
        <v>1</v>
      </c>
      <c r="M667" s="285">
        <v>0.85</v>
      </c>
      <c r="N667" s="285">
        <v>0.64</v>
      </c>
      <c r="O667" s="285">
        <v>0.44</v>
      </c>
      <c r="P667" s="285">
        <v>0.28000000000000003</v>
      </c>
    </row>
    <row r="668" spans="1:19" ht="25.5" outlineLevel="1">
      <c r="A668" s="1"/>
      <c r="B668" s="1"/>
      <c r="C668" s="1" t="s">
        <v>355</v>
      </c>
      <c r="D668" s="285"/>
      <c r="E668" s="285"/>
      <c r="F668" s="285"/>
      <c r="G668" s="285"/>
      <c r="H668" s="285"/>
      <c r="I668" s="1"/>
      <c r="J668" s="1"/>
      <c r="K668" s="1" t="s">
        <v>355</v>
      </c>
      <c r="L668" s="285"/>
      <c r="M668" s="285"/>
      <c r="N668" s="285"/>
      <c r="O668" s="285"/>
      <c r="P668" s="285"/>
    </row>
    <row r="669" spans="1:19" ht="25.5" outlineLevel="1">
      <c r="A669" s="1"/>
      <c r="B669" s="1"/>
      <c r="C669" s="1" t="s">
        <v>352</v>
      </c>
      <c r="D669" s="285">
        <v>560</v>
      </c>
      <c r="E669" s="285">
        <v>880</v>
      </c>
      <c r="F669" s="285">
        <v>1280</v>
      </c>
      <c r="G669" s="285">
        <v>1705</v>
      </c>
      <c r="H669" s="285">
        <v>2000</v>
      </c>
      <c r="I669" s="1"/>
      <c r="J669" s="1"/>
      <c r="K669" s="1" t="s">
        <v>352</v>
      </c>
      <c r="L669" s="285">
        <v>2000</v>
      </c>
      <c r="M669" s="285">
        <v>1705</v>
      </c>
      <c r="N669" s="285">
        <v>1280</v>
      </c>
      <c r="O669" s="285">
        <v>880</v>
      </c>
      <c r="P669" s="285">
        <v>560</v>
      </c>
    </row>
    <row r="670" spans="1:19" ht="38.25" outlineLevel="1">
      <c r="A670" s="1"/>
      <c r="B670" s="1" t="s">
        <v>356</v>
      </c>
      <c r="C670" s="1" t="s">
        <v>349</v>
      </c>
      <c r="D670" s="285">
        <v>7</v>
      </c>
      <c r="E670" s="285">
        <v>11</v>
      </c>
      <c r="F670" s="285">
        <v>16</v>
      </c>
      <c r="G670" s="285">
        <v>22</v>
      </c>
      <c r="H670" s="285">
        <v>28</v>
      </c>
      <c r="I670" s="1"/>
      <c r="J670" s="1" t="s">
        <v>356</v>
      </c>
      <c r="K670" s="1" t="s">
        <v>349</v>
      </c>
      <c r="L670" s="285">
        <v>28</v>
      </c>
      <c r="M670" s="285">
        <v>22</v>
      </c>
      <c r="N670" s="285">
        <v>16</v>
      </c>
      <c r="O670" s="285">
        <v>11</v>
      </c>
      <c r="P670" s="285">
        <v>7</v>
      </c>
    </row>
    <row r="671" spans="1:19" ht="25.5" outlineLevel="1">
      <c r="A671" s="1"/>
      <c r="B671" s="1"/>
      <c r="C671" s="1" t="s">
        <v>345</v>
      </c>
      <c r="D671" s="285">
        <v>70</v>
      </c>
      <c r="E671" s="285">
        <v>70</v>
      </c>
      <c r="F671" s="285">
        <v>70</v>
      </c>
      <c r="G671" s="285">
        <v>69.599999999999994</v>
      </c>
      <c r="H671" s="285">
        <v>67.900000000000006</v>
      </c>
      <c r="I671" s="1"/>
      <c r="J671" s="1"/>
      <c r="K671" s="1" t="s">
        <v>345</v>
      </c>
      <c r="L671" s="285">
        <v>67.900000000000006</v>
      </c>
      <c r="M671" s="285">
        <v>69.599999999999994</v>
      </c>
      <c r="N671" s="285">
        <v>70</v>
      </c>
      <c r="O671" s="285">
        <v>70</v>
      </c>
      <c r="P671" s="285">
        <v>70</v>
      </c>
    </row>
    <row r="672" spans="1:19" outlineLevel="1">
      <c r="A672" s="1"/>
      <c r="B672" s="1"/>
      <c r="C672" s="1" t="s">
        <v>354</v>
      </c>
      <c r="D672" s="285">
        <v>0.26</v>
      </c>
      <c r="E672" s="285">
        <v>0.41</v>
      </c>
      <c r="F672" s="285">
        <v>0.59</v>
      </c>
      <c r="G672" s="285">
        <v>0.81</v>
      </c>
      <c r="H672" s="285">
        <v>1</v>
      </c>
      <c r="I672" s="1"/>
      <c r="J672" s="1"/>
      <c r="K672" s="1" t="s">
        <v>354</v>
      </c>
      <c r="L672" s="285">
        <v>1</v>
      </c>
      <c r="M672" s="285">
        <v>0.81</v>
      </c>
      <c r="N672" s="285">
        <v>0.59</v>
      </c>
      <c r="O672" s="285">
        <v>0.41</v>
      </c>
      <c r="P672" s="285">
        <v>0.26</v>
      </c>
    </row>
    <row r="673" spans="1:16" ht="25.5" outlineLevel="1">
      <c r="A673" s="1"/>
      <c r="B673" s="1"/>
      <c r="C673" s="1" t="s">
        <v>355</v>
      </c>
      <c r="D673" s="285"/>
      <c r="E673" s="285"/>
      <c r="F673" s="285"/>
      <c r="G673" s="285"/>
      <c r="H673" s="285"/>
      <c r="I673" s="1"/>
      <c r="J673" s="1"/>
      <c r="K673" s="1" t="s">
        <v>355</v>
      </c>
      <c r="L673" s="285"/>
      <c r="M673" s="285"/>
      <c r="N673" s="285"/>
      <c r="O673" s="285"/>
      <c r="P673" s="285"/>
    </row>
    <row r="674" spans="1:16" ht="25.5" outlineLevel="1">
      <c r="A674" s="1"/>
      <c r="B674" s="1"/>
      <c r="C674" s="1" t="s">
        <v>352</v>
      </c>
      <c r="D674" s="285">
        <v>490</v>
      </c>
      <c r="E674" s="285">
        <v>770</v>
      </c>
      <c r="F674" s="285">
        <v>1120</v>
      </c>
      <c r="G674" s="285">
        <v>1530</v>
      </c>
      <c r="H674" s="285">
        <v>1900</v>
      </c>
      <c r="I674" s="1"/>
      <c r="J674" s="1"/>
      <c r="K674" s="1" t="s">
        <v>352</v>
      </c>
      <c r="L674" s="285">
        <v>1900</v>
      </c>
      <c r="M674" s="285">
        <v>1530</v>
      </c>
      <c r="N674" s="285">
        <v>1120</v>
      </c>
      <c r="O674" s="285">
        <v>770</v>
      </c>
      <c r="P674" s="285">
        <v>490</v>
      </c>
    </row>
    <row r="675" spans="1:16" outlineLevel="1">
      <c r="A675" s="2"/>
      <c r="E675" s="2"/>
    </row>
    <row r="676" spans="1:16" ht="25.5" outlineLevel="1">
      <c r="A676" s="2" t="s">
        <v>24</v>
      </c>
      <c r="B676" s="7" t="s">
        <v>25</v>
      </c>
      <c r="C676" s="2" t="s">
        <v>30</v>
      </c>
    </row>
    <row r="677" spans="1:16" outlineLevel="1"/>
    <row r="678" spans="1:16" ht="25.5" outlineLevel="1">
      <c r="A678" s="2" t="s">
        <v>48</v>
      </c>
      <c r="B678" s="7" t="s">
        <v>49</v>
      </c>
    </row>
    <row r="679" spans="1:16" outlineLevel="1"/>
    <row r="680" spans="1:16" ht="25.5" outlineLevel="1">
      <c r="A680" s="2" t="s">
        <v>55</v>
      </c>
      <c r="B680" s="7" t="s">
        <v>56</v>
      </c>
    </row>
    <row r="681" spans="1:16" outlineLevel="1"/>
    <row r="682" spans="1:16" ht="25.5" outlineLevel="1">
      <c r="A682" s="3" t="s">
        <v>59</v>
      </c>
      <c r="B682" s="7" t="s">
        <v>60</v>
      </c>
    </row>
    <row r="683" spans="1:16" outlineLevel="1">
      <c r="A683" s="3" t="s">
        <v>62</v>
      </c>
      <c r="B683" s="2" t="s">
        <v>63</v>
      </c>
    </row>
    <row r="684" spans="1:16" outlineLevel="1"/>
    <row r="685" spans="1:16" outlineLevel="1"/>
    <row r="686" spans="1:16" collapsed="1"/>
  </sheetData>
  <mergeCells count="93">
    <mergeCell ref="C22:C23"/>
    <mergeCell ref="D22:D23"/>
    <mergeCell ref="F22:G22"/>
    <mergeCell ref="K65:K67"/>
    <mergeCell ref="C65:H65"/>
    <mergeCell ref="C66:H66"/>
    <mergeCell ref="C38:C39"/>
    <mergeCell ref="D38:D39"/>
    <mergeCell ref="F38:G38"/>
    <mergeCell ref="C48:F48"/>
    <mergeCell ref="C49:F49"/>
    <mergeCell ref="L65:O65"/>
    <mergeCell ref="L66:O66"/>
    <mergeCell ref="B13:B14"/>
    <mergeCell ref="C13:C14"/>
    <mergeCell ref="D13:D14"/>
    <mergeCell ref="F13:G13"/>
    <mergeCell ref="B15:B17"/>
    <mergeCell ref="C32:C33"/>
    <mergeCell ref="D32:D33"/>
    <mergeCell ref="F32:G32"/>
    <mergeCell ref="B24:B26"/>
    <mergeCell ref="B27:B29"/>
    <mergeCell ref="B65:B67"/>
    <mergeCell ref="B48:B50"/>
    <mergeCell ref="B18:B20"/>
    <mergeCell ref="B22:B23"/>
    <mergeCell ref="C86:H86"/>
    <mergeCell ref="B86:B87"/>
    <mergeCell ref="A162:A169"/>
    <mergeCell ref="A170:A177"/>
    <mergeCell ref="A178:A185"/>
    <mergeCell ref="A159:A161"/>
    <mergeCell ref="B106:B107"/>
    <mergeCell ref="C106:H106"/>
    <mergeCell ref="D159:F159"/>
    <mergeCell ref="C132:N132"/>
    <mergeCell ref="C159:C161"/>
    <mergeCell ref="D160:F160"/>
    <mergeCell ref="J106:O106"/>
    <mergeCell ref="J86:O86"/>
    <mergeCell ref="G309:G311"/>
    <mergeCell ref="D310:F310"/>
    <mergeCell ref="C259:C261"/>
    <mergeCell ref="A186:A193"/>
    <mergeCell ref="A194:A201"/>
    <mergeCell ref="A220:A227"/>
    <mergeCell ref="A228:A235"/>
    <mergeCell ref="A236:A243"/>
    <mergeCell ref="A244:A251"/>
    <mergeCell ref="A259:A261"/>
    <mergeCell ref="A262:A269"/>
    <mergeCell ref="A270:A277"/>
    <mergeCell ref="A278:A285"/>
    <mergeCell ref="A286:A293"/>
    <mergeCell ref="A294:A301"/>
    <mergeCell ref="D259:F259"/>
    <mergeCell ref="C404:F404"/>
    <mergeCell ref="B404:B406"/>
    <mergeCell ref="C405:F405"/>
    <mergeCell ref="A370:A377"/>
    <mergeCell ref="A362:A369"/>
    <mergeCell ref="A394:A401"/>
    <mergeCell ref="A386:A393"/>
    <mergeCell ref="A378:A385"/>
    <mergeCell ref="A344:A351"/>
    <mergeCell ref="A359:A361"/>
    <mergeCell ref="A309:A311"/>
    <mergeCell ref="A312:A319"/>
    <mergeCell ref="A320:A327"/>
    <mergeCell ref="A336:A343"/>
    <mergeCell ref="A328:A335"/>
    <mergeCell ref="D360:F360"/>
    <mergeCell ref="D359:F359"/>
    <mergeCell ref="D260:F260"/>
    <mergeCell ref="C359:C361"/>
    <mergeCell ref="C309:C311"/>
    <mergeCell ref="D309:F309"/>
    <mergeCell ref="D209:F209"/>
    <mergeCell ref="A209:A211"/>
    <mergeCell ref="C209:C211"/>
    <mergeCell ref="D210:F210"/>
    <mergeCell ref="A212:A219"/>
    <mergeCell ref="E582:E586"/>
    <mergeCell ref="A473:A474"/>
    <mergeCell ref="B473:F473"/>
    <mergeCell ref="A413:A414"/>
    <mergeCell ref="B413:F413"/>
    <mergeCell ref="A527:A528"/>
    <mergeCell ref="E552:E562"/>
    <mergeCell ref="E564:E568"/>
    <mergeCell ref="E570:E574"/>
    <mergeCell ref="E576:E580"/>
  </mergeCells>
  <conditionalFormatting sqref="E612:M6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>
    <tabColor rgb="FF57626E"/>
    <outlinePr summaryBelow="0"/>
  </sheetPr>
  <dimension ref="A1:AO686"/>
  <sheetViews>
    <sheetView topLeftCell="C1" zoomScaleNormal="100" workbookViewId="0">
      <selection activeCell="J14" sqref="J14"/>
    </sheetView>
  </sheetViews>
  <sheetFormatPr defaultRowHeight="12.75" outlineLevelRow="1"/>
  <cols>
    <col min="1" max="1" width="34.140625" style="3" customWidth="1"/>
    <col min="2" max="4" width="14.85546875" style="2" customWidth="1"/>
    <col min="5" max="5" width="14.85546875" style="14" customWidth="1"/>
    <col min="6" max="9" width="14.85546875" style="2" customWidth="1"/>
    <col min="10" max="13" width="14.85546875" style="3" customWidth="1"/>
    <col min="14" max="17" width="7.28515625" style="3" customWidth="1"/>
    <col min="18" max="32" width="14.85546875" style="3" customWidth="1"/>
    <col min="33" max="33" width="9.140625" style="3"/>
    <col min="34" max="34" width="32.85546875" style="3" customWidth="1"/>
    <col min="35" max="16384" width="9.140625" style="3"/>
  </cols>
  <sheetData>
    <row r="1" spans="1:20" s="58" customFormat="1">
      <c r="A1" s="58" t="s">
        <v>128</v>
      </c>
    </row>
    <row r="3" spans="1:20">
      <c r="A3" s="62" t="s">
        <v>263</v>
      </c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59"/>
    </row>
    <row r="4" spans="1:20" s="294" customFormat="1" outlineLevel="1">
      <c r="A4" s="293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60"/>
    </row>
    <row r="5" spans="1:20" outlineLevel="1">
      <c r="A5" s="3" t="s">
        <v>6</v>
      </c>
    </row>
    <row r="6" spans="1:20" ht="76.5" outlineLevel="1">
      <c r="A6" s="3" t="s">
        <v>7</v>
      </c>
      <c r="B6" s="2" t="s">
        <v>19</v>
      </c>
    </row>
    <row r="7" spans="1:20" ht="76.5" outlineLevel="1">
      <c r="A7" s="3" t="s">
        <v>8</v>
      </c>
      <c r="B7" s="2" t="s">
        <v>20</v>
      </c>
    </row>
    <row r="8" spans="1:20" ht="25.5" outlineLevel="1">
      <c r="A8" s="3" t="s">
        <v>27</v>
      </c>
      <c r="B8" s="2">
        <v>0.88</v>
      </c>
      <c r="C8" s="2" t="s">
        <v>28</v>
      </c>
    </row>
    <row r="9" spans="1:20" ht="25.5" outlineLevel="1">
      <c r="B9" s="2">
        <v>0.92</v>
      </c>
      <c r="C9" s="2" t="s">
        <v>29</v>
      </c>
    </row>
    <row r="10" spans="1:20" ht="25.5" outlineLevel="1">
      <c r="A10" s="3" t="s">
        <v>0</v>
      </c>
      <c r="B10" s="4">
        <v>0.12</v>
      </c>
      <c r="C10" s="2" t="s">
        <v>26</v>
      </c>
    </row>
    <row r="11" spans="1:20" ht="51" outlineLevel="1">
      <c r="A11" s="3" t="s">
        <v>1</v>
      </c>
      <c r="B11" s="2" t="s">
        <v>2</v>
      </c>
    </row>
    <row r="12" spans="1:20" outlineLevel="1"/>
    <row r="13" spans="1:20" ht="25.5" outlineLevel="1">
      <c r="A13" s="2" t="s">
        <v>17</v>
      </c>
      <c r="B13" s="656" t="s">
        <v>3</v>
      </c>
      <c r="C13" s="656" t="s">
        <v>5</v>
      </c>
      <c r="D13" s="656" t="s">
        <v>4</v>
      </c>
      <c r="E13" s="15"/>
      <c r="F13" s="656" t="s">
        <v>6</v>
      </c>
      <c r="G13" s="656"/>
    </row>
    <row r="14" spans="1:20" outlineLevel="1">
      <c r="B14" s="656"/>
      <c r="C14" s="656"/>
      <c r="D14" s="656"/>
      <c r="E14" s="15"/>
      <c r="F14" s="475" t="s">
        <v>7</v>
      </c>
      <c r="G14" s="475" t="s">
        <v>8</v>
      </c>
    </row>
    <row r="15" spans="1:20" outlineLevel="1">
      <c r="B15" s="656" t="s">
        <v>9</v>
      </c>
      <c r="C15" s="475" t="s">
        <v>10</v>
      </c>
      <c r="D15" s="475" t="s">
        <v>11</v>
      </c>
      <c r="E15" s="15">
        <v>600</v>
      </c>
      <c r="F15" s="6">
        <v>1.7</v>
      </c>
      <c r="G15" s="6">
        <v>2.5</v>
      </c>
    </row>
    <row r="16" spans="1:20" outlineLevel="1">
      <c r="B16" s="656"/>
      <c r="C16" s="475" t="s">
        <v>12</v>
      </c>
      <c r="D16" s="475" t="s">
        <v>13</v>
      </c>
      <c r="E16" s="15">
        <v>1200</v>
      </c>
      <c r="F16" s="6">
        <v>1.2</v>
      </c>
      <c r="G16" s="6">
        <v>1.9</v>
      </c>
    </row>
    <row r="17" spans="1:10" outlineLevel="1">
      <c r="B17" s="656"/>
      <c r="C17" s="475" t="s">
        <v>14</v>
      </c>
      <c r="D17" s="475" t="s">
        <v>15</v>
      </c>
      <c r="E17" s="18" t="s">
        <v>73</v>
      </c>
      <c r="F17" s="6">
        <v>1.1000000000000001</v>
      </c>
      <c r="G17" s="6">
        <v>1.5</v>
      </c>
    </row>
    <row r="18" spans="1:10" outlineLevel="1">
      <c r="B18" s="656" t="s">
        <v>16</v>
      </c>
      <c r="C18" s="475" t="s">
        <v>10</v>
      </c>
      <c r="D18" s="475" t="s">
        <v>11</v>
      </c>
      <c r="E18" s="15">
        <v>600</v>
      </c>
      <c r="F18" s="6">
        <v>1</v>
      </c>
      <c r="G18" s="6">
        <v>1.1000000000000001</v>
      </c>
    </row>
    <row r="19" spans="1:10" outlineLevel="1">
      <c r="B19" s="656"/>
      <c r="C19" s="475" t="s">
        <v>12</v>
      </c>
      <c r="D19" s="475" t="s">
        <v>13</v>
      </c>
      <c r="E19" s="15">
        <v>1200</v>
      </c>
      <c r="F19" s="6">
        <v>1</v>
      </c>
      <c r="G19" s="6">
        <v>1.1000000000000001</v>
      </c>
    </row>
    <row r="20" spans="1:10" outlineLevel="1">
      <c r="B20" s="656"/>
      <c r="C20" s="475" t="s">
        <v>14</v>
      </c>
      <c r="D20" s="475" t="s">
        <v>15</v>
      </c>
      <c r="E20" s="18" t="s">
        <v>73</v>
      </c>
      <c r="F20" s="6">
        <v>1</v>
      </c>
      <c r="G20" s="6">
        <v>1.1000000000000001</v>
      </c>
    </row>
    <row r="21" spans="1:10" outlineLevel="1"/>
    <row r="22" spans="1:10" ht="51" outlineLevel="1">
      <c r="A22" s="2" t="s">
        <v>18</v>
      </c>
      <c r="B22" s="656" t="s">
        <v>3</v>
      </c>
      <c r="C22" s="656" t="s">
        <v>5</v>
      </c>
      <c r="D22" s="656" t="s">
        <v>4</v>
      </c>
      <c r="E22" s="15"/>
      <c r="F22" s="656" t="s">
        <v>6</v>
      </c>
      <c r="G22" s="656"/>
    </row>
    <row r="23" spans="1:10" outlineLevel="1">
      <c r="B23" s="656"/>
      <c r="C23" s="656"/>
      <c r="D23" s="656"/>
      <c r="E23" s="15"/>
      <c r="F23" s="475" t="s">
        <v>7</v>
      </c>
      <c r="G23" s="475" t="s">
        <v>8</v>
      </c>
    </row>
    <row r="24" spans="1:10" outlineLevel="1">
      <c r="B24" s="656" t="s">
        <v>9</v>
      </c>
      <c r="C24" s="475" t="s">
        <v>10</v>
      </c>
      <c r="D24" s="475" t="s">
        <v>11</v>
      </c>
      <c r="E24" s="15">
        <v>600</v>
      </c>
      <c r="F24" s="6">
        <v>1.1000000000000001</v>
      </c>
      <c r="G24" s="6">
        <v>1.8</v>
      </c>
    </row>
    <row r="25" spans="1:10" outlineLevel="1">
      <c r="A25" s="2"/>
      <c r="B25" s="656"/>
      <c r="C25" s="475" t="s">
        <v>12</v>
      </c>
      <c r="D25" s="475" t="s">
        <v>13</v>
      </c>
      <c r="E25" s="15">
        <v>1200</v>
      </c>
      <c r="F25" s="6">
        <v>1.1000000000000001</v>
      </c>
      <c r="G25" s="6">
        <v>1.5</v>
      </c>
    </row>
    <row r="26" spans="1:10" outlineLevel="1">
      <c r="A26" s="2"/>
      <c r="B26" s="656"/>
      <c r="C26" s="475" t="s">
        <v>14</v>
      </c>
      <c r="D26" s="475" t="s">
        <v>15</v>
      </c>
      <c r="E26" s="18" t="s">
        <v>73</v>
      </c>
      <c r="F26" s="6">
        <v>1</v>
      </c>
      <c r="G26" s="6">
        <v>1</v>
      </c>
    </row>
    <row r="27" spans="1:10" outlineLevel="1">
      <c r="A27" s="2"/>
      <c r="B27" s="656" t="s">
        <v>16</v>
      </c>
      <c r="C27" s="475" t="s">
        <v>10</v>
      </c>
      <c r="D27" s="475" t="s">
        <v>11</v>
      </c>
      <c r="E27" s="15">
        <v>600</v>
      </c>
      <c r="F27" s="6">
        <v>1</v>
      </c>
      <c r="G27" s="6">
        <v>1</v>
      </c>
    </row>
    <row r="28" spans="1:10" outlineLevel="1">
      <c r="A28" s="2"/>
      <c r="B28" s="656"/>
      <c r="C28" s="475" t="s">
        <v>12</v>
      </c>
      <c r="D28" s="475" t="s">
        <v>13</v>
      </c>
      <c r="E28" s="15">
        <v>1200</v>
      </c>
      <c r="F28" s="6">
        <v>1</v>
      </c>
      <c r="G28" s="6">
        <v>1</v>
      </c>
    </row>
    <row r="29" spans="1:10" outlineLevel="1">
      <c r="A29" s="2"/>
      <c r="B29" s="656"/>
      <c r="C29" s="475" t="s">
        <v>14</v>
      </c>
      <c r="D29" s="475" t="s">
        <v>15</v>
      </c>
      <c r="E29" s="18" t="s">
        <v>73</v>
      </c>
      <c r="F29" s="6">
        <v>1</v>
      </c>
      <c r="G29" s="6">
        <v>1</v>
      </c>
    </row>
    <row r="30" spans="1:10" outlineLevel="1">
      <c r="A30" s="2"/>
    </row>
    <row r="31" spans="1:10" outlineLevel="1">
      <c r="A31" s="2"/>
      <c r="I31" s="479" t="s">
        <v>489</v>
      </c>
    </row>
    <row r="32" spans="1:10" ht="38.25" outlineLevel="1">
      <c r="A32" s="2" t="s">
        <v>22</v>
      </c>
      <c r="C32" s="671" t="s">
        <v>5</v>
      </c>
      <c r="D32" s="671" t="s">
        <v>4</v>
      </c>
      <c r="E32" s="16"/>
      <c r="F32" s="653" t="s">
        <v>6</v>
      </c>
      <c r="G32" s="655"/>
      <c r="I32" s="475" t="s">
        <v>490</v>
      </c>
      <c r="J32" s="475" t="s">
        <v>491</v>
      </c>
    </row>
    <row r="33" spans="1:10" outlineLevel="1">
      <c r="A33" s="2"/>
      <c r="C33" s="672"/>
      <c r="D33" s="672"/>
      <c r="E33" s="17"/>
      <c r="F33" s="475" t="s">
        <v>7</v>
      </c>
      <c r="G33" s="475" t="s">
        <v>8</v>
      </c>
      <c r="I33" s="35">
        <v>100</v>
      </c>
      <c r="J33" s="6">
        <v>0.67</v>
      </c>
    </row>
    <row r="34" spans="1:10" outlineLevel="1">
      <c r="A34" s="2"/>
      <c r="C34" s="475" t="s">
        <v>10</v>
      </c>
      <c r="D34" s="475" t="s">
        <v>11</v>
      </c>
      <c r="E34" s="15">
        <v>600</v>
      </c>
      <c r="F34" s="6">
        <v>1</v>
      </c>
      <c r="G34" s="6">
        <v>0.71</v>
      </c>
      <c r="I34" s="35">
        <f>I33+$I$33</f>
        <v>200</v>
      </c>
      <c r="J34" s="6">
        <v>0.75</v>
      </c>
    </row>
    <row r="35" spans="1:10" outlineLevel="1">
      <c r="A35" s="2"/>
      <c r="C35" s="475" t="s">
        <v>12</v>
      </c>
      <c r="D35" s="475" t="s">
        <v>13</v>
      </c>
      <c r="E35" s="15">
        <v>1200</v>
      </c>
      <c r="F35" s="6">
        <v>1</v>
      </c>
      <c r="G35" s="6">
        <v>0.93</v>
      </c>
      <c r="I35" s="35">
        <f t="shared" ref="I35:I41" si="0">I34+$I$33</f>
        <v>300</v>
      </c>
      <c r="J35" s="6">
        <v>0.83</v>
      </c>
    </row>
    <row r="36" spans="1:10" outlineLevel="1">
      <c r="A36" s="2"/>
      <c r="C36" s="475" t="s">
        <v>14</v>
      </c>
      <c r="D36" s="475" t="s">
        <v>15</v>
      </c>
      <c r="E36" s="18" t="s">
        <v>73</v>
      </c>
      <c r="F36" s="6">
        <v>1</v>
      </c>
      <c r="G36" s="6">
        <v>0.99</v>
      </c>
      <c r="I36" s="35">
        <f t="shared" si="0"/>
        <v>400</v>
      </c>
      <c r="J36" s="6">
        <v>0.9</v>
      </c>
    </row>
    <row r="37" spans="1:10" outlineLevel="1">
      <c r="A37" s="2"/>
      <c r="I37" s="35">
        <f t="shared" si="0"/>
        <v>500</v>
      </c>
      <c r="J37" s="6">
        <v>0.95</v>
      </c>
    </row>
    <row r="38" spans="1:10" ht="38.25" outlineLevel="1">
      <c r="A38" s="2" t="s">
        <v>21</v>
      </c>
      <c r="C38" s="671" t="s">
        <v>5</v>
      </c>
      <c r="D38" s="671" t="s">
        <v>4</v>
      </c>
      <c r="E38" s="16"/>
      <c r="F38" s="653" t="s">
        <v>6</v>
      </c>
      <c r="G38" s="655"/>
      <c r="I38" s="35">
        <f t="shared" si="0"/>
        <v>600</v>
      </c>
      <c r="J38" s="6">
        <v>0.97</v>
      </c>
    </row>
    <row r="39" spans="1:10" outlineLevel="1">
      <c r="A39" s="2"/>
      <c r="C39" s="672"/>
      <c r="D39" s="672"/>
      <c r="E39" s="17"/>
      <c r="F39" s="475" t="s">
        <v>7</v>
      </c>
      <c r="G39" s="475" t="s">
        <v>8</v>
      </c>
      <c r="I39" s="35">
        <f t="shared" si="0"/>
        <v>700</v>
      </c>
      <c r="J39" s="6">
        <v>0.98</v>
      </c>
    </row>
    <row r="40" spans="1:10" outlineLevel="1">
      <c r="A40" s="2"/>
      <c r="C40" s="475" t="s">
        <v>10</v>
      </c>
      <c r="D40" s="475" t="s">
        <v>11</v>
      </c>
      <c r="E40" s="15">
        <v>600</v>
      </c>
      <c r="F40" s="6">
        <v>1</v>
      </c>
      <c r="G40" s="6">
        <v>0.77</v>
      </c>
      <c r="I40" s="35">
        <f t="shared" si="0"/>
        <v>800</v>
      </c>
      <c r="J40" s="6">
        <v>0.99</v>
      </c>
    </row>
    <row r="41" spans="1:10" outlineLevel="1">
      <c r="A41" s="2"/>
      <c r="C41" s="475" t="s">
        <v>12</v>
      </c>
      <c r="D41" s="475" t="s">
        <v>13</v>
      </c>
      <c r="E41" s="15">
        <v>1200</v>
      </c>
      <c r="F41" s="6">
        <v>1</v>
      </c>
      <c r="G41" s="6">
        <v>0.94</v>
      </c>
      <c r="I41" s="35">
        <f t="shared" si="0"/>
        <v>900</v>
      </c>
      <c r="J41" s="6">
        <v>1</v>
      </c>
    </row>
    <row r="42" spans="1:10" outlineLevel="1">
      <c r="A42" s="2"/>
      <c r="C42" s="475" t="s">
        <v>14</v>
      </c>
      <c r="D42" s="475" t="s">
        <v>15</v>
      </c>
      <c r="E42" s="18" t="s">
        <v>73</v>
      </c>
      <c r="F42" s="6">
        <v>1</v>
      </c>
      <c r="G42" s="6">
        <v>1</v>
      </c>
      <c r="J42" s="2"/>
    </row>
    <row r="43" spans="1:10" outlineLevel="1">
      <c r="A43" s="2"/>
      <c r="I43" s="437">
        <v>450</v>
      </c>
      <c r="J43" s="480">
        <f>INDEX(J33:J41,MATCH(I43,I33:I41),0)+(INDEX(J33:J41,MATCH(I43,I33:I41)+1,0)-INDEX(J33:J41,MATCH(I43,I33:I41),0))*(I43-ROUNDDOWN(I43,-2))/100</f>
        <v>0.92499999999999993</v>
      </c>
    </row>
    <row r="44" spans="1:10" ht="25.5" outlineLevel="1">
      <c r="A44" s="2" t="s">
        <v>57</v>
      </c>
      <c r="B44" s="7" t="s">
        <v>23</v>
      </c>
    </row>
    <row r="45" spans="1:10" ht="25.5" outlineLevel="1">
      <c r="A45" s="2" t="s">
        <v>58</v>
      </c>
      <c r="B45" s="7" t="s">
        <v>23</v>
      </c>
    </row>
    <row r="46" spans="1:10" ht="25.5" outlineLevel="1">
      <c r="A46" s="2" t="s">
        <v>24</v>
      </c>
      <c r="B46" s="7" t="s">
        <v>25</v>
      </c>
      <c r="C46" s="2" t="s">
        <v>30</v>
      </c>
    </row>
    <row r="47" spans="1:10" outlineLevel="1">
      <c r="A47" s="2"/>
    </row>
    <row r="48" spans="1:10" ht="25.5" outlineLevel="1">
      <c r="A48" s="2" t="s">
        <v>32</v>
      </c>
      <c r="B48" s="656" t="s">
        <v>33</v>
      </c>
      <c r="C48" s="653" t="s">
        <v>34</v>
      </c>
      <c r="D48" s="654"/>
      <c r="E48" s="654"/>
      <c r="F48" s="655"/>
      <c r="I48" s="3"/>
    </row>
    <row r="49" spans="1:9" outlineLevel="1">
      <c r="B49" s="656"/>
      <c r="C49" s="653" t="s">
        <v>35</v>
      </c>
      <c r="D49" s="654"/>
      <c r="E49" s="654"/>
      <c r="F49" s="655"/>
      <c r="I49" s="3"/>
    </row>
    <row r="50" spans="1:9" outlineLevel="1">
      <c r="B50" s="656"/>
      <c r="C50" s="5" t="s">
        <v>40</v>
      </c>
      <c r="D50" s="5" t="s">
        <v>41</v>
      </c>
      <c r="E50" s="5" t="s">
        <v>42</v>
      </c>
      <c r="F50" s="5" t="s">
        <v>43</v>
      </c>
    </row>
    <row r="51" spans="1:9" outlineLevel="1">
      <c r="A51" s="3" t="s">
        <v>87</v>
      </c>
      <c r="B51" s="5" t="s">
        <v>36</v>
      </c>
      <c r="C51" s="34">
        <v>6.4</v>
      </c>
      <c r="D51" s="34">
        <v>4.8</v>
      </c>
      <c r="E51" s="34">
        <v>3.5</v>
      </c>
      <c r="F51" s="34">
        <v>2.2000000000000002</v>
      </c>
    </row>
    <row r="52" spans="1:9" outlineLevel="1">
      <c r="A52" s="3" t="s">
        <v>88</v>
      </c>
      <c r="B52" s="5" t="s">
        <v>37</v>
      </c>
      <c r="C52" s="34">
        <v>5.3</v>
      </c>
      <c r="D52" s="34">
        <v>3.7</v>
      </c>
      <c r="E52" s="34">
        <v>2.4</v>
      </c>
      <c r="F52" s="34">
        <v>1.1000000000000001</v>
      </c>
    </row>
    <row r="53" spans="1:9" outlineLevel="1">
      <c r="A53" s="3" t="s">
        <v>89</v>
      </c>
      <c r="B53" s="5" t="s">
        <v>38</v>
      </c>
      <c r="C53" s="34">
        <v>4.7</v>
      </c>
      <c r="D53" s="34">
        <v>3</v>
      </c>
      <c r="E53" s="34">
        <v>1.7</v>
      </c>
      <c r="F53" s="34">
        <v>0.4</v>
      </c>
    </row>
    <row r="54" spans="1:9" outlineLevel="1">
      <c r="B54" s="5" t="s">
        <v>39</v>
      </c>
      <c r="C54" s="34">
        <v>4.2</v>
      </c>
      <c r="D54" s="34">
        <v>2.6</v>
      </c>
      <c r="E54" s="34">
        <v>1.3</v>
      </c>
      <c r="F54" s="34">
        <v>0</v>
      </c>
    </row>
    <row r="55" spans="1:9" outlineLevel="1">
      <c r="A55" s="2"/>
    </row>
    <row r="56" spans="1:9" ht="38.25" outlineLevel="1">
      <c r="A56" s="2" t="s">
        <v>44</v>
      </c>
      <c r="B56" s="475" t="s">
        <v>45</v>
      </c>
      <c r="C56" s="475" t="s">
        <v>46</v>
      </c>
    </row>
    <row r="57" spans="1:9" outlineLevel="1">
      <c r="B57" s="35">
        <v>0</v>
      </c>
      <c r="C57" s="6">
        <v>0</v>
      </c>
    </row>
    <row r="58" spans="1:9" outlineLevel="1">
      <c r="B58" s="35">
        <v>6</v>
      </c>
      <c r="C58" s="6">
        <v>4</v>
      </c>
      <c r="E58" s="14" t="s">
        <v>95</v>
      </c>
      <c r="F58" s="2">
        <v>12</v>
      </c>
    </row>
    <row r="59" spans="1:9" outlineLevel="1">
      <c r="B59" s="35">
        <v>12</v>
      </c>
      <c r="C59" s="6">
        <v>8</v>
      </c>
    </row>
    <row r="60" spans="1:9" outlineLevel="1">
      <c r="B60" s="35">
        <v>18</v>
      </c>
      <c r="C60" s="6">
        <v>12</v>
      </c>
    </row>
    <row r="61" spans="1:9" outlineLevel="1">
      <c r="B61" s="6" t="s">
        <v>47</v>
      </c>
      <c r="C61" s="6">
        <v>16</v>
      </c>
    </row>
    <row r="62" spans="1:9" outlineLevel="1"/>
    <row r="63" spans="1:9" ht="25.5" outlineLevel="1">
      <c r="A63" s="2" t="s">
        <v>48</v>
      </c>
      <c r="B63" s="7" t="s">
        <v>49</v>
      </c>
      <c r="E63" s="14">
        <v>673</v>
      </c>
    </row>
    <row r="64" spans="1:9" outlineLevel="1"/>
    <row r="65" spans="1:41" ht="63.75" outlineLevel="1">
      <c r="A65" s="2" t="s">
        <v>51</v>
      </c>
      <c r="B65" s="656" t="s">
        <v>52</v>
      </c>
      <c r="C65" s="656" t="s">
        <v>53</v>
      </c>
      <c r="D65" s="656"/>
      <c r="E65" s="656"/>
      <c r="F65" s="656"/>
      <c r="G65" s="656"/>
      <c r="H65" s="656"/>
      <c r="J65" s="2" t="s">
        <v>32</v>
      </c>
      <c r="K65" s="656" t="s">
        <v>33</v>
      </c>
      <c r="L65" s="653" t="s">
        <v>34</v>
      </c>
      <c r="M65" s="654"/>
      <c r="N65" s="654"/>
      <c r="O65" s="655"/>
      <c r="AH65" s="2" t="s">
        <v>51</v>
      </c>
    </row>
    <row r="66" spans="1:41" outlineLevel="1">
      <c r="B66" s="656"/>
      <c r="C66" s="656" t="s">
        <v>54</v>
      </c>
      <c r="D66" s="656"/>
      <c r="E66" s="656"/>
      <c r="F66" s="656"/>
      <c r="G66" s="656"/>
      <c r="H66" s="656"/>
      <c r="K66" s="656"/>
      <c r="L66" s="653" t="s">
        <v>35</v>
      </c>
      <c r="M66" s="654"/>
      <c r="N66" s="654"/>
      <c r="O66" s="655"/>
    </row>
    <row r="67" spans="1:41" outlineLevel="1">
      <c r="B67" s="656"/>
      <c r="C67" s="26">
        <v>0</v>
      </c>
      <c r="D67" s="26">
        <v>0.2</v>
      </c>
      <c r="E67" s="26">
        <v>0.4</v>
      </c>
      <c r="F67" s="26">
        <v>0.6</v>
      </c>
      <c r="G67" s="26">
        <v>0.8</v>
      </c>
      <c r="H67" s="26">
        <v>1</v>
      </c>
      <c r="I67" s="3"/>
      <c r="K67" s="671"/>
      <c r="L67" s="27">
        <v>0</v>
      </c>
      <c r="M67" s="27">
        <f>L67+0.1</f>
        <v>0.1</v>
      </c>
      <c r="N67" s="27">
        <f t="shared" ref="N67:AF67" si="1">M67+0.1</f>
        <v>0.2</v>
      </c>
      <c r="O67" s="27">
        <f t="shared" si="1"/>
        <v>0.30000000000000004</v>
      </c>
      <c r="P67" s="27">
        <f t="shared" si="1"/>
        <v>0.4</v>
      </c>
      <c r="Q67" s="27">
        <f t="shared" si="1"/>
        <v>0.5</v>
      </c>
      <c r="R67" s="27">
        <f t="shared" si="1"/>
        <v>0.6</v>
      </c>
      <c r="S67" s="27">
        <f t="shared" si="1"/>
        <v>0.7</v>
      </c>
      <c r="T67" s="27">
        <f t="shared" si="1"/>
        <v>0.79999999999999993</v>
      </c>
      <c r="U67" s="27">
        <f t="shared" si="1"/>
        <v>0.89999999999999991</v>
      </c>
      <c r="V67" s="27">
        <f t="shared" si="1"/>
        <v>0.99999999999999989</v>
      </c>
      <c r="W67" s="27">
        <f t="shared" si="1"/>
        <v>1.0999999999999999</v>
      </c>
      <c r="X67" s="27">
        <f t="shared" si="1"/>
        <v>1.2</v>
      </c>
      <c r="Y67" s="27">
        <f t="shared" si="1"/>
        <v>1.3</v>
      </c>
      <c r="Z67" s="27">
        <f t="shared" si="1"/>
        <v>1.4000000000000001</v>
      </c>
      <c r="AA67" s="27">
        <f t="shared" si="1"/>
        <v>1.5000000000000002</v>
      </c>
      <c r="AB67" s="27">
        <f t="shared" si="1"/>
        <v>1.6000000000000003</v>
      </c>
      <c r="AC67" s="27">
        <f t="shared" si="1"/>
        <v>1.7000000000000004</v>
      </c>
      <c r="AD67" s="27">
        <f>AC67+0.1</f>
        <v>1.8000000000000005</v>
      </c>
      <c r="AE67" s="27">
        <f t="shared" si="1"/>
        <v>1.9000000000000006</v>
      </c>
      <c r="AF67" s="27">
        <f t="shared" si="1"/>
        <v>2.0000000000000004</v>
      </c>
      <c r="AJ67" s="26">
        <v>0</v>
      </c>
      <c r="AL67" s="26">
        <v>0.4</v>
      </c>
      <c r="AM67" s="26">
        <v>0.6</v>
      </c>
      <c r="AN67" s="26">
        <v>0.8</v>
      </c>
      <c r="AO67" s="26">
        <v>1</v>
      </c>
    </row>
    <row r="68" spans="1:41" outlineLevel="1">
      <c r="B68" s="5">
        <v>0</v>
      </c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3"/>
      <c r="K68" s="28">
        <v>2.7</v>
      </c>
      <c r="L68" s="32">
        <f t="shared" ref="L68:P70" si="2">$Q$70</f>
        <v>6.4</v>
      </c>
      <c r="M68" s="32">
        <f t="shared" si="2"/>
        <v>6.4</v>
      </c>
      <c r="N68" s="32">
        <f t="shared" si="2"/>
        <v>6.4</v>
      </c>
      <c r="O68" s="32">
        <f t="shared" si="2"/>
        <v>6.4</v>
      </c>
      <c r="P68" s="30">
        <f t="shared" si="2"/>
        <v>6.4</v>
      </c>
      <c r="Q68" s="30">
        <f>$Q$70</f>
        <v>6.4</v>
      </c>
      <c r="R68" s="22">
        <v>7.7</v>
      </c>
      <c r="S68" s="22">
        <v>7.7</v>
      </c>
      <c r="T68" s="22">
        <v>7.7</v>
      </c>
      <c r="U68" s="22">
        <v>7.7</v>
      </c>
      <c r="V68" s="22">
        <v>7.7</v>
      </c>
      <c r="W68" s="22">
        <v>7.7</v>
      </c>
      <c r="X68" s="30">
        <v>5.6</v>
      </c>
      <c r="Y68" s="30">
        <v>5.6</v>
      </c>
      <c r="Z68" s="30">
        <v>5.6</v>
      </c>
      <c r="AA68" s="30">
        <v>5.6</v>
      </c>
      <c r="AB68" s="30">
        <v>5.6</v>
      </c>
      <c r="AC68" s="30">
        <v>5.6</v>
      </c>
      <c r="AD68" s="22">
        <v>3.5</v>
      </c>
      <c r="AE68" s="22">
        <v>3.5</v>
      </c>
      <c r="AF68" s="22">
        <v>3.5</v>
      </c>
      <c r="AI68" s="5">
        <v>0</v>
      </c>
      <c r="AJ68" s="6">
        <v>0</v>
      </c>
      <c r="AK68" s="26">
        <v>0</v>
      </c>
    </row>
    <row r="69" spans="1:41" outlineLevel="1">
      <c r="B69" s="5">
        <v>200</v>
      </c>
      <c r="C69" s="6">
        <v>0</v>
      </c>
      <c r="D69" s="6">
        <v>1</v>
      </c>
      <c r="E69" s="6">
        <v>2.2999999999999998</v>
      </c>
      <c r="F69" s="6">
        <v>3.8</v>
      </c>
      <c r="G69" s="6">
        <v>4.2</v>
      </c>
      <c r="H69" s="6">
        <v>5.6</v>
      </c>
      <c r="I69" s="3"/>
      <c r="K69" s="28">
        <v>2.8</v>
      </c>
      <c r="L69" s="32">
        <f t="shared" si="2"/>
        <v>6.4</v>
      </c>
      <c r="M69" s="32">
        <f t="shared" si="2"/>
        <v>6.4</v>
      </c>
      <c r="N69" s="32">
        <f t="shared" si="2"/>
        <v>6.4</v>
      </c>
      <c r="O69" s="32">
        <f t="shared" si="2"/>
        <v>6.4</v>
      </c>
      <c r="P69" s="30">
        <f t="shared" si="2"/>
        <v>6.4</v>
      </c>
      <c r="Q69" s="30">
        <f>$Q$70</f>
        <v>6.4</v>
      </c>
      <c r="R69" s="22">
        <v>7.7</v>
      </c>
      <c r="S69" s="22">
        <v>7.7</v>
      </c>
      <c r="T69" s="22">
        <v>7.7</v>
      </c>
      <c r="U69" s="22">
        <v>7.7</v>
      </c>
      <c r="V69" s="22">
        <v>7.7</v>
      </c>
      <c r="W69" s="22">
        <v>7.7</v>
      </c>
      <c r="X69" s="30">
        <v>5.6</v>
      </c>
      <c r="Y69" s="30">
        <v>5.6</v>
      </c>
      <c r="Z69" s="30">
        <v>5.6</v>
      </c>
      <c r="AA69" s="30">
        <v>5.6</v>
      </c>
      <c r="AB69" s="30">
        <v>5.6</v>
      </c>
      <c r="AC69" s="30">
        <v>5.6</v>
      </c>
      <c r="AD69" s="22">
        <v>3.5</v>
      </c>
      <c r="AE69" s="22">
        <v>3.5</v>
      </c>
      <c r="AF69" s="22">
        <v>3.5</v>
      </c>
      <c r="AI69" s="5">
        <v>200</v>
      </c>
      <c r="AJ69" s="6">
        <v>0</v>
      </c>
      <c r="AK69" s="26">
        <v>0</v>
      </c>
    </row>
    <row r="70" spans="1:41" outlineLevel="1">
      <c r="B70" s="5">
        <v>400</v>
      </c>
      <c r="C70" s="6">
        <v>0</v>
      </c>
      <c r="D70" s="6">
        <v>2.7</v>
      </c>
      <c r="E70" s="6">
        <v>4.3</v>
      </c>
      <c r="F70" s="6">
        <v>5.7</v>
      </c>
      <c r="G70" s="6">
        <v>6.3</v>
      </c>
      <c r="H70" s="6">
        <v>7.3</v>
      </c>
      <c r="I70" s="3">
        <v>700</v>
      </c>
      <c r="J70" s="3" t="s">
        <v>373</v>
      </c>
      <c r="K70" s="28">
        <v>2.9</v>
      </c>
      <c r="L70" s="32">
        <f t="shared" si="2"/>
        <v>6.4</v>
      </c>
      <c r="M70" s="32">
        <f t="shared" si="2"/>
        <v>6.4</v>
      </c>
      <c r="N70" s="32">
        <f t="shared" si="2"/>
        <v>6.4</v>
      </c>
      <c r="O70" s="32">
        <f t="shared" si="2"/>
        <v>6.4</v>
      </c>
      <c r="P70" s="30">
        <f t="shared" si="2"/>
        <v>6.4</v>
      </c>
      <c r="Q70" s="30">
        <f>C51</f>
        <v>6.4</v>
      </c>
      <c r="R70" s="22">
        <v>7.7</v>
      </c>
      <c r="S70" s="22">
        <v>7.7</v>
      </c>
      <c r="T70" s="22">
        <v>7.7</v>
      </c>
      <c r="U70" s="22">
        <v>7.7</v>
      </c>
      <c r="V70" s="22">
        <v>7.7</v>
      </c>
      <c r="W70" s="22">
        <v>7.7</v>
      </c>
      <c r="X70" s="30">
        <v>5.6</v>
      </c>
      <c r="Y70" s="30">
        <v>5.6</v>
      </c>
      <c r="Z70" s="30">
        <v>5.6</v>
      </c>
      <c r="AA70" s="30">
        <v>5.6</v>
      </c>
      <c r="AB70" s="30">
        <v>5.6</v>
      </c>
      <c r="AC70" s="30">
        <v>5.6</v>
      </c>
      <c r="AD70" s="22">
        <v>3.5</v>
      </c>
      <c r="AE70" s="22">
        <v>3.5</v>
      </c>
      <c r="AF70" s="22">
        <v>3.5</v>
      </c>
      <c r="AI70" s="5">
        <v>400</v>
      </c>
      <c r="AJ70" s="6">
        <v>0</v>
      </c>
      <c r="AK70" s="26">
        <v>0</v>
      </c>
    </row>
    <row r="71" spans="1:41" outlineLevel="1">
      <c r="B71" s="5">
        <v>600</v>
      </c>
      <c r="C71" s="6">
        <v>0</v>
      </c>
      <c r="D71" s="393">
        <v>2.5</v>
      </c>
      <c r="E71" s="393">
        <v>3.8</v>
      </c>
      <c r="F71" s="6">
        <v>4.9000000000000004</v>
      </c>
      <c r="G71" s="6">
        <v>5.5</v>
      </c>
      <c r="H71" s="6">
        <v>6.2</v>
      </c>
      <c r="I71" s="431">
        <v>0.3</v>
      </c>
      <c r="J71" s="3" t="s">
        <v>418</v>
      </c>
      <c r="K71" s="28">
        <v>3</v>
      </c>
      <c r="L71" s="29">
        <v>8.5</v>
      </c>
      <c r="M71" s="29">
        <v>8.5</v>
      </c>
      <c r="N71" s="29">
        <v>8.5</v>
      </c>
      <c r="O71" s="29">
        <v>8.5</v>
      </c>
      <c r="P71" s="22">
        <v>8.5</v>
      </c>
      <c r="Q71" s="22">
        <v>8.5</v>
      </c>
      <c r="R71" s="30">
        <v>5.9</v>
      </c>
      <c r="S71" s="30">
        <v>5.9</v>
      </c>
      <c r="T71" s="30">
        <v>5.9</v>
      </c>
      <c r="U71" s="30">
        <v>5.9</v>
      </c>
      <c r="V71" s="30">
        <v>5.9</v>
      </c>
      <c r="W71" s="30">
        <v>5.9</v>
      </c>
      <c r="X71" s="22">
        <v>3.8</v>
      </c>
      <c r="Y71" s="22">
        <v>3.8</v>
      </c>
      <c r="Z71" s="22">
        <v>3.8</v>
      </c>
      <c r="AA71" s="22">
        <v>3.8</v>
      </c>
      <c r="AB71" s="22">
        <v>3.8</v>
      </c>
      <c r="AC71" s="22">
        <v>3.8</v>
      </c>
      <c r="AD71" s="30">
        <v>1.7</v>
      </c>
      <c r="AE71" s="30">
        <v>1.7</v>
      </c>
      <c r="AF71" s="30">
        <v>1.7</v>
      </c>
      <c r="AI71" s="5">
        <v>600</v>
      </c>
      <c r="AJ71" s="6">
        <v>0</v>
      </c>
      <c r="AK71" s="26">
        <v>0</v>
      </c>
    </row>
    <row r="72" spans="1:41" outlineLevel="1">
      <c r="B72" s="5">
        <v>800</v>
      </c>
      <c r="C72" s="6">
        <v>0</v>
      </c>
      <c r="D72" s="393">
        <v>2.2000000000000002</v>
      </c>
      <c r="E72" s="393">
        <v>3.1</v>
      </c>
      <c r="F72" s="6">
        <v>3.9</v>
      </c>
      <c r="G72" s="6">
        <v>4.3</v>
      </c>
      <c r="H72" s="6">
        <v>4.9000000000000004</v>
      </c>
      <c r="I72" s="3"/>
      <c r="K72" s="28">
        <v>3.1</v>
      </c>
      <c r="L72" s="22">
        <v>8.5</v>
      </c>
      <c r="M72" s="22">
        <v>8.5</v>
      </c>
      <c r="N72" s="22">
        <v>8.5</v>
      </c>
      <c r="O72" s="22">
        <v>8.5</v>
      </c>
      <c r="P72" s="22">
        <v>8.5</v>
      </c>
      <c r="Q72" s="22">
        <v>8.5</v>
      </c>
      <c r="R72" s="30">
        <v>5.9</v>
      </c>
      <c r="S72" s="30">
        <v>5.9</v>
      </c>
      <c r="T72" s="30">
        <v>5.9</v>
      </c>
      <c r="U72" s="30">
        <v>5.9</v>
      </c>
      <c r="V72" s="30">
        <v>5.9</v>
      </c>
      <c r="W72" s="30">
        <v>5.9</v>
      </c>
      <c r="X72" s="22">
        <v>3.8</v>
      </c>
      <c r="Y72" s="22">
        <v>3.8</v>
      </c>
      <c r="Z72" s="22">
        <v>3.8</v>
      </c>
      <c r="AA72" s="22">
        <v>3.8</v>
      </c>
      <c r="AB72" s="22">
        <v>3.8</v>
      </c>
      <c r="AC72" s="22">
        <v>3.8</v>
      </c>
      <c r="AD72" s="30">
        <v>1.7</v>
      </c>
      <c r="AE72" s="30">
        <v>1.7</v>
      </c>
      <c r="AF72" s="30">
        <v>1.7</v>
      </c>
      <c r="AI72" s="5">
        <v>800</v>
      </c>
      <c r="AJ72" s="6">
        <v>0</v>
      </c>
      <c r="AK72" s="26">
        <v>0</v>
      </c>
    </row>
    <row r="73" spans="1:41" outlineLevel="1">
      <c r="B73" s="5">
        <v>1000</v>
      </c>
      <c r="C73" s="6">
        <v>0</v>
      </c>
      <c r="D73" s="6">
        <v>1.8</v>
      </c>
      <c r="E73" s="6">
        <v>2.5</v>
      </c>
      <c r="F73" s="6">
        <v>3.2</v>
      </c>
      <c r="G73" s="6">
        <v>3.6</v>
      </c>
      <c r="H73" s="6">
        <v>4.2</v>
      </c>
      <c r="I73" s="3"/>
      <c r="K73" s="28">
        <v>3.2</v>
      </c>
      <c r="L73" s="22">
        <v>8.5</v>
      </c>
      <c r="M73" s="22">
        <v>8.5</v>
      </c>
      <c r="N73" s="22">
        <v>8.5</v>
      </c>
      <c r="O73" s="22">
        <v>8.5</v>
      </c>
      <c r="P73" s="22">
        <v>8.5</v>
      </c>
      <c r="Q73" s="22">
        <v>8.5</v>
      </c>
      <c r="R73" s="30">
        <v>5.9</v>
      </c>
      <c r="S73" s="30">
        <v>5.9</v>
      </c>
      <c r="T73" s="30">
        <v>5.9</v>
      </c>
      <c r="U73" s="30">
        <v>5.9</v>
      </c>
      <c r="V73" s="30">
        <v>5.9</v>
      </c>
      <c r="W73" s="30">
        <v>5.9</v>
      </c>
      <c r="X73" s="22">
        <v>3.8</v>
      </c>
      <c r="Y73" s="22">
        <v>3.8</v>
      </c>
      <c r="Z73" s="22">
        <v>3.8</v>
      </c>
      <c r="AA73" s="22">
        <v>3.8</v>
      </c>
      <c r="AB73" s="22">
        <v>3.8</v>
      </c>
      <c r="AC73" s="22">
        <v>3.8</v>
      </c>
      <c r="AD73" s="30">
        <v>1.7</v>
      </c>
      <c r="AE73" s="30">
        <v>1.7</v>
      </c>
      <c r="AF73" s="30">
        <v>1.7</v>
      </c>
      <c r="AI73" s="5">
        <v>1000</v>
      </c>
      <c r="AJ73" s="6">
        <v>0</v>
      </c>
      <c r="AK73" s="26">
        <v>0</v>
      </c>
    </row>
    <row r="74" spans="1:41" outlineLevel="1">
      <c r="B74" s="5">
        <v>1200</v>
      </c>
      <c r="C74" s="6">
        <v>0</v>
      </c>
      <c r="D74" s="6">
        <v>1.3</v>
      </c>
      <c r="E74" s="6">
        <v>2</v>
      </c>
      <c r="F74" s="6">
        <v>2.6</v>
      </c>
      <c r="G74" s="6">
        <v>3</v>
      </c>
      <c r="H74" s="6">
        <v>3.4</v>
      </c>
      <c r="I74" s="3"/>
      <c r="K74" s="28">
        <v>3.3</v>
      </c>
      <c r="L74" s="30">
        <v>7.5</v>
      </c>
      <c r="M74" s="30">
        <v>7.5</v>
      </c>
      <c r="N74" s="30">
        <v>7.5</v>
      </c>
      <c r="O74" s="30">
        <v>7.5</v>
      </c>
      <c r="P74" s="30">
        <v>7.5</v>
      </c>
      <c r="Q74" s="30">
        <v>7.5</v>
      </c>
      <c r="R74" s="22">
        <v>4.9000000000000004</v>
      </c>
      <c r="S74" s="22">
        <v>4.9000000000000004</v>
      </c>
      <c r="T74" s="22">
        <v>4.9000000000000004</v>
      </c>
      <c r="U74" s="22">
        <v>4.9000000000000004</v>
      </c>
      <c r="V74" s="22">
        <v>4.9000000000000004</v>
      </c>
      <c r="W74" s="22">
        <v>4.9000000000000004</v>
      </c>
      <c r="X74" s="30">
        <v>2.8</v>
      </c>
      <c r="Y74" s="30">
        <v>2.8</v>
      </c>
      <c r="Z74" s="30">
        <v>2.8</v>
      </c>
      <c r="AA74" s="30">
        <v>2.8</v>
      </c>
      <c r="AB74" s="30">
        <v>2.8</v>
      </c>
      <c r="AC74" s="30">
        <v>2.8</v>
      </c>
      <c r="AD74" s="22">
        <v>0.7</v>
      </c>
      <c r="AE74" s="22">
        <v>0.7</v>
      </c>
      <c r="AF74" s="22">
        <v>0.7</v>
      </c>
      <c r="AI74" s="5">
        <v>1200</v>
      </c>
      <c r="AJ74" s="6">
        <v>0</v>
      </c>
      <c r="AK74" s="26">
        <v>0</v>
      </c>
    </row>
    <row r="75" spans="1:41" outlineLevel="1">
      <c r="B75" s="5">
        <v>1400</v>
      </c>
      <c r="C75" s="6">
        <v>0</v>
      </c>
      <c r="D75" s="6">
        <v>0.9</v>
      </c>
      <c r="E75" s="6">
        <v>1.4</v>
      </c>
      <c r="F75" s="6">
        <v>1.9</v>
      </c>
      <c r="G75" s="6">
        <v>2.2999999999999998</v>
      </c>
      <c r="H75" s="6">
        <v>2.7</v>
      </c>
      <c r="I75" s="3"/>
      <c r="K75" s="28">
        <v>3.4</v>
      </c>
      <c r="L75" s="30">
        <v>7.5</v>
      </c>
      <c r="M75" s="30">
        <v>7.5</v>
      </c>
      <c r="N75" s="30">
        <v>7.5</v>
      </c>
      <c r="O75" s="30">
        <v>7.5</v>
      </c>
      <c r="P75" s="30">
        <v>7.5</v>
      </c>
      <c r="Q75" s="30">
        <v>7.5</v>
      </c>
      <c r="R75" s="22">
        <v>4.9000000000000004</v>
      </c>
      <c r="S75" s="22">
        <v>4.9000000000000004</v>
      </c>
      <c r="T75" s="22">
        <v>4.9000000000000004</v>
      </c>
      <c r="U75" s="22">
        <v>4.9000000000000004</v>
      </c>
      <c r="V75" s="22">
        <v>4.9000000000000004</v>
      </c>
      <c r="W75" s="22">
        <v>4.9000000000000004</v>
      </c>
      <c r="X75" s="30">
        <v>2.8</v>
      </c>
      <c r="Y75" s="30">
        <v>2.8</v>
      </c>
      <c r="Z75" s="30">
        <v>2.8</v>
      </c>
      <c r="AA75" s="30">
        <v>2.8</v>
      </c>
      <c r="AB75" s="30">
        <v>2.8</v>
      </c>
      <c r="AC75" s="30">
        <v>2.8</v>
      </c>
      <c r="AD75" s="22">
        <v>0.7</v>
      </c>
      <c r="AE75" s="22">
        <v>0.7</v>
      </c>
      <c r="AF75" s="22">
        <v>0.7</v>
      </c>
      <c r="AI75" s="5">
        <v>1400</v>
      </c>
      <c r="AJ75" s="6">
        <v>0</v>
      </c>
      <c r="AK75" s="26">
        <v>0</v>
      </c>
    </row>
    <row r="76" spans="1:41" outlineLevel="1">
      <c r="B76" s="5">
        <v>1600</v>
      </c>
      <c r="C76" s="6">
        <v>0</v>
      </c>
      <c r="D76" s="6">
        <v>0.9</v>
      </c>
      <c r="E76" s="6">
        <v>1.3</v>
      </c>
      <c r="F76" s="6">
        <v>1.7</v>
      </c>
      <c r="G76" s="6">
        <v>2.1</v>
      </c>
      <c r="H76" s="6">
        <v>2.4</v>
      </c>
      <c r="I76" s="3"/>
      <c r="K76" s="28">
        <v>3.5</v>
      </c>
      <c r="L76" s="30">
        <v>7.5</v>
      </c>
      <c r="M76" s="30">
        <v>7.5</v>
      </c>
      <c r="N76" s="30">
        <v>7.5</v>
      </c>
      <c r="O76" s="30">
        <v>7.5</v>
      </c>
      <c r="P76" s="30">
        <v>7.5</v>
      </c>
      <c r="Q76" s="30">
        <v>7.5</v>
      </c>
      <c r="R76" s="22">
        <v>4.9000000000000004</v>
      </c>
      <c r="S76" s="22">
        <v>4.9000000000000004</v>
      </c>
      <c r="T76" s="22">
        <v>4.9000000000000004</v>
      </c>
      <c r="U76" s="22">
        <v>4.9000000000000004</v>
      </c>
      <c r="V76" s="22">
        <v>4.9000000000000004</v>
      </c>
      <c r="W76" s="22">
        <v>4.9000000000000004</v>
      </c>
      <c r="X76" s="30">
        <v>2.8</v>
      </c>
      <c r="Y76" s="30">
        <v>2.8</v>
      </c>
      <c r="Z76" s="30">
        <v>2.8</v>
      </c>
      <c r="AA76" s="30">
        <v>2.8</v>
      </c>
      <c r="AB76" s="30">
        <v>2.8</v>
      </c>
      <c r="AC76" s="30">
        <v>2.8</v>
      </c>
      <c r="AD76" s="22">
        <v>0.7</v>
      </c>
      <c r="AE76" s="22">
        <v>0.7</v>
      </c>
      <c r="AF76" s="22">
        <v>0.7</v>
      </c>
      <c r="AI76" s="5">
        <v>1600</v>
      </c>
      <c r="AJ76" s="6">
        <v>0</v>
      </c>
      <c r="AK76" s="26">
        <v>0</v>
      </c>
    </row>
    <row r="77" spans="1:41" outlineLevel="1">
      <c r="B77" s="5">
        <v>1800</v>
      </c>
      <c r="C77" s="6">
        <v>0</v>
      </c>
      <c r="D77" s="6">
        <v>0.8</v>
      </c>
      <c r="E77" s="6">
        <v>1.1000000000000001</v>
      </c>
      <c r="F77" s="6">
        <v>1.6</v>
      </c>
      <c r="G77" s="6">
        <v>1.8</v>
      </c>
      <c r="H77" s="6">
        <v>2.1</v>
      </c>
      <c r="I77" s="3"/>
      <c r="K77" s="28">
        <v>3.6</v>
      </c>
      <c r="L77" s="22">
        <v>6.8</v>
      </c>
      <c r="M77" s="22">
        <v>6.8</v>
      </c>
      <c r="N77" s="22">
        <v>6.8</v>
      </c>
      <c r="O77" s="22">
        <v>6.8</v>
      </c>
      <c r="P77" s="22">
        <v>6.8</v>
      </c>
      <c r="Q77" s="22">
        <v>6.8</v>
      </c>
      <c r="R77" s="30">
        <v>4.2</v>
      </c>
      <c r="S77" s="30">
        <v>4.2</v>
      </c>
      <c r="T77" s="30">
        <v>4.2</v>
      </c>
      <c r="U77" s="30">
        <v>4.2</v>
      </c>
      <c r="V77" s="30">
        <v>4.2</v>
      </c>
      <c r="W77" s="30">
        <v>4.2</v>
      </c>
      <c r="X77" s="31">
        <v>2.1</v>
      </c>
      <c r="Y77" s="31">
        <v>2.1</v>
      </c>
      <c r="Z77" s="31">
        <v>2.1</v>
      </c>
      <c r="AA77" s="31">
        <v>2.1</v>
      </c>
      <c r="AB77" s="31">
        <v>2.1</v>
      </c>
      <c r="AC77" s="31">
        <v>2.1</v>
      </c>
      <c r="AD77" s="30">
        <v>0</v>
      </c>
      <c r="AE77" s="30">
        <v>0</v>
      </c>
      <c r="AF77" s="30">
        <v>0</v>
      </c>
      <c r="AI77" s="5">
        <v>1800</v>
      </c>
      <c r="AJ77" s="6">
        <v>0</v>
      </c>
      <c r="AK77" s="26">
        <v>0</v>
      </c>
    </row>
    <row r="78" spans="1:41" outlineLevel="1">
      <c r="B78" s="5">
        <v>2000</v>
      </c>
      <c r="C78" s="6">
        <v>0</v>
      </c>
      <c r="D78" s="6">
        <v>0.8</v>
      </c>
      <c r="E78" s="6">
        <v>1</v>
      </c>
      <c r="F78" s="6">
        <v>1.4</v>
      </c>
      <c r="G78" s="6">
        <v>1.6</v>
      </c>
      <c r="H78" s="6">
        <v>1.8</v>
      </c>
      <c r="I78" s="3"/>
      <c r="K78" s="28">
        <v>3.7</v>
      </c>
      <c r="L78" s="22">
        <v>6.8</v>
      </c>
      <c r="M78" s="22">
        <v>6.8</v>
      </c>
      <c r="N78" s="22">
        <v>6.8</v>
      </c>
      <c r="O78" s="22">
        <v>6.8</v>
      </c>
      <c r="P78" s="22">
        <v>6.8</v>
      </c>
      <c r="Q78" s="22">
        <v>6.8</v>
      </c>
      <c r="R78" s="30">
        <v>4.2</v>
      </c>
      <c r="S78" s="30">
        <v>4.2</v>
      </c>
      <c r="T78" s="30">
        <v>4.2</v>
      </c>
      <c r="U78" s="30">
        <v>4.2</v>
      </c>
      <c r="V78" s="30">
        <v>4.2</v>
      </c>
      <c r="W78" s="30">
        <v>4.2</v>
      </c>
      <c r="X78" s="31">
        <v>2.1</v>
      </c>
      <c r="Y78" s="31">
        <v>2.1</v>
      </c>
      <c r="Z78" s="31">
        <v>2.1</v>
      </c>
      <c r="AA78" s="31">
        <v>2.1</v>
      </c>
      <c r="AB78" s="31">
        <v>2.1</v>
      </c>
      <c r="AC78" s="31">
        <v>2.1</v>
      </c>
      <c r="AD78" s="30">
        <v>0</v>
      </c>
      <c r="AE78" s="30">
        <v>0</v>
      </c>
      <c r="AF78" s="30">
        <v>0</v>
      </c>
      <c r="AI78" s="5">
        <v>2000</v>
      </c>
      <c r="AJ78" s="6">
        <v>0</v>
      </c>
      <c r="AK78" s="26">
        <v>0</v>
      </c>
    </row>
    <row r="79" spans="1:41" outlineLevel="1">
      <c r="B79" s="5">
        <v>2200</v>
      </c>
      <c r="C79" s="6">
        <v>0</v>
      </c>
      <c r="D79" s="6">
        <v>0.8</v>
      </c>
      <c r="E79" s="6">
        <v>1</v>
      </c>
      <c r="F79" s="6">
        <v>1.4</v>
      </c>
      <c r="G79" s="6">
        <v>1.5</v>
      </c>
      <c r="H79" s="6">
        <v>1.7</v>
      </c>
      <c r="I79" s="3"/>
      <c r="K79" s="28">
        <v>3.8</v>
      </c>
      <c r="L79" s="22">
        <v>6.8</v>
      </c>
      <c r="M79" s="22">
        <v>6.8</v>
      </c>
      <c r="N79" s="22">
        <v>6.8</v>
      </c>
      <c r="O79" s="22">
        <v>6.8</v>
      </c>
      <c r="P79" s="22">
        <v>6.8</v>
      </c>
      <c r="Q79" s="22">
        <v>6.8</v>
      </c>
      <c r="R79" s="30">
        <v>4.2</v>
      </c>
      <c r="S79" s="30">
        <v>4.2</v>
      </c>
      <c r="T79" s="30">
        <v>4.2</v>
      </c>
      <c r="U79" s="30">
        <v>4.2</v>
      </c>
      <c r="V79" s="30">
        <v>4.2</v>
      </c>
      <c r="W79" s="30">
        <v>4.2</v>
      </c>
      <c r="X79" s="31">
        <v>2.1</v>
      </c>
      <c r="Y79" s="31">
        <v>2.1</v>
      </c>
      <c r="Z79" s="31">
        <v>2.1</v>
      </c>
      <c r="AA79" s="31">
        <v>2.1</v>
      </c>
      <c r="AB79" s="31">
        <v>2.1</v>
      </c>
      <c r="AC79" s="31">
        <v>2.1</v>
      </c>
      <c r="AD79" s="30">
        <v>0</v>
      </c>
      <c r="AE79" s="30">
        <v>0</v>
      </c>
      <c r="AF79" s="30">
        <v>0</v>
      </c>
      <c r="AI79" s="5">
        <v>2200</v>
      </c>
      <c r="AJ79" s="6">
        <v>0</v>
      </c>
      <c r="AK79" s="26">
        <v>0</v>
      </c>
    </row>
    <row r="80" spans="1:41" outlineLevel="1">
      <c r="B80" s="5">
        <v>2400</v>
      </c>
      <c r="C80" s="6">
        <v>0</v>
      </c>
      <c r="D80" s="6">
        <v>0.8</v>
      </c>
      <c r="E80" s="6">
        <v>1</v>
      </c>
      <c r="F80" s="6">
        <v>1.3</v>
      </c>
      <c r="G80" s="6">
        <v>1.5</v>
      </c>
      <c r="H80" s="6">
        <v>1.7</v>
      </c>
      <c r="I80" s="3"/>
      <c r="K80" s="28">
        <v>3.9</v>
      </c>
      <c r="L80" s="22">
        <v>6.8</v>
      </c>
      <c r="M80" s="22">
        <v>6.8</v>
      </c>
      <c r="N80" s="22">
        <v>6.8</v>
      </c>
      <c r="O80" s="22">
        <v>6.8</v>
      </c>
      <c r="P80" s="22">
        <v>6.8</v>
      </c>
      <c r="Q80" s="22">
        <v>6.8</v>
      </c>
      <c r="R80" s="30">
        <v>4.2</v>
      </c>
      <c r="S80" s="30">
        <v>4.2</v>
      </c>
      <c r="T80" s="30">
        <v>4.2</v>
      </c>
      <c r="U80" s="30">
        <v>4.2</v>
      </c>
      <c r="V80" s="30">
        <v>4.2</v>
      </c>
      <c r="W80" s="30">
        <v>4.2</v>
      </c>
      <c r="X80" s="31">
        <v>2.1</v>
      </c>
      <c r="Y80" s="31">
        <v>2.1</v>
      </c>
      <c r="Z80" s="31">
        <v>2.1</v>
      </c>
      <c r="AA80" s="31">
        <v>2.1</v>
      </c>
      <c r="AB80" s="31">
        <v>2.1</v>
      </c>
      <c r="AC80" s="31">
        <v>2.1</v>
      </c>
      <c r="AD80" s="30">
        <v>0</v>
      </c>
      <c r="AE80" s="30">
        <v>0</v>
      </c>
      <c r="AF80" s="30">
        <v>0</v>
      </c>
      <c r="AI80" s="5">
        <v>2400</v>
      </c>
      <c r="AJ80" s="6">
        <v>0</v>
      </c>
      <c r="AK80" s="26">
        <v>0</v>
      </c>
    </row>
    <row r="81" spans="1:37" outlineLevel="1">
      <c r="B81" s="5">
        <v>2600</v>
      </c>
      <c r="C81" s="6">
        <v>0</v>
      </c>
      <c r="D81" s="6">
        <v>0.8</v>
      </c>
      <c r="E81" s="6">
        <v>1</v>
      </c>
      <c r="F81" s="6">
        <v>1.3</v>
      </c>
      <c r="G81" s="6">
        <v>1.4</v>
      </c>
      <c r="H81" s="6">
        <v>1.6</v>
      </c>
      <c r="I81" s="3"/>
      <c r="K81" s="28">
        <v>4</v>
      </c>
      <c r="L81" s="22">
        <v>6.8</v>
      </c>
      <c r="M81" s="22">
        <v>6.8</v>
      </c>
      <c r="N81" s="22">
        <v>6.8</v>
      </c>
      <c r="O81" s="22">
        <v>6.8</v>
      </c>
      <c r="P81" s="22">
        <v>6.8</v>
      </c>
      <c r="Q81" s="22">
        <v>6.8</v>
      </c>
      <c r="R81" s="30">
        <v>4.2</v>
      </c>
      <c r="S81" s="30">
        <v>4.2</v>
      </c>
      <c r="T81" s="30">
        <v>4.2</v>
      </c>
      <c r="U81" s="30">
        <v>4.2</v>
      </c>
      <c r="V81" s="30">
        <v>4.2</v>
      </c>
      <c r="W81" s="30">
        <v>4.2</v>
      </c>
      <c r="X81" s="31">
        <v>2.1</v>
      </c>
      <c r="Y81" s="31">
        <v>2.1</v>
      </c>
      <c r="Z81" s="31">
        <v>2.1</v>
      </c>
      <c r="AA81" s="31">
        <v>2.1</v>
      </c>
      <c r="AB81" s="31">
        <v>2.1</v>
      </c>
      <c r="AC81" s="31">
        <v>2.1</v>
      </c>
      <c r="AD81" s="30">
        <v>0</v>
      </c>
      <c r="AE81" s="30">
        <v>0</v>
      </c>
      <c r="AF81" s="30">
        <v>0</v>
      </c>
      <c r="AI81" s="5">
        <v>2600</v>
      </c>
      <c r="AJ81" s="6">
        <v>0</v>
      </c>
      <c r="AK81" s="26">
        <v>0</v>
      </c>
    </row>
    <row r="82" spans="1:37" outlineLevel="1">
      <c r="B82" s="5">
        <v>2800</v>
      </c>
      <c r="C82" s="6">
        <v>0</v>
      </c>
      <c r="D82" s="6">
        <v>0.8</v>
      </c>
      <c r="E82" s="6">
        <v>1</v>
      </c>
      <c r="F82" s="6">
        <v>1.2</v>
      </c>
      <c r="G82" s="6">
        <v>1.3</v>
      </c>
      <c r="H82" s="6">
        <v>1.4</v>
      </c>
      <c r="I82" s="3"/>
      <c r="K82" s="28">
        <v>4.0999999999999996</v>
      </c>
      <c r="L82" s="22">
        <v>6.8</v>
      </c>
      <c r="M82" s="22">
        <v>6.8</v>
      </c>
      <c r="N82" s="22">
        <v>6.8</v>
      </c>
      <c r="O82" s="22">
        <v>6.8</v>
      </c>
      <c r="P82" s="22">
        <v>6.8</v>
      </c>
      <c r="Q82" s="22">
        <v>6.8</v>
      </c>
      <c r="R82" s="30">
        <v>4.2</v>
      </c>
      <c r="S82" s="30">
        <v>4.2</v>
      </c>
      <c r="T82" s="30">
        <v>4.2</v>
      </c>
      <c r="U82" s="30">
        <v>4.2</v>
      </c>
      <c r="V82" s="30">
        <v>4.2</v>
      </c>
      <c r="W82" s="30">
        <v>4.2</v>
      </c>
      <c r="X82" s="31">
        <v>2.1</v>
      </c>
      <c r="Y82" s="31">
        <v>2.1</v>
      </c>
      <c r="Z82" s="31">
        <v>2.1</v>
      </c>
      <c r="AA82" s="31">
        <v>2.1</v>
      </c>
      <c r="AB82" s="31">
        <v>2.1</v>
      </c>
      <c r="AC82" s="31">
        <v>2.1</v>
      </c>
      <c r="AD82" s="30">
        <v>0</v>
      </c>
      <c r="AE82" s="30">
        <v>0</v>
      </c>
      <c r="AF82" s="30">
        <v>0</v>
      </c>
      <c r="AI82" s="5">
        <v>2800</v>
      </c>
      <c r="AJ82" s="6">
        <v>0</v>
      </c>
      <c r="AK82" s="26">
        <v>0</v>
      </c>
    </row>
    <row r="83" spans="1:37" outlineLevel="1">
      <c r="B83" s="5">
        <v>3000</v>
      </c>
      <c r="C83" s="6">
        <v>0</v>
      </c>
      <c r="D83" s="6">
        <v>0.8</v>
      </c>
      <c r="E83" s="6">
        <v>0.9</v>
      </c>
      <c r="F83" s="6">
        <v>1.1000000000000001</v>
      </c>
      <c r="G83" s="6">
        <v>1.1000000000000001</v>
      </c>
      <c r="H83" s="6">
        <v>1.3</v>
      </c>
      <c r="I83" s="3"/>
      <c r="K83" s="28">
        <v>4.2</v>
      </c>
      <c r="L83" s="22">
        <v>6.8</v>
      </c>
      <c r="M83" s="22">
        <v>6.8</v>
      </c>
      <c r="N83" s="22">
        <v>6.8</v>
      </c>
      <c r="O83" s="22">
        <v>6.8</v>
      </c>
      <c r="P83" s="22">
        <v>6.8</v>
      </c>
      <c r="Q83" s="22">
        <v>6.8</v>
      </c>
      <c r="R83" s="30">
        <v>4.2</v>
      </c>
      <c r="S83" s="30">
        <v>4.2</v>
      </c>
      <c r="T83" s="30">
        <v>4.2</v>
      </c>
      <c r="U83" s="30">
        <v>4.2</v>
      </c>
      <c r="V83" s="30">
        <v>4.2</v>
      </c>
      <c r="W83" s="30">
        <v>4.2</v>
      </c>
      <c r="X83" s="31">
        <v>2.1</v>
      </c>
      <c r="Y83" s="31">
        <v>2.1</v>
      </c>
      <c r="Z83" s="31">
        <v>2.1</v>
      </c>
      <c r="AA83" s="31">
        <v>2.1</v>
      </c>
      <c r="AB83" s="31">
        <v>2.1</v>
      </c>
      <c r="AC83" s="31">
        <v>2.1</v>
      </c>
      <c r="AD83" s="30">
        <v>0</v>
      </c>
      <c r="AE83" s="30">
        <v>0</v>
      </c>
      <c r="AF83" s="30">
        <v>0</v>
      </c>
      <c r="AI83" s="5">
        <v>3000</v>
      </c>
      <c r="AJ83" s="6">
        <v>0</v>
      </c>
      <c r="AK83" s="26">
        <v>0</v>
      </c>
    </row>
    <row r="84" spans="1:37" outlineLevel="1">
      <c r="B84" s="5">
        <v>3200</v>
      </c>
      <c r="C84" s="6">
        <v>0</v>
      </c>
      <c r="D84" s="6">
        <v>0.8</v>
      </c>
      <c r="E84" s="6">
        <v>0.9</v>
      </c>
      <c r="F84" s="6">
        <v>1</v>
      </c>
      <c r="G84" s="6">
        <v>1</v>
      </c>
      <c r="H84" s="6">
        <v>1.1000000000000001</v>
      </c>
      <c r="I84" s="3"/>
      <c r="AI84" s="5">
        <v>3200</v>
      </c>
      <c r="AJ84" s="6">
        <v>0</v>
      </c>
      <c r="AK84" s="26">
        <v>0</v>
      </c>
    </row>
    <row r="85" spans="1:37" outlineLevel="1">
      <c r="AI85" s="5">
        <v>0</v>
      </c>
      <c r="AJ85" s="6">
        <v>0</v>
      </c>
      <c r="AK85" s="26">
        <v>0.2</v>
      </c>
    </row>
    <row r="86" spans="1:37" ht="12.75" customHeight="1" outlineLevel="1">
      <c r="A86" s="3" t="s">
        <v>103</v>
      </c>
      <c r="B86" s="671" t="s">
        <v>52</v>
      </c>
      <c r="C86" s="653" t="s">
        <v>54</v>
      </c>
      <c r="D86" s="654"/>
      <c r="E86" s="654"/>
      <c r="F86" s="654"/>
      <c r="G86" s="654"/>
      <c r="H86" s="655"/>
      <c r="J86" s="656" t="s">
        <v>54</v>
      </c>
      <c r="K86" s="656"/>
      <c r="L86" s="656"/>
      <c r="M86" s="656"/>
      <c r="N86" s="656"/>
      <c r="O86" s="656"/>
      <c r="AI86" s="5">
        <v>200</v>
      </c>
      <c r="AJ86" s="6">
        <v>1</v>
      </c>
      <c r="AK86" s="26">
        <v>0.2</v>
      </c>
    </row>
    <row r="87" spans="1:37" outlineLevel="1">
      <c r="B87" s="672"/>
      <c r="C87" s="26">
        <v>0</v>
      </c>
      <c r="D87" s="26">
        <v>0.2</v>
      </c>
      <c r="E87" s="26">
        <v>0.4</v>
      </c>
      <c r="F87" s="26">
        <v>0.6</v>
      </c>
      <c r="G87" s="26">
        <v>0.8</v>
      </c>
      <c r="H87" s="26">
        <v>1</v>
      </c>
      <c r="J87" s="26">
        <v>0</v>
      </c>
      <c r="K87" s="26">
        <v>0.2</v>
      </c>
      <c r="L87" s="26">
        <v>0.4</v>
      </c>
      <c r="M87" s="26">
        <v>0.6</v>
      </c>
      <c r="N87" s="26">
        <v>0.8</v>
      </c>
      <c r="O87" s="26">
        <v>1</v>
      </c>
      <c r="AI87" s="5">
        <v>400</v>
      </c>
      <c r="AJ87" s="6">
        <v>2.7</v>
      </c>
      <c r="AK87" s="26">
        <v>0.2</v>
      </c>
    </row>
    <row r="88" spans="1:37" outlineLevel="1">
      <c r="B88" s="36">
        <v>0</v>
      </c>
      <c r="C88" s="34">
        <v>0</v>
      </c>
      <c r="D88" s="34">
        <v>10.1</v>
      </c>
      <c r="E88" s="34">
        <v>17.2</v>
      </c>
      <c r="F88" s="34">
        <v>20.2</v>
      </c>
      <c r="G88" s="34">
        <v>21</v>
      </c>
      <c r="H88" s="34">
        <v>21.8</v>
      </c>
      <c r="J88" s="34">
        <v>0</v>
      </c>
      <c r="K88" s="34">
        <v>10.1</v>
      </c>
      <c r="L88" s="34">
        <v>17.2</v>
      </c>
      <c r="M88" s="34">
        <v>20.2</v>
      </c>
      <c r="N88" s="34">
        <v>21</v>
      </c>
      <c r="O88" s="34">
        <v>21.8</v>
      </c>
      <c r="AI88" s="5">
        <v>600</v>
      </c>
      <c r="AJ88" s="393">
        <v>2.5</v>
      </c>
      <c r="AK88" s="26">
        <v>0.2</v>
      </c>
    </row>
    <row r="89" spans="1:37" outlineLevel="1">
      <c r="B89" s="36">
        <v>200</v>
      </c>
      <c r="C89" s="34">
        <v>0</v>
      </c>
      <c r="D89" s="34">
        <v>10.1</v>
      </c>
      <c r="E89" s="34">
        <v>17.2</v>
      </c>
      <c r="F89" s="34">
        <v>20.2</v>
      </c>
      <c r="G89" s="34">
        <v>21</v>
      </c>
      <c r="H89" s="34">
        <v>21.8</v>
      </c>
      <c r="J89" s="34">
        <v>0</v>
      </c>
      <c r="K89" s="34">
        <v>10.1</v>
      </c>
      <c r="L89" s="34">
        <v>17.2</v>
      </c>
      <c r="M89" s="34">
        <v>20.2</v>
      </c>
      <c r="N89" s="34">
        <v>21</v>
      </c>
      <c r="O89" s="34">
        <v>21.8</v>
      </c>
      <c r="AI89" s="5">
        <v>800</v>
      </c>
      <c r="AJ89" s="393">
        <v>2.2000000000000002</v>
      </c>
      <c r="AK89" s="26">
        <v>0.2</v>
      </c>
    </row>
    <row r="90" spans="1:37" outlineLevel="1">
      <c r="B90" s="5">
        <v>400</v>
      </c>
      <c r="C90" s="34">
        <v>0</v>
      </c>
      <c r="D90" s="34">
        <v>12.4</v>
      </c>
      <c r="E90" s="34">
        <v>19</v>
      </c>
      <c r="F90" s="34">
        <v>22.7</v>
      </c>
      <c r="G90" s="34">
        <v>23.8</v>
      </c>
      <c r="H90" s="34">
        <v>24.8</v>
      </c>
      <c r="J90" s="34">
        <v>0</v>
      </c>
      <c r="K90" s="34">
        <v>12.4</v>
      </c>
      <c r="L90" s="34">
        <v>19</v>
      </c>
      <c r="M90" s="34">
        <v>22.7</v>
      </c>
      <c r="N90" s="34">
        <v>23.8</v>
      </c>
      <c r="O90" s="34">
        <v>24.8</v>
      </c>
      <c r="AI90" s="5">
        <v>1000</v>
      </c>
      <c r="AJ90" s="6">
        <v>1.8</v>
      </c>
      <c r="AK90" s="26">
        <v>0.2</v>
      </c>
    </row>
    <row r="91" spans="1:37" outlineLevel="1">
      <c r="B91" s="36">
        <v>600</v>
      </c>
      <c r="C91" s="34">
        <v>0</v>
      </c>
      <c r="D91" s="34">
        <v>11.2</v>
      </c>
      <c r="E91" s="34">
        <v>16</v>
      </c>
      <c r="F91" s="34">
        <v>18.7</v>
      </c>
      <c r="G91" s="34">
        <v>19.7</v>
      </c>
      <c r="H91" s="34">
        <v>20.5</v>
      </c>
      <c r="J91" s="34">
        <v>0</v>
      </c>
      <c r="K91" s="34">
        <v>11.2</v>
      </c>
      <c r="L91" s="34">
        <v>16</v>
      </c>
      <c r="M91" s="34">
        <v>18.7</v>
      </c>
      <c r="N91" s="34">
        <v>19.7</v>
      </c>
      <c r="O91" s="34">
        <v>20.5</v>
      </c>
      <c r="AI91" s="5">
        <v>1200</v>
      </c>
      <c r="AJ91" s="6">
        <v>1.3</v>
      </c>
      <c r="AK91" s="26">
        <v>0.2</v>
      </c>
    </row>
    <row r="92" spans="1:37" outlineLevel="1">
      <c r="B92" s="5">
        <v>800</v>
      </c>
      <c r="C92" s="34">
        <v>0</v>
      </c>
      <c r="D92" s="34">
        <v>9</v>
      </c>
      <c r="E92" s="34">
        <v>12.3</v>
      </c>
      <c r="F92" s="34">
        <v>14.1</v>
      </c>
      <c r="G92" s="34">
        <v>14.5</v>
      </c>
      <c r="H92" s="34">
        <v>15.4</v>
      </c>
      <c r="J92" s="34">
        <v>0</v>
      </c>
      <c r="K92" s="34">
        <v>9</v>
      </c>
      <c r="L92" s="34">
        <v>12.3</v>
      </c>
      <c r="M92" s="34">
        <v>14.1</v>
      </c>
      <c r="N92" s="34">
        <v>14.5</v>
      </c>
      <c r="O92" s="34">
        <v>15.4</v>
      </c>
      <c r="AI92" s="5">
        <v>1400</v>
      </c>
      <c r="AJ92" s="6">
        <v>0.9</v>
      </c>
      <c r="AK92" s="26">
        <v>0.2</v>
      </c>
    </row>
    <row r="93" spans="1:37" outlineLevel="1">
      <c r="B93" s="36">
        <v>1000</v>
      </c>
      <c r="C93" s="34">
        <v>0</v>
      </c>
      <c r="D93" s="388">
        <v>7.2</v>
      </c>
      <c r="E93" s="388">
        <v>10.033333333333335</v>
      </c>
      <c r="F93" s="388">
        <v>11.633333333333333</v>
      </c>
      <c r="G93" s="388">
        <v>12.1</v>
      </c>
      <c r="H93" s="388">
        <v>12.9</v>
      </c>
      <c r="I93" s="387">
        <f>(D92-D95)*2/3+D95</f>
        <v>7.2</v>
      </c>
      <c r="J93" s="34">
        <v>0</v>
      </c>
      <c r="K93" s="388">
        <f>(K92-K95)*2/3+K95</f>
        <v>7.2</v>
      </c>
      <c r="L93" s="388">
        <f t="shared" ref="L93:O93" si="3">(L92-L95)*2/3+L95</f>
        <v>10.033333333333335</v>
      </c>
      <c r="M93" s="388">
        <f t="shared" si="3"/>
        <v>11.633333333333333</v>
      </c>
      <c r="N93" s="388">
        <f t="shared" si="3"/>
        <v>12.1</v>
      </c>
      <c r="O93" s="388">
        <f t="shared" si="3"/>
        <v>12.9</v>
      </c>
      <c r="AI93" s="5">
        <v>1600</v>
      </c>
      <c r="AJ93" s="6">
        <v>0.9</v>
      </c>
      <c r="AK93" s="26">
        <v>0.2</v>
      </c>
    </row>
    <row r="94" spans="1:37" outlineLevel="1">
      <c r="B94" s="36">
        <v>1200</v>
      </c>
      <c r="C94" s="34">
        <v>0</v>
      </c>
      <c r="D94" s="388">
        <v>5.4</v>
      </c>
      <c r="E94" s="388">
        <v>7.7666666666666675</v>
      </c>
      <c r="F94" s="388">
        <v>9.1666666666666661</v>
      </c>
      <c r="G94" s="388">
        <v>9.6999999999999993</v>
      </c>
      <c r="H94" s="388">
        <v>10.4</v>
      </c>
      <c r="I94" s="387">
        <f>(D92-D95)*1/3+D95</f>
        <v>5.4</v>
      </c>
      <c r="J94" s="34">
        <v>0</v>
      </c>
      <c r="K94" s="388">
        <f>(K92-K95)*1/3+K95</f>
        <v>5.4</v>
      </c>
      <c r="L94" s="388">
        <f t="shared" ref="L94:O94" si="4">(L92-L95)*1/3+L95</f>
        <v>7.7666666666666675</v>
      </c>
      <c r="M94" s="388">
        <f t="shared" si="4"/>
        <v>9.1666666666666661</v>
      </c>
      <c r="N94" s="388">
        <f t="shared" si="4"/>
        <v>9.6999999999999993</v>
      </c>
      <c r="O94" s="388">
        <f t="shared" si="4"/>
        <v>10.4</v>
      </c>
      <c r="AI94" s="5">
        <v>1800</v>
      </c>
      <c r="AJ94" s="6">
        <v>0.8</v>
      </c>
      <c r="AK94" s="26">
        <v>0.2</v>
      </c>
    </row>
    <row r="95" spans="1:37" outlineLevel="1">
      <c r="B95" s="36">
        <v>1400</v>
      </c>
      <c r="C95" s="34">
        <v>0</v>
      </c>
      <c r="D95" s="34">
        <v>3.6</v>
      </c>
      <c r="E95" s="34">
        <v>5.5</v>
      </c>
      <c r="F95" s="34">
        <v>6.7</v>
      </c>
      <c r="G95" s="34">
        <v>7.3</v>
      </c>
      <c r="H95" s="34">
        <v>7.9</v>
      </c>
      <c r="J95" s="34">
        <v>0</v>
      </c>
      <c r="K95" s="34">
        <v>3.6</v>
      </c>
      <c r="L95" s="34">
        <v>5.5</v>
      </c>
      <c r="M95" s="34">
        <v>6.7</v>
      </c>
      <c r="N95" s="34">
        <v>7.3</v>
      </c>
      <c r="O95" s="34">
        <v>7.9</v>
      </c>
      <c r="AI95" s="5">
        <v>2000</v>
      </c>
      <c r="AJ95" s="6">
        <v>0.8</v>
      </c>
      <c r="AK95" s="26">
        <v>0.2</v>
      </c>
    </row>
    <row r="96" spans="1:37" outlineLevel="1">
      <c r="B96" s="5">
        <v>1600</v>
      </c>
      <c r="C96" s="34">
        <v>0</v>
      </c>
      <c r="D96" s="388">
        <v>3</v>
      </c>
      <c r="E96" s="388">
        <v>4.6333333333333329</v>
      </c>
      <c r="F96" s="388">
        <v>5.7</v>
      </c>
      <c r="G96" s="388">
        <v>6.2333333333333325</v>
      </c>
      <c r="H96" s="388">
        <v>6.7333333333333343</v>
      </c>
      <c r="I96" s="387">
        <f>(D95-D98)*2/3+D98</f>
        <v>3</v>
      </c>
      <c r="J96" s="34">
        <v>0</v>
      </c>
      <c r="K96" s="388">
        <f>(K95-K98)*2/3+K98</f>
        <v>3</v>
      </c>
      <c r="L96" s="388">
        <f t="shared" ref="L96:O96" si="5">(L95-L98)*2/3+L98</f>
        <v>4.6333333333333329</v>
      </c>
      <c r="M96" s="388">
        <f t="shared" si="5"/>
        <v>5.7</v>
      </c>
      <c r="N96" s="388">
        <f t="shared" si="5"/>
        <v>6.2333333333333325</v>
      </c>
      <c r="O96" s="388">
        <f t="shared" si="5"/>
        <v>6.7333333333333343</v>
      </c>
      <c r="AI96" s="5">
        <v>2200</v>
      </c>
      <c r="AJ96" s="6">
        <v>0.8</v>
      </c>
      <c r="AK96" s="26">
        <v>0.2</v>
      </c>
    </row>
    <row r="97" spans="1:37" outlineLevel="1">
      <c r="B97" s="5">
        <v>1800</v>
      </c>
      <c r="C97" s="34">
        <v>0</v>
      </c>
      <c r="D97" s="388">
        <v>2.4</v>
      </c>
      <c r="E97" s="388">
        <v>3.7666666666666666</v>
      </c>
      <c r="F97" s="388">
        <v>4.7</v>
      </c>
      <c r="G97" s="388">
        <v>5.1666666666666661</v>
      </c>
      <c r="H97" s="388">
        <v>5.5666666666666673</v>
      </c>
      <c r="I97" s="387">
        <f>(D95-D98)*1/3+D98</f>
        <v>2.4</v>
      </c>
      <c r="J97" s="34">
        <v>0</v>
      </c>
      <c r="K97" s="388">
        <f>(K95-K98)*1/3+K98</f>
        <v>2.4</v>
      </c>
      <c r="L97" s="388">
        <f t="shared" ref="L97:O97" si="6">(L95-L98)*1/3+L98</f>
        <v>3.7666666666666666</v>
      </c>
      <c r="M97" s="388">
        <f t="shared" si="6"/>
        <v>4.7</v>
      </c>
      <c r="N97" s="388">
        <f t="shared" si="6"/>
        <v>5.1666666666666661</v>
      </c>
      <c r="O97" s="388">
        <f t="shared" si="6"/>
        <v>5.5666666666666673</v>
      </c>
      <c r="AI97" s="5">
        <v>2400</v>
      </c>
      <c r="AJ97" s="6">
        <v>0.8</v>
      </c>
      <c r="AK97" s="26">
        <v>0.2</v>
      </c>
    </row>
    <row r="98" spans="1:37" outlineLevel="1">
      <c r="B98" s="5">
        <v>2000</v>
      </c>
      <c r="C98" s="34">
        <v>0</v>
      </c>
      <c r="D98" s="34">
        <v>1.8</v>
      </c>
      <c r="E98" s="34">
        <v>2.9</v>
      </c>
      <c r="F98" s="34">
        <v>3.7</v>
      </c>
      <c r="G98" s="34">
        <v>4.0999999999999996</v>
      </c>
      <c r="H98" s="34">
        <v>4.4000000000000004</v>
      </c>
      <c r="J98" s="34">
        <v>0</v>
      </c>
      <c r="K98" s="34">
        <v>1.8</v>
      </c>
      <c r="L98" s="34">
        <v>2.9</v>
      </c>
      <c r="M98" s="34">
        <v>3.7</v>
      </c>
      <c r="N98" s="34">
        <v>4.0999999999999996</v>
      </c>
      <c r="O98" s="34">
        <v>4.4000000000000004</v>
      </c>
      <c r="AI98" s="5">
        <v>2600</v>
      </c>
      <c r="AJ98" s="6">
        <v>0.8</v>
      </c>
      <c r="AK98" s="26">
        <v>0.2</v>
      </c>
    </row>
    <row r="99" spans="1:37" outlineLevel="1">
      <c r="B99" s="36">
        <v>2200</v>
      </c>
      <c r="C99" s="34">
        <v>0</v>
      </c>
      <c r="D99" s="388">
        <v>1.5666666666666667</v>
      </c>
      <c r="E99" s="388">
        <v>2.4666666666666668</v>
      </c>
      <c r="F99" s="388">
        <v>3.1333333333333337</v>
      </c>
      <c r="G99" s="388">
        <v>3.5</v>
      </c>
      <c r="H99" s="388">
        <v>3.7333333333333334</v>
      </c>
      <c r="I99" s="387">
        <f>(D98-D101)*2/3+D101</f>
        <v>1.5666666666666667</v>
      </c>
      <c r="J99" s="34">
        <v>0</v>
      </c>
      <c r="K99" s="388">
        <f>(K98-K101)*2/3+K101</f>
        <v>1.5666666666666667</v>
      </c>
      <c r="L99" s="388">
        <f t="shared" ref="L99:O99" si="7">(L98-L101)*2/3+L101</f>
        <v>2.4666666666666668</v>
      </c>
      <c r="M99" s="388">
        <f t="shared" si="7"/>
        <v>3.1333333333333337</v>
      </c>
      <c r="N99" s="388">
        <f t="shared" si="7"/>
        <v>3.5</v>
      </c>
      <c r="O99" s="388">
        <f t="shared" si="7"/>
        <v>3.7333333333333334</v>
      </c>
      <c r="AI99" s="5">
        <v>2800</v>
      </c>
      <c r="AJ99" s="6">
        <v>0.8</v>
      </c>
      <c r="AK99" s="26">
        <v>0.2</v>
      </c>
    </row>
    <row r="100" spans="1:37" outlineLevel="1">
      <c r="B100" s="36">
        <v>2400</v>
      </c>
      <c r="C100" s="34">
        <v>0</v>
      </c>
      <c r="D100" s="388">
        <v>1.3333333333333335</v>
      </c>
      <c r="E100" s="388">
        <v>2.0333333333333332</v>
      </c>
      <c r="F100" s="388">
        <v>2.5666666666666669</v>
      </c>
      <c r="G100" s="388">
        <v>2.9</v>
      </c>
      <c r="H100" s="388">
        <v>3.0666666666666669</v>
      </c>
      <c r="I100" s="387">
        <f>(D98-D101)*1/3+D101</f>
        <v>1.3333333333333335</v>
      </c>
      <c r="J100" s="34">
        <v>0</v>
      </c>
      <c r="K100" s="388">
        <f>(K98-K101)*1/3+K101</f>
        <v>1.3333333333333335</v>
      </c>
      <c r="L100" s="388">
        <f t="shared" ref="L100:O100" si="8">(L98-L101)*1/3+L101</f>
        <v>2.0333333333333332</v>
      </c>
      <c r="M100" s="388">
        <f t="shared" si="8"/>
        <v>2.5666666666666669</v>
      </c>
      <c r="N100" s="388">
        <f t="shared" si="8"/>
        <v>2.9</v>
      </c>
      <c r="O100" s="388">
        <f t="shared" si="8"/>
        <v>3.0666666666666669</v>
      </c>
      <c r="AI100" s="5">
        <v>3000</v>
      </c>
      <c r="AJ100" s="6">
        <v>0.8</v>
      </c>
      <c r="AK100" s="26">
        <v>0.2</v>
      </c>
    </row>
    <row r="101" spans="1:37" outlineLevel="1">
      <c r="B101" s="36">
        <v>2600</v>
      </c>
      <c r="C101" s="34">
        <v>0</v>
      </c>
      <c r="D101" s="34">
        <v>1.1000000000000001</v>
      </c>
      <c r="E101" s="34">
        <v>1.6</v>
      </c>
      <c r="F101" s="34">
        <v>2</v>
      </c>
      <c r="G101" s="34">
        <v>2.2999999999999998</v>
      </c>
      <c r="H101" s="34">
        <v>2.4</v>
      </c>
      <c r="J101" s="34">
        <v>0</v>
      </c>
      <c r="K101" s="34">
        <v>1.1000000000000001</v>
      </c>
      <c r="L101" s="34">
        <v>1.6</v>
      </c>
      <c r="M101" s="34">
        <v>2</v>
      </c>
      <c r="N101" s="34">
        <v>2.2999999999999998</v>
      </c>
      <c r="O101" s="34">
        <v>2.4</v>
      </c>
      <c r="AI101" s="5">
        <v>3200</v>
      </c>
      <c r="AJ101" s="6">
        <v>0.8</v>
      </c>
      <c r="AK101" s="26">
        <v>0.2</v>
      </c>
    </row>
    <row r="102" spans="1:37" outlineLevel="1">
      <c r="B102" s="5">
        <v>2800</v>
      </c>
      <c r="C102" s="34">
        <v>0</v>
      </c>
      <c r="D102" s="34">
        <v>0.7</v>
      </c>
      <c r="E102" s="34">
        <v>0.9</v>
      </c>
      <c r="F102" s="34">
        <v>1.1000000000000001</v>
      </c>
      <c r="G102" s="34">
        <v>1.2</v>
      </c>
      <c r="H102" s="34">
        <v>1.4</v>
      </c>
      <c r="J102" s="34">
        <v>0</v>
      </c>
      <c r="K102" s="34">
        <v>0.7</v>
      </c>
      <c r="L102" s="34">
        <v>0.9</v>
      </c>
      <c r="M102" s="34">
        <v>1.1000000000000001</v>
      </c>
      <c r="N102" s="34">
        <v>1.2</v>
      </c>
      <c r="O102" s="34">
        <v>1.4</v>
      </c>
      <c r="AI102" s="5">
        <v>0</v>
      </c>
      <c r="AJ102" s="6">
        <v>0</v>
      </c>
      <c r="AK102" s="26">
        <v>0.4</v>
      </c>
    </row>
    <row r="103" spans="1:37" outlineLevel="1">
      <c r="B103" s="5">
        <v>3000</v>
      </c>
      <c r="C103" s="34">
        <v>0</v>
      </c>
      <c r="D103" s="34">
        <v>0.7</v>
      </c>
      <c r="E103" s="34">
        <v>0.9</v>
      </c>
      <c r="F103" s="34">
        <v>1.1000000000000001</v>
      </c>
      <c r="G103" s="34">
        <v>1.2</v>
      </c>
      <c r="H103" s="34">
        <v>1.4</v>
      </c>
      <c r="J103" s="34">
        <v>0</v>
      </c>
      <c r="K103" s="34">
        <v>0.7</v>
      </c>
      <c r="L103" s="34">
        <v>0.9</v>
      </c>
      <c r="M103" s="34">
        <v>1.1000000000000001</v>
      </c>
      <c r="N103" s="34">
        <v>1.2</v>
      </c>
      <c r="O103" s="34">
        <v>1.4</v>
      </c>
      <c r="AI103" s="5">
        <v>200</v>
      </c>
      <c r="AJ103" s="6">
        <v>2.2999999999999998</v>
      </c>
      <c r="AK103" s="26">
        <v>0.4</v>
      </c>
    </row>
    <row r="104" spans="1:37" outlineLevel="1">
      <c r="B104" s="5">
        <v>3200</v>
      </c>
      <c r="C104" s="34">
        <v>0</v>
      </c>
      <c r="D104" s="34">
        <v>0.7</v>
      </c>
      <c r="E104" s="34">
        <v>0.9</v>
      </c>
      <c r="F104" s="34">
        <v>1.1000000000000001</v>
      </c>
      <c r="G104" s="34">
        <v>1.2</v>
      </c>
      <c r="H104" s="34">
        <v>1.4</v>
      </c>
      <c r="J104" s="34">
        <v>0</v>
      </c>
      <c r="K104" s="34">
        <v>0.7</v>
      </c>
      <c r="L104" s="34">
        <v>0.9</v>
      </c>
      <c r="M104" s="34">
        <v>1.1000000000000001</v>
      </c>
      <c r="N104" s="34">
        <v>1.2</v>
      </c>
      <c r="O104" s="34">
        <v>1.4</v>
      </c>
      <c r="AI104" s="5">
        <v>400</v>
      </c>
      <c r="AJ104" s="6">
        <v>4.3</v>
      </c>
      <c r="AK104" s="26">
        <v>0.4</v>
      </c>
    </row>
    <row r="105" spans="1:37" outlineLevel="1">
      <c r="J105" s="2"/>
      <c r="K105" s="2"/>
      <c r="L105" s="14"/>
      <c r="M105" s="2"/>
      <c r="N105" s="2"/>
      <c r="O105" s="2"/>
      <c r="AI105" s="5">
        <v>600</v>
      </c>
      <c r="AJ105" s="393">
        <v>3.8</v>
      </c>
      <c r="AK105" s="26">
        <v>0.4</v>
      </c>
    </row>
    <row r="106" spans="1:37" ht="12.75" customHeight="1" outlineLevel="1">
      <c r="A106" s="3" t="s">
        <v>386</v>
      </c>
      <c r="B106" s="671" t="s">
        <v>52</v>
      </c>
      <c r="C106" s="653" t="s">
        <v>54</v>
      </c>
      <c r="D106" s="654"/>
      <c r="E106" s="654"/>
      <c r="F106" s="654"/>
      <c r="G106" s="654"/>
      <c r="H106" s="655"/>
      <c r="J106" s="656" t="s">
        <v>54</v>
      </c>
      <c r="K106" s="656"/>
      <c r="L106" s="656"/>
      <c r="M106" s="656"/>
      <c r="N106" s="656"/>
      <c r="O106" s="656"/>
      <c r="AI106" s="5">
        <v>800</v>
      </c>
      <c r="AJ106" s="393">
        <v>3.1</v>
      </c>
      <c r="AK106" s="26">
        <v>0.4</v>
      </c>
    </row>
    <row r="107" spans="1:37" outlineLevel="1">
      <c r="B107" s="672"/>
      <c r="C107" s="26">
        <v>0</v>
      </c>
      <c r="D107" s="26">
        <v>0.2</v>
      </c>
      <c r="E107" s="26">
        <v>0.4</v>
      </c>
      <c r="F107" s="26">
        <v>0.6</v>
      </c>
      <c r="G107" s="26">
        <v>0.8</v>
      </c>
      <c r="H107" s="26">
        <v>1</v>
      </c>
      <c r="J107" s="26">
        <v>0</v>
      </c>
      <c r="K107" s="26">
        <v>0.2</v>
      </c>
      <c r="L107" s="26">
        <v>0.4</v>
      </c>
      <c r="M107" s="26">
        <v>0.6</v>
      </c>
      <c r="N107" s="26">
        <v>0.8</v>
      </c>
      <c r="O107" s="26">
        <v>1</v>
      </c>
      <c r="AI107" s="5">
        <v>1000</v>
      </c>
      <c r="AJ107" s="6">
        <v>2.5</v>
      </c>
      <c r="AK107" s="26">
        <v>0.4</v>
      </c>
    </row>
    <row r="108" spans="1:37" outlineLevel="1">
      <c r="B108" s="36">
        <v>0</v>
      </c>
      <c r="C108" s="34">
        <v>1.6</v>
      </c>
      <c r="D108" s="34">
        <v>11.8</v>
      </c>
      <c r="E108" s="34">
        <v>17.2</v>
      </c>
      <c r="F108" s="34">
        <v>22.5</v>
      </c>
      <c r="G108" s="34">
        <v>23.1</v>
      </c>
      <c r="H108" s="34">
        <v>23.7</v>
      </c>
      <c r="J108" s="34">
        <v>1.6</v>
      </c>
      <c r="K108" s="34">
        <v>11.8</v>
      </c>
      <c r="L108" s="34">
        <v>17.2</v>
      </c>
      <c r="M108" s="34">
        <v>22.5</v>
      </c>
      <c r="N108" s="34">
        <v>23.1</v>
      </c>
      <c r="O108" s="34">
        <v>23.7</v>
      </c>
      <c r="AI108" s="5">
        <v>1200</v>
      </c>
      <c r="AJ108" s="6">
        <v>2</v>
      </c>
      <c r="AK108" s="26">
        <v>0.4</v>
      </c>
    </row>
    <row r="109" spans="1:37" outlineLevel="1">
      <c r="B109" s="36">
        <v>200</v>
      </c>
      <c r="C109" s="34">
        <v>1.6</v>
      </c>
      <c r="D109" s="34">
        <v>11.8</v>
      </c>
      <c r="E109" s="34">
        <v>17.2</v>
      </c>
      <c r="F109" s="34">
        <v>22.5</v>
      </c>
      <c r="G109" s="34">
        <v>23.1</v>
      </c>
      <c r="H109" s="34">
        <v>23.7</v>
      </c>
      <c r="J109" s="34">
        <v>1.6</v>
      </c>
      <c r="K109" s="34">
        <v>11.8</v>
      </c>
      <c r="L109" s="34">
        <v>17.2</v>
      </c>
      <c r="M109" s="34">
        <v>22.5</v>
      </c>
      <c r="N109" s="34">
        <v>23.1</v>
      </c>
      <c r="O109" s="34">
        <v>23.7</v>
      </c>
      <c r="AI109" s="5">
        <v>1400</v>
      </c>
      <c r="AJ109" s="6">
        <v>1.4</v>
      </c>
      <c r="AK109" s="26">
        <v>0.4</v>
      </c>
    </row>
    <row r="110" spans="1:37" outlineLevel="1">
      <c r="B110" s="5">
        <v>400</v>
      </c>
      <c r="C110" s="34">
        <v>0.5</v>
      </c>
      <c r="D110" s="34">
        <v>11.7</v>
      </c>
      <c r="E110" s="34">
        <v>16.2</v>
      </c>
      <c r="F110" s="34">
        <v>20.7</v>
      </c>
      <c r="G110" s="34">
        <v>21.5</v>
      </c>
      <c r="H110" s="34">
        <v>22.2</v>
      </c>
      <c r="J110" s="34">
        <v>0.5</v>
      </c>
      <c r="K110" s="34">
        <v>11.7</v>
      </c>
      <c r="L110" s="34">
        <v>16.2</v>
      </c>
      <c r="M110" s="34">
        <v>20.7</v>
      </c>
      <c r="N110" s="34">
        <v>21.5</v>
      </c>
      <c r="O110" s="34">
        <v>22.2</v>
      </c>
      <c r="AI110" s="5">
        <v>1600</v>
      </c>
      <c r="AJ110" s="6">
        <v>1.3</v>
      </c>
      <c r="AK110" s="26">
        <v>0.4</v>
      </c>
    </row>
    <row r="111" spans="1:37" outlineLevel="1">
      <c r="B111" s="36">
        <v>600</v>
      </c>
      <c r="C111" s="34">
        <v>0</v>
      </c>
      <c r="D111" s="34">
        <v>11.5</v>
      </c>
      <c r="E111" s="34">
        <v>15.2</v>
      </c>
      <c r="F111" s="34">
        <v>18.899999999999999</v>
      </c>
      <c r="G111" s="34">
        <v>19.8</v>
      </c>
      <c r="H111" s="34">
        <v>20.7</v>
      </c>
      <c r="J111" s="34">
        <v>0</v>
      </c>
      <c r="K111" s="34">
        <v>11.5</v>
      </c>
      <c r="L111" s="34">
        <v>15.2</v>
      </c>
      <c r="M111" s="34">
        <v>18.899999999999999</v>
      </c>
      <c r="N111" s="34">
        <v>19.8</v>
      </c>
      <c r="O111" s="34">
        <v>20.7</v>
      </c>
      <c r="AI111" s="5">
        <v>1800</v>
      </c>
      <c r="AJ111" s="6">
        <v>1.1000000000000001</v>
      </c>
      <c r="AK111" s="26">
        <v>0.4</v>
      </c>
    </row>
    <row r="112" spans="1:37" outlineLevel="1">
      <c r="B112" s="5">
        <v>800</v>
      </c>
      <c r="C112" s="34">
        <v>0</v>
      </c>
      <c r="D112" s="34">
        <v>7.6</v>
      </c>
      <c r="E112" s="34">
        <v>10.3</v>
      </c>
      <c r="F112" s="34">
        <v>13</v>
      </c>
      <c r="G112" s="34">
        <v>13.7</v>
      </c>
      <c r="H112" s="34">
        <v>14.4</v>
      </c>
      <c r="J112" s="34">
        <v>0</v>
      </c>
      <c r="K112" s="34">
        <v>7.6</v>
      </c>
      <c r="L112" s="34">
        <v>10.3</v>
      </c>
      <c r="M112" s="34">
        <v>13</v>
      </c>
      <c r="N112" s="34">
        <v>13.7</v>
      </c>
      <c r="O112" s="34">
        <v>14.4</v>
      </c>
      <c r="AI112" s="5">
        <v>2000</v>
      </c>
      <c r="AJ112" s="6">
        <v>1</v>
      </c>
      <c r="AK112" s="26">
        <v>0.4</v>
      </c>
    </row>
    <row r="113" spans="1:37" outlineLevel="1">
      <c r="B113" s="36">
        <v>1000</v>
      </c>
      <c r="C113" s="34">
        <v>0</v>
      </c>
      <c r="D113" s="388">
        <v>6.3</v>
      </c>
      <c r="E113" s="388">
        <v>8.6666666666666679</v>
      </c>
      <c r="F113" s="388">
        <v>11.033333333333333</v>
      </c>
      <c r="G113" s="388">
        <v>11.666666666666666</v>
      </c>
      <c r="H113" s="388">
        <v>12.3</v>
      </c>
      <c r="J113" s="34">
        <v>0</v>
      </c>
      <c r="K113" s="388">
        <f>(K112-K115)*2/3+K115</f>
        <v>6.3</v>
      </c>
      <c r="L113" s="388">
        <f t="shared" ref="L113:O113" si="9">(L112-L115)*2/3+L115</f>
        <v>8.6666666666666679</v>
      </c>
      <c r="M113" s="388">
        <f t="shared" si="9"/>
        <v>11.033333333333333</v>
      </c>
      <c r="N113" s="388">
        <f t="shared" si="9"/>
        <v>11.666666666666666</v>
      </c>
      <c r="O113" s="388">
        <f t="shared" si="9"/>
        <v>12.3</v>
      </c>
      <c r="AI113" s="5">
        <v>2200</v>
      </c>
      <c r="AJ113" s="6">
        <v>1</v>
      </c>
      <c r="AK113" s="26">
        <v>0.4</v>
      </c>
    </row>
    <row r="114" spans="1:37" outlineLevel="1">
      <c r="B114" s="36">
        <v>1200</v>
      </c>
      <c r="C114" s="34">
        <v>0</v>
      </c>
      <c r="D114" s="388">
        <v>5</v>
      </c>
      <c r="E114" s="388">
        <v>7.0333333333333341</v>
      </c>
      <c r="F114" s="388">
        <v>9.0666666666666664</v>
      </c>
      <c r="G114" s="388">
        <v>9.6333333333333329</v>
      </c>
      <c r="H114" s="388">
        <v>10.199999999999999</v>
      </c>
      <c r="I114" s="3"/>
      <c r="J114" s="34">
        <v>0</v>
      </c>
      <c r="K114" s="388">
        <f>(K112-K115)*1/3+K115</f>
        <v>5</v>
      </c>
      <c r="L114" s="388">
        <f t="shared" ref="L114:O114" si="10">(L112-L115)*1/3+L115</f>
        <v>7.0333333333333341</v>
      </c>
      <c r="M114" s="388">
        <f t="shared" si="10"/>
        <v>9.0666666666666664</v>
      </c>
      <c r="N114" s="388">
        <f t="shared" si="10"/>
        <v>9.6333333333333329</v>
      </c>
      <c r="O114" s="388">
        <f t="shared" si="10"/>
        <v>10.199999999999999</v>
      </c>
      <c r="AI114" s="5">
        <v>2400</v>
      </c>
      <c r="AJ114" s="6">
        <v>1</v>
      </c>
      <c r="AK114" s="26">
        <v>0.4</v>
      </c>
    </row>
    <row r="115" spans="1:37" outlineLevel="1">
      <c r="A115" s="387"/>
      <c r="B115" s="36">
        <v>1400</v>
      </c>
      <c r="C115" s="34">
        <v>0</v>
      </c>
      <c r="D115" s="475">
        <v>3.7</v>
      </c>
      <c r="E115" s="34">
        <v>5.4</v>
      </c>
      <c r="F115" s="34">
        <v>7.1</v>
      </c>
      <c r="G115" s="34">
        <v>7.6</v>
      </c>
      <c r="H115" s="34">
        <v>8.1</v>
      </c>
      <c r="I115" s="3"/>
      <c r="J115" s="34">
        <v>0</v>
      </c>
      <c r="K115" s="475">
        <v>3.7</v>
      </c>
      <c r="L115" s="34">
        <v>5.4</v>
      </c>
      <c r="M115" s="34">
        <v>7.1</v>
      </c>
      <c r="N115" s="34">
        <v>7.6</v>
      </c>
      <c r="O115" s="34">
        <v>8.1</v>
      </c>
      <c r="AI115" s="5">
        <v>2600</v>
      </c>
      <c r="AJ115" s="6">
        <v>1</v>
      </c>
      <c r="AK115" s="26">
        <v>0.4</v>
      </c>
    </row>
    <row r="116" spans="1:37" outlineLevel="1">
      <c r="B116" s="5">
        <v>1600</v>
      </c>
      <c r="C116" s="34">
        <v>0</v>
      </c>
      <c r="D116" s="388">
        <v>3.2333333333333334</v>
      </c>
      <c r="E116" s="388">
        <v>4.7333333333333334</v>
      </c>
      <c r="F116" s="388">
        <v>5.9333333333333336</v>
      </c>
      <c r="G116" s="388">
        <v>6.4</v>
      </c>
      <c r="H116" s="388">
        <v>6.833333333333333</v>
      </c>
      <c r="I116" s="3"/>
      <c r="J116" s="34">
        <v>0</v>
      </c>
      <c r="K116" s="388">
        <f>(K115-K118)*2/3+K118</f>
        <v>3.2333333333333334</v>
      </c>
      <c r="L116" s="388">
        <f t="shared" ref="L116:O116" si="11">(L115-L118)*2/3+L118</f>
        <v>4.7333333333333334</v>
      </c>
      <c r="M116" s="388">
        <f t="shared" si="11"/>
        <v>5.9333333333333336</v>
      </c>
      <c r="N116" s="388">
        <f t="shared" si="11"/>
        <v>6.4</v>
      </c>
      <c r="O116" s="388">
        <f t="shared" si="11"/>
        <v>6.833333333333333</v>
      </c>
      <c r="AI116" s="5">
        <v>2800</v>
      </c>
      <c r="AJ116" s="6">
        <v>1</v>
      </c>
      <c r="AK116" s="26">
        <v>0.4</v>
      </c>
    </row>
    <row r="117" spans="1:37" outlineLevel="1">
      <c r="B117" s="5">
        <v>1800</v>
      </c>
      <c r="C117" s="34">
        <v>0</v>
      </c>
      <c r="D117" s="388">
        <v>2.7666666666666666</v>
      </c>
      <c r="E117" s="388">
        <v>4.0666666666666664</v>
      </c>
      <c r="F117" s="388">
        <v>4.7666666666666666</v>
      </c>
      <c r="G117" s="388">
        <v>5.2</v>
      </c>
      <c r="H117" s="388">
        <v>5.5666666666666664</v>
      </c>
      <c r="I117" s="3"/>
      <c r="J117" s="34">
        <v>0</v>
      </c>
      <c r="K117" s="388">
        <f>(K115-K118)*1/3+K118</f>
        <v>2.7666666666666666</v>
      </c>
      <c r="L117" s="388">
        <f t="shared" ref="L117:O117" si="12">(L115-L118)*1/3+L118</f>
        <v>4.0666666666666664</v>
      </c>
      <c r="M117" s="388">
        <f t="shared" si="12"/>
        <v>4.7666666666666666</v>
      </c>
      <c r="N117" s="388">
        <f t="shared" si="12"/>
        <v>5.2</v>
      </c>
      <c r="O117" s="388">
        <f t="shared" si="12"/>
        <v>5.5666666666666664</v>
      </c>
      <c r="AI117" s="5">
        <v>3000</v>
      </c>
      <c r="AJ117" s="6">
        <v>0.9</v>
      </c>
      <c r="AK117" s="26">
        <v>0.4</v>
      </c>
    </row>
    <row r="118" spans="1:37" outlineLevel="1">
      <c r="A118" s="2"/>
      <c r="B118" s="5">
        <v>2000</v>
      </c>
      <c r="C118" s="34">
        <v>0</v>
      </c>
      <c r="D118" s="34">
        <v>2.2999999999999998</v>
      </c>
      <c r="E118" s="34">
        <v>3.4</v>
      </c>
      <c r="F118" s="34">
        <v>3.6</v>
      </c>
      <c r="G118" s="34">
        <v>4</v>
      </c>
      <c r="H118" s="34">
        <v>4.3</v>
      </c>
      <c r="I118" s="3"/>
      <c r="J118" s="34">
        <v>0</v>
      </c>
      <c r="K118" s="34">
        <v>2.2999999999999998</v>
      </c>
      <c r="L118" s="34">
        <v>3.4</v>
      </c>
      <c r="M118" s="34">
        <v>3.6</v>
      </c>
      <c r="N118" s="34">
        <v>4</v>
      </c>
      <c r="O118" s="34">
        <v>4.3</v>
      </c>
      <c r="AI118" s="5">
        <v>3200</v>
      </c>
      <c r="AJ118" s="6">
        <v>0.9</v>
      </c>
      <c r="AK118" s="26">
        <v>0.4</v>
      </c>
    </row>
    <row r="119" spans="1:37" outlineLevel="1">
      <c r="B119" s="36">
        <v>2200</v>
      </c>
      <c r="C119" s="34">
        <v>0</v>
      </c>
      <c r="D119" s="388">
        <v>1.8333333333333333</v>
      </c>
      <c r="E119" s="388">
        <v>2.7333333333333334</v>
      </c>
      <c r="F119" s="388">
        <v>3.0333333333333332</v>
      </c>
      <c r="G119" s="388">
        <v>3.3666666666666667</v>
      </c>
      <c r="H119" s="388">
        <v>3.5999999999999996</v>
      </c>
      <c r="I119" s="3"/>
      <c r="J119" s="34">
        <v>0</v>
      </c>
      <c r="K119" s="388">
        <f>(K118-K121)*2/3+K121</f>
        <v>1.8333333333333333</v>
      </c>
      <c r="L119" s="388">
        <f t="shared" ref="L119:O119" si="13">(L118-L121)*2/3+L121</f>
        <v>2.7333333333333334</v>
      </c>
      <c r="M119" s="388">
        <f t="shared" si="13"/>
        <v>3.0333333333333332</v>
      </c>
      <c r="N119" s="388">
        <f t="shared" si="13"/>
        <v>3.3666666666666667</v>
      </c>
      <c r="O119" s="388">
        <f t="shared" si="13"/>
        <v>3.5999999999999996</v>
      </c>
      <c r="AI119" s="5">
        <v>0</v>
      </c>
      <c r="AJ119" s="6">
        <v>0</v>
      </c>
      <c r="AK119" s="26">
        <v>0.6</v>
      </c>
    </row>
    <row r="120" spans="1:37" outlineLevel="1">
      <c r="B120" s="36">
        <v>2400</v>
      </c>
      <c r="C120" s="34">
        <v>0</v>
      </c>
      <c r="D120" s="388">
        <v>1.3666666666666667</v>
      </c>
      <c r="E120" s="388">
        <v>2.0666666666666664</v>
      </c>
      <c r="F120" s="388">
        <v>2.4666666666666668</v>
      </c>
      <c r="G120" s="388">
        <v>2.7333333333333334</v>
      </c>
      <c r="H120" s="388">
        <v>2.9</v>
      </c>
      <c r="I120" s="3"/>
      <c r="J120" s="34">
        <v>0</v>
      </c>
      <c r="K120" s="388">
        <f>(K118-K121)*1/3+K121</f>
        <v>1.3666666666666667</v>
      </c>
      <c r="L120" s="388">
        <f t="shared" ref="L120:O120" si="14">(L118-L121)*1/3+L121</f>
        <v>2.0666666666666664</v>
      </c>
      <c r="M120" s="388">
        <f t="shared" si="14"/>
        <v>2.4666666666666668</v>
      </c>
      <c r="N120" s="388">
        <f t="shared" si="14"/>
        <v>2.7333333333333334</v>
      </c>
      <c r="O120" s="388">
        <f t="shared" si="14"/>
        <v>2.9</v>
      </c>
      <c r="AI120" s="5">
        <v>200</v>
      </c>
      <c r="AJ120" s="6">
        <v>3.8</v>
      </c>
      <c r="AK120" s="26">
        <v>0.6</v>
      </c>
    </row>
    <row r="121" spans="1:37" outlineLevel="1">
      <c r="A121" s="2"/>
      <c r="B121" s="36">
        <v>2600</v>
      </c>
      <c r="C121" s="34">
        <v>0</v>
      </c>
      <c r="D121" s="34">
        <v>0.9</v>
      </c>
      <c r="E121" s="34">
        <v>1.4</v>
      </c>
      <c r="F121" s="34">
        <v>1.9</v>
      </c>
      <c r="G121" s="34">
        <v>2.1</v>
      </c>
      <c r="H121" s="34">
        <v>2.2000000000000002</v>
      </c>
      <c r="I121" s="3"/>
      <c r="J121" s="34">
        <v>0</v>
      </c>
      <c r="K121" s="34">
        <v>0.9</v>
      </c>
      <c r="L121" s="34">
        <v>1.4</v>
      </c>
      <c r="M121" s="34">
        <v>1.9</v>
      </c>
      <c r="N121" s="34">
        <v>2.1</v>
      </c>
      <c r="O121" s="34">
        <v>2.2000000000000002</v>
      </c>
      <c r="AI121" s="5">
        <v>400</v>
      </c>
      <c r="AJ121" s="6">
        <v>5.7</v>
      </c>
      <c r="AK121" s="26">
        <v>0.6</v>
      </c>
    </row>
    <row r="122" spans="1:37" outlineLevel="1">
      <c r="A122" s="387"/>
      <c r="B122" s="5">
        <v>2800</v>
      </c>
      <c r="C122" s="34">
        <v>0</v>
      </c>
      <c r="D122" s="34">
        <v>0.9</v>
      </c>
      <c r="E122" s="34">
        <v>1.4</v>
      </c>
      <c r="F122" s="34">
        <v>1.9</v>
      </c>
      <c r="G122" s="34">
        <v>2.1</v>
      </c>
      <c r="H122" s="34">
        <v>2.2000000000000002</v>
      </c>
      <c r="J122" s="34">
        <v>0</v>
      </c>
      <c r="K122" s="34">
        <v>0.9</v>
      </c>
      <c r="L122" s="34">
        <v>1.4</v>
      </c>
      <c r="M122" s="34">
        <v>1.9</v>
      </c>
      <c r="N122" s="34">
        <v>2.1</v>
      </c>
      <c r="O122" s="34">
        <v>2.2000000000000002</v>
      </c>
      <c r="AI122" s="5">
        <v>600</v>
      </c>
      <c r="AJ122" s="6">
        <v>4.9000000000000004</v>
      </c>
      <c r="AK122" s="26">
        <v>0.6</v>
      </c>
    </row>
    <row r="123" spans="1:37" outlineLevel="1">
      <c r="A123" s="387"/>
      <c r="B123" s="5">
        <v>3000</v>
      </c>
      <c r="C123" s="34">
        <v>0</v>
      </c>
      <c r="D123" s="34">
        <v>0.9</v>
      </c>
      <c r="E123" s="34">
        <v>1.4</v>
      </c>
      <c r="F123" s="34">
        <v>1.9</v>
      </c>
      <c r="G123" s="34">
        <v>2.1</v>
      </c>
      <c r="H123" s="34">
        <v>2.2000000000000002</v>
      </c>
      <c r="J123" s="34">
        <v>0</v>
      </c>
      <c r="K123" s="34">
        <v>0.9</v>
      </c>
      <c r="L123" s="34">
        <v>1.4</v>
      </c>
      <c r="M123" s="34">
        <v>1.9</v>
      </c>
      <c r="N123" s="34">
        <v>2.1</v>
      </c>
      <c r="O123" s="34">
        <v>2.2000000000000002</v>
      </c>
      <c r="AI123" s="5">
        <v>800</v>
      </c>
      <c r="AJ123" s="6">
        <v>3.9</v>
      </c>
      <c r="AK123" s="26">
        <v>0.6</v>
      </c>
    </row>
    <row r="124" spans="1:37" outlineLevel="1">
      <c r="B124" s="5">
        <v>3200</v>
      </c>
      <c r="C124" s="34">
        <v>0</v>
      </c>
      <c r="D124" s="34">
        <v>0.9</v>
      </c>
      <c r="E124" s="34">
        <v>1.4</v>
      </c>
      <c r="F124" s="34">
        <v>1.9</v>
      </c>
      <c r="G124" s="34">
        <v>2.1</v>
      </c>
      <c r="H124" s="34">
        <v>2.2000000000000002</v>
      </c>
      <c r="J124" s="34">
        <v>0</v>
      </c>
      <c r="K124" s="34">
        <v>0.9</v>
      </c>
      <c r="L124" s="34">
        <v>1.4</v>
      </c>
      <c r="M124" s="34">
        <v>1.9</v>
      </c>
      <c r="N124" s="34">
        <v>2.1</v>
      </c>
      <c r="O124" s="34">
        <v>2.2000000000000002</v>
      </c>
      <c r="AI124" s="5">
        <v>1000</v>
      </c>
      <c r="AJ124" s="6">
        <v>3.2</v>
      </c>
      <c r="AK124" s="26">
        <v>0.6</v>
      </c>
    </row>
    <row r="125" spans="1:37" outlineLevel="1">
      <c r="AI125" s="5">
        <v>1200</v>
      </c>
      <c r="AJ125" s="6">
        <v>2.6</v>
      </c>
      <c r="AK125" s="26">
        <v>0.6</v>
      </c>
    </row>
    <row r="126" spans="1:37" ht="25.5" outlineLevel="1">
      <c r="A126" s="2" t="s">
        <v>55</v>
      </c>
      <c r="B126" s="7" t="s">
        <v>56</v>
      </c>
      <c r="L126" s="3" t="s">
        <v>91</v>
      </c>
      <c r="M126" s="22">
        <v>3.5</v>
      </c>
      <c r="AI126" s="5">
        <v>1400</v>
      </c>
      <c r="AJ126" s="6">
        <v>1.9</v>
      </c>
      <c r="AK126" s="26">
        <v>0.6</v>
      </c>
    </row>
    <row r="127" spans="1:37" outlineLevel="1">
      <c r="L127" s="3" t="s">
        <v>92</v>
      </c>
      <c r="M127" s="22">
        <v>0.5</v>
      </c>
      <c r="AI127" s="5">
        <v>1600</v>
      </c>
      <c r="AJ127" s="6">
        <v>1.7</v>
      </c>
      <c r="AK127" s="26">
        <v>0.6</v>
      </c>
    </row>
    <row r="128" spans="1:37" ht="25.5" outlineLevel="1">
      <c r="A128" s="3" t="s">
        <v>59</v>
      </c>
      <c r="B128" s="7" t="s">
        <v>60</v>
      </c>
      <c r="AI128" s="5">
        <v>1800</v>
      </c>
      <c r="AJ128" s="6">
        <v>1.6</v>
      </c>
      <c r="AK128" s="26">
        <v>0.6</v>
      </c>
    </row>
    <row r="129" spans="1:37" outlineLevel="1">
      <c r="A129" s="3" t="s">
        <v>62</v>
      </c>
      <c r="B129" s="2" t="s">
        <v>63</v>
      </c>
      <c r="AI129" s="5">
        <v>2000</v>
      </c>
      <c r="AJ129" s="6">
        <v>1.4</v>
      </c>
      <c r="AK129" s="26">
        <v>0.6</v>
      </c>
    </row>
    <row r="130" spans="1:37" outlineLevel="1">
      <c r="AI130" s="5">
        <v>2200</v>
      </c>
      <c r="AJ130" s="6">
        <v>1.4</v>
      </c>
      <c r="AK130" s="26">
        <v>0.6</v>
      </c>
    </row>
    <row r="131" spans="1:37" outlineLevel="1">
      <c r="AI131" s="5">
        <v>2400</v>
      </c>
      <c r="AJ131" s="6">
        <v>1.3</v>
      </c>
      <c r="AK131" s="26">
        <v>0.6</v>
      </c>
    </row>
    <row r="132" spans="1:37" outlineLevel="1">
      <c r="B132" s="678" t="s">
        <v>101</v>
      </c>
      <c r="C132" s="675" t="s">
        <v>83</v>
      </c>
      <c r="D132" s="675"/>
      <c r="E132" s="675"/>
      <c r="F132" s="675"/>
      <c r="G132" s="675"/>
      <c r="H132" s="675"/>
      <c r="I132" s="675"/>
      <c r="J132" s="675"/>
      <c r="K132" s="675"/>
      <c r="L132" s="675"/>
      <c r="M132" s="675"/>
      <c r="N132" s="676"/>
      <c r="AI132" s="5">
        <v>2600</v>
      </c>
      <c r="AJ132" s="6">
        <v>1.3</v>
      </c>
      <c r="AK132" s="26">
        <v>0.6</v>
      </c>
    </row>
    <row r="133" spans="1:37" outlineLevel="1">
      <c r="B133" s="679"/>
      <c r="C133" s="47">
        <v>0</v>
      </c>
      <c r="D133" s="47">
        <f t="shared" ref="D133:N133" si="15">C133+10</f>
        <v>10</v>
      </c>
      <c r="E133" s="47">
        <f t="shared" si="15"/>
        <v>20</v>
      </c>
      <c r="F133" s="47">
        <f t="shared" si="15"/>
        <v>30</v>
      </c>
      <c r="G133" s="47">
        <f t="shared" si="15"/>
        <v>40</v>
      </c>
      <c r="H133" s="47">
        <f t="shared" si="15"/>
        <v>50</v>
      </c>
      <c r="I133" s="47">
        <f t="shared" si="15"/>
        <v>60</v>
      </c>
      <c r="J133" s="47">
        <f t="shared" si="15"/>
        <v>70</v>
      </c>
      <c r="K133" s="47">
        <f t="shared" si="15"/>
        <v>80</v>
      </c>
      <c r="L133" s="47">
        <f t="shared" si="15"/>
        <v>90</v>
      </c>
      <c r="M133" s="47">
        <f t="shared" si="15"/>
        <v>100</v>
      </c>
      <c r="N133" s="48">
        <f t="shared" si="15"/>
        <v>110</v>
      </c>
      <c r="AI133" s="5">
        <v>2800</v>
      </c>
      <c r="AJ133" s="6">
        <v>1.2</v>
      </c>
      <c r="AK133" s="26">
        <v>0.6</v>
      </c>
    </row>
    <row r="134" spans="1:37" ht="21" outlineLevel="1">
      <c r="B134" s="46">
        <v>0</v>
      </c>
      <c r="C134" s="38" t="s">
        <v>65</v>
      </c>
      <c r="D134" s="38" t="s">
        <v>65</v>
      </c>
      <c r="E134" s="38" t="s">
        <v>65</v>
      </c>
      <c r="F134" s="38" t="s">
        <v>65</v>
      </c>
      <c r="G134" s="38" t="s">
        <v>65</v>
      </c>
      <c r="H134" s="38" t="s">
        <v>65</v>
      </c>
      <c r="I134" s="38" t="s">
        <v>65</v>
      </c>
      <c r="J134" s="41" t="s">
        <v>106</v>
      </c>
      <c r="K134" s="39" t="s">
        <v>64</v>
      </c>
      <c r="L134" s="41" t="s">
        <v>105</v>
      </c>
      <c r="M134" s="39" t="s">
        <v>104</v>
      </c>
      <c r="N134" s="40" t="s">
        <v>104</v>
      </c>
      <c r="AI134" s="5">
        <v>3000</v>
      </c>
      <c r="AJ134" s="6">
        <v>1.1000000000000001</v>
      </c>
      <c r="AK134" s="26">
        <v>0.6</v>
      </c>
    </row>
    <row r="135" spans="1:37" ht="21" outlineLevel="1">
      <c r="B135" s="46">
        <f>B134+5</f>
        <v>5</v>
      </c>
      <c r="C135" s="38" t="s">
        <v>65</v>
      </c>
      <c r="D135" s="38" t="s">
        <v>65</v>
      </c>
      <c r="E135" s="38" t="s">
        <v>65</v>
      </c>
      <c r="F135" s="38" t="s">
        <v>65</v>
      </c>
      <c r="G135" s="38" t="s">
        <v>65</v>
      </c>
      <c r="H135" s="38" t="s">
        <v>65</v>
      </c>
      <c r="I135" s="38" t="s">
        <v>65</v>
      </c>
      <c r="J135" s="41" t="s">
        <v>106</v>
      </c>
      <c r="K135" s="39" t="s">
        <v>64</v>
      </c>
      <c r="L135" s="41" t="s">
        <v>105</v>
      </c>
      <c r="M135" s="39" t="s">
        <v>104</v>
      </c>
      <c r="N135" s="40" t="s">
        <v>104</v>
      </c>
      <c r="AI135" s="5">
        <v>3200</v>
      </c>
      <c r="AJ135" s="6">
        <v>1</v>
      </c>
      <c r="AK135" s="26">
        <v>0.6</v>
      </c>
    </row>
    <row r="136" spans="1:37" ht="21" outlineLevel="1">
      <c r="B136" s="46">
        <f t="shared" ref="B136:B154" si="16">B135+5</f>
        <v>10</v>
      </c>
      <c r="C136" s="38" t="s">
        <v>65</v>
      </c>
      <c r="D136" s="38" t="s">
        <v>65</v>
      </c>
      <c r="E136" s="38" t="s">
        <v>65</v>
      </c>
      <c r="F136" s="38" t="s">
        <v>65</v>
      </c>
      <c r="G136" s="38" t="s">
        <v>65</v>
      </c>
      <c r="H136" s="38" t="s">
        <v>65</v>
      </c>
      <c r="I136" s="38" t="s">
        <v>65</v>
      </c>
      <c r="J136" s="41" t="s">
        <v>106</v>
      </c>
      <c r="K136" s="39" t="s">
        <v>64</v>
      </c>
      <c r="L136" s="41" t="s">
        <v>105</v>
      </c>
      <c r="M136" s="39" t="s">
        <v>104</v>
      </c>
      <c r="N136" s="40" t="s">
        <v>104</v>
      </c>
      <c r="P136" s="44" t="s">
        <v>114</v>
      </c>
      <c r="Q136" s="45">
        <v>36</v>
      </c>
      <c r="AI136" s="5">
        <v>0</v>
      </c>
      <c r="AJ136" s="6">
        <v>0</v>
      </c>
      <c r="AK136" s="26">
        <v>0.8</v>
      </c>
    </row>
    <row r="137" spans="1:37" ht="21" outlineLevel="1">
      <c r="B137" s="46">
        <f t="shared" si="16"/>
        <v>15</v>
      </c>
      <c r="C137" s="38" t="s">
        <v>65</v>
      </c>
      <c r="D137" s="38" t="s">
        <v>65</v>
      </c>
      <c r="E137" s="38" t="s">
        <v>65</v>
      </c>
      <c r="F137" s="38" t="s">
        <v>65</v>
      </c>
      <c r="G137" s="38" t="s">
        <v>65</v>
      </c>
      <c r="H137" s="38" t="s">
        <v>65</v>
      </c>
      <c r="I137" s="38" t="s">
        <v>65</v>
      </c>
      <c r="J137" s="41" t="s">
        <v>106</v>
      </c>
      <c r="K137" s="39" t="s">
        <v>64</v>
      </c>
      <c r="L137" s="41" t="s">
        <v>105</v>
      </c>
      <c r="M137" s="39" t="s">
        <v>104</v>
      </c>
      <c r="N137" s="40" t="s">
        <v>104</v>
      </c>
      <c r="P137" s="44" t="s">
        <v>115</v>
      </c>
      <c r="Q137" s="45">
        <v>95</v>
      </c>
      <c r="AI137" s="5">
        <v>200</v>
      </c>
      <c r="AJ137" s="6">
        <v>4.2</v>
      </c>
      <c r="AK137" s="26">
        <v>0.8</v>
      </c>
    </row>
    <row r="138" spans="1:37" ht="21" outlineLevel="1">
      <c r="B138" s="46">
        <f t="shared" si="16"/>
        <v>20</v>
      </c>
      <c r="C138" s="38" t="s">
        <v>65</v>
      </c>
      <c r="D138" s="38" t="s">
        <v>65</v>
      </c>
      <c r="E138" s="38" t="s">
        <v>65</v>
      </c>
      <c r="F138" s="38" t="s">
        <v>65</v>
      </c>
      <c r="G138" s="38" t="s">
        <v>65</v>
      </c>
      <c r="H138" s="38" t="s">
        <v>65</v>
      </c>
      <c r="I138" s="38" t="s">
        <v>65</v>
      </c>
      <c r="J138" s="41" t="s">
        <v>106</v>
      </c>
      <c r="K138" s="39" t="s">
        <v>64</v>
      </c>
      <c r="L138" s="41" t="s">
        <v>105</v>
      </c>
      <c r="M138" s="39" t="s">
        <v>104</v>
      </c>
      <c r="N138" s="40" t="s">
        <v>104</v>
      </c>
      <c r="Q138" s="37"/>
      <c r="AI138" s="5">
        <v>400</v>
      </c>
      <c r="AJ138" s="6">
        <v>6.3</v>
      </c>
      <c r="AK138" s="26">
        <v>0.8</v>
      </c>
    </row>
    <row r="139" spans="1:37" ht="21" outlineLevel="1">
      <c r="B139" s="46">
        <f t="shared" si="16"/>
        <v>25</v>
      </c>
      <c r="C139" s="38" t="s">
        <v>65</v>
      </c>
      <c r="D139" s="38" t="s">
        <v>65</v>
      </c>
      <c r="E139" s="38" t="s">
        <v>65</v>
      </c>
      <c r="F139" s="38" t="s">
        <v>65</v>
      </c>
      <c r="G139" s="38" t="s">
        <v>65</v>
      </c>
      <c r="H139" s="38" t="s">
        <v>65</v>
      </c>
      <c r="I139" s="38" t="s">
        <v>65</v>
      </c>
      <c r="J139" s="41" t="s">
        <v>106</v>
      </c>
      <c r="K139" s="39" t="s">
        <v>64</v>
      </c>
      <c r="L139" s="41" t="s">
        <v>105</v>
      </c>
      <c r="M139" s="39" t="s">
        <v>104</v>
      </c>
      <c r="N139" s="40" t="s">
        <v>104</v>
      </c>
      <c r="AI139" s="5">
        <v>600</v>
      </c>
      <c r="AJ139" s="6">
        <v>5.5</v>
      </c>
      <c r="AK139" s="26">
        <v>0.8</v>
      </c>
    </row>
    <row r="140" spans="1:37" ht="21" outlineLevel="1">
      <c r="B140" s="46">
        <f t="shared" si="16"/>
        <v>30</v>
      </c>
      <c r="C140" s="38" t="s">
        <v>65</v>
      </c>
      <c r="D140" s="38" t="s">
        <v>65</v>
      </c>
      <c r="E140" s="38" t="s">
        <v>65</v>
      </c>
      <c r="F140" s="38" t="s">
        <v>65</v>
      </c>
      <c r="G140" s="38" t="s">
        <v>65</v>
      </c>
      <c r="H140" s="38" t="s">
        <v>65</v>
      </c>
      <c r="I140" s="38" t="s">
        <v>65</v>
      </c>
      <c r="J140" s="41" t="s">
        <v>106</v>
      </c>
      <c r="K140" s="39" t="s">
        <v>64</v>
      </c>
      <c r="L140" s="41" t="s">
        <v>105</v>
      </c>
      <c r="M140" s="39" t="s">
        <v>104</v>
      </c>
      <c r="N140" s="40" t="s">
        <v>104</v>
      </c>
      <c r="AI140" s="5">
        <v>800</v>
      </c>
      <c r="AJ140" s="6">
        <v>4.3</v>
      </c>
      <c r="AK140" s="26">
        <v>0.8</v>
      </c>
    </row>
    <row r="141" spans="1:37" ht="21" outlineLevel="1">
      <c r="B141" s="46">
        <f t="shared" si="16"/>
        <v>35</v>
      </c>
      <c r="C141" s="38" t="s">
        <v>65</v>
      </c>
      <c r="D141" s="38" t="s">
        <v>65</v>
      </c>
      <c r="E141" s="38" t="s">
        <v>65</v>
      </c>
      <c r="F141" s="38" t="s">
        <v>65</v>
      </c>
      <c r="G141" s="38" t="s">
        <v>65</v>
      </c>
      <c r="H141" s="38" t="s">
        <v>65</v>
      </c>
      <c r="I141" s="38" t="s">
        <v>65</v>
      </c>
      <c r="J141" s="41" t="s">
        <v>106</v>
      </c>
      <c r="K141" s="39" t="s">
        <v>64</v>
      </c>
      <c r="L141" s="41" t="s">
        <v>105</v>
      </c>
      <c r="M141" s="39" t="s">
        <v>104</v>
      </c>
      <c r="N141" s="40" t="s">
        <v>104</v>
      </c>
      <c r="AI141" s="5">
        <v>1000</v>
      </c>
      <c r="AJ141" s="6">
        <v>3.6</v>
      </c>
      <c r="AK141" s="26">
        <v>0.8</v>
      </c>
    </row>
    <row r="142" spans="1:37" ht="21" outlineLevel="1">
      <c r="B142" s="46">
        <f t="shared" si="16"/>
        <v>40</v>
      </c>
      <c r="C142" s="38" t="s">
        <v>65</v>
      </c>
      <c r="D142" s="38" t="s">
        <v>65</v>
      </c>
      <c r="E142" s="38" t="s">
        <v>65</v>
      </c>
      <c r="F142" s="38" t="s">
        <v>65</v>
      </c>
      <c r="G142" s="38" t="s">
        <v>65</v>
      </c>
      <c r="H142" s="38" t="s">
        <v>65</v>
      </c>
      <c r="I142" s="38" t="s">
        <v>65</v>
      </c>
      <c r="J142" s="41" t="s">
        <v>106</v>
      </c>
      <c r="K142" s="39" t="s">
        <v>64</v>
      </c>
      <c r="L142" s="41" t="s">
        <v>105</v>
      </c>
      <c r="M142" s="41" t="s">
        <v>105</v>
      </c>
      <c r="N142" s="41" t="s">
        <v>105</v>
      </c>
      <c r="AI142" s="5">
        <v>1200</v>
      </c>
      <c r="AJ142" s="6">
        <v>3</v>
      </c>
      <c r="AK142" s="26">
        <v>0.8</v>
      </c>
    </row>
    <row r="143" spans="1:37" ht="21" outlineLevel="1">
      <c r="B143" s="46">
        <f t="shared" si="16"/>
        <v>45</v>
      </c>
      <c r="C143" s="38" t="s">
        <v>65</v>
      </c>
      <c r="D143" s="38" t="s">
        <v>65</v>
      </c>
      <c r="E143" s="38" t="s">
        <v>65</v>
      </c>
      <c r="F143" s="38" t="s">
        <v>65</v>
      </c>
      <c r="G143" s="38" t="s">
        <v>65</v>
      </c>
      <c r="H143" s="38" t="s">
        <v>65</v>
      </c>
      <c r="I143" s="38" t="s">
        <v>65</v>
      </c>
      <c r="J143" s="41" t="s">
        <v>106</v>
      </c>
      <c r="K143" s="39" t="s">
        <v>64</v>
      </c>
      <c r="L143" s="41" t="s">
        <v>105</v>
      </c>
      <c r="M143" s="41" t="s">
        <v>105</v>
      </c>
      <c r="N143" s="41" t="s">
        <v>105</v>
      </c>
      <c r="AI143" s="5">
        <v>1400</v>
      </c>
      <c r="AJ143" s="6">
        <v>2.2999999999999998</v>
      </c>
      <c r="AK143" s="26">
        <v>0.8</v>
      </c>
    </row>
    <row r="144" spans="1:37" ht="21" outlineLevel="1">
      <c r="B144" s="46">
        <f t="shared" si="16"/>
        <v>50</v>
      </c>
      <c r="C144" s="38" t="s">
        <v>65</v>
      </c>
      <c r="D144" s="38" t="s">
        <v>65</v>
      </c>
      <c r="E144" s="38" t="s">
        <v>65</v>
      </c>
      <c r="F144" s="38" t="s">
        <v>65</v>
      </c>
      <c r="G144" s="38" t="s">
        <v>65</v>
      </c>
      <c r="H144" s="38" t="s">
        <v>65</v>
      </c>
      <c r="I144" s="38" t="s">
        <v>65</v>
      </c>
      <c r="J144" s="41" t="s">
        <v>106</v>
      </c>
      <c r="K144" s="39" t="s">
        <v>64</v>
      </c>
      <c r="L144" s="41" t="s">
        <v>105</v>
      </c>
      <c r="M144" s="41" t="s">
        <v>105</v>
      </c>
      <c r="N144" s="41" t="s">
        <v>105</v>
      </c>
      <c r="AI144" s="5">
        <v>1600</v>
      </c>
      <c r="AJ144" s="6">
        <v>2.1</v>
      </c>
      <c r="AK144" s="26">
        <v>0.8</v>
      </c>
    </row>
    <row r="145" spans="1:37" ht="21" outlineLevel="1">
      <c r="B145" s="46">
        <f t="shared" si="16"/>
        <v>55</v>
      </c>
      <c r="C145" s="38" t="s">
        <v>65</v>
      </c>
      <c r="D145" s="38" t="s">
        <v>65</v>
      </c>
      <c r="E145" s="38" t="s">
        <v>65</v>
      </c>
      <c r="F145" s="38" t="s">
        <v>65</v>
      </c>
      <c r="G145" s="38" t="s">
        <v>65</v>
      </c>
      <c r="H145" s="38" t="s">
        <v>65</v>
      </c>
      <c r="I145" s="38" t="s">
        <v>65</v>
      </c>
      <c r="J145" s="41" t="s">
        <v>106</v>
      </c>
      <c r="K145" s="39" t="s">
        <v>64</v>
      </c>
      <c r="L145" s="39" t="s">
        <v>64</v>
      </c>
      <c r="M145" s="39" t="s">
        <v>64</v>
      </c>
      <c r="N145" s="39" t="s">
        <v>64</v>
      </c>
      <c r="AI145" s="5">
        <v>1800</v>
      </c>
      <c r="AJ145" s="6">
        <v>1.8</v>
      </c>
      <c r="AK145" s="26">
        <v>0.8</v>
      </c>
    </row>
    <row r="146" spans="1:37" ht="21" outlineLevel="1">
      <c r="B146" s="46">
        <f t="shared" si="16"/>
        <v>60</v>
      </c>
      <c r="C146" s="38" t="s">
        <v>65</v>
      </c>
      <c r="D146" s="38" t="s">
        <v>65</v>
      </c>
      <c r="E146" s="38" t="s">
        <v>65</v>
      </c>
      <c r="F146" s="38" t="s">
        <v>65</v>
      </c>
      <c r="G146" s="38" t="s">
        <v>65</v>
      </c>
      <c r="H146" s="38" t="s">
        <v>65</v>
      </c>
      <c r="I146" s="38" t="s">
        <v>65</v>
      </c>
      <c r="J146" s="41" t="s">
        <v>106</v>
      </c>
      <c r="K146" s="39" t="s">
        <v>64</v>
      </c>
      <c r="L146" s="39" t="s">
        <v>64</v>
      </c>
      <c r="M146" s="39" t="s">
        <v>64</v>
      </c>
      <c r="N146" s="39" t="s">
        <v>64</v>
      </c>
      <c r="AI146" s="5">
        <v>2000</v>
      </c>
      <c r="AJ146" s="6">
        <v>1.6</v>
      </c>
      <c r="AK146" s="26">
        <v>0.8</v>
      </c>
    </row>
    <row r="147" spans="1:37" ht="21" outlineLevel="1">
      <c r="B147" s="46">
        <f t="shared" si="16"/>
        <v>65</v>
      </c>
      <c r="C147" s="38" t="s">
        <v>65</v>
      </c>
      <c r="D147" s="38" t="s">
        <v>65</v>
      </c>
      <c r="E147" s="38" t="s">
        <v>65</v>
      </c>
      <c r="F147" s="38" t="s">
        <v>65</v>
      </c>
      <c r="G147" s="38" t="s">
        <v>65</v>
      </c>
      <c r="H147" s="38" t="s">
        <v>65</v>
      </c>
      <c r="I147" s="38" t="s">
        <v>65</v>
      </c>
      <c r="J147" s="41" t="s">
        <v>106</v>
      </c>
      <c r="K147" s="39" t="s">
        <v>64</v>
      </c>
      <c r="L147" s="39" t="s">
        <v>64</v>
      </c>
      <c r="M147" s="39" t="s">
        <v>64</v>
      </c>
      <c r="N147" s="39" t="s">
        <v>64</v>
      </c>
      <c r="AI147" s="5">
        <v>2200</v>
      </c>
      <c r="AJ147" s="6">
        <v>1.5</v>
      </c>
      <c r="AK147" s="26">
        <v>0.8</v>
      </c>
    </row>
    <row r="148" spans="1:37" ht="21" outlineLevel="1">
      <c r="B148" s="46">
        <f t="shared" si="16"/>
        <v>70</v>
      </c>
      <c r="C148" s="38" t="s">
        <v>65</v>
      </c>
      <c r="D148" s="38" t="s">
        <v>65</v>
      </c>
      <c r="E148" s="38" t="s">
        <v>65</v>
      </c>
      <c r="F148" s="38" t="s">
        <v>65</v>
      </c>
      <c r="G148" s="38" t="s">
        <v>65</v>
      </c>
      <c r="H148" s="38" t="s">
        <v>65</v>
      </c>
      <c r="I148" s="38" t="s">
        <v>65</v>
      </c>
      <c r="J148" s="41" t="s">
        <v>106</v>
      </c>
      <c r="K148" s="41" t="s">
        <v>106</v>
      </c>
      <c r="L148" s="41" t="s">
        <v>106</v>
      </c>
      <c r="M148" s="41" t="s">
        <v>106</v>
      </c>
      <c r="N148" s="41" t="s">
        <v>106</v>
      </c>
      <c r="AI148" s="5">
        <v>2400</v>
      </c>
      <c r="AJ148" s="6">
        <v>1.5</v>
      </c>
      <c r="AK148" s="26">
        <v>0.8</v>
      </c>
    </row>
    <row r="149" spans="1:37" ht="21" outlineLevel="1">
      <c r="B149" s="46">
        <f t="shared" si="16"/>
        <v>75</v>
      </c>
      <c r="C149" s="38" t="s">
        <v>65</v>
      </c>
      <c r="D149" s="38" t="s">
        <v>65</v>
      </c>
      <c r="E149" s="38" t="s">
        <v>65</v>
      </c>
      <c r="F149" s="38" t="s">
        <v>65</v>
      </c>
      <c r="G149" s="38" t="s">
        <v>65</v>
      </c>
      <c r="H149" s="38" t="s">
        <v>65</v>
      </c>
      <c r="I149" s="38" t="s">
        <v>65</v>
      </c>
      <c r="J149" s="41" t="s">
        <v>106</v>
      </c>
      <c r="K149" s="41" t="s">
        <v>106</v>
      </c>
      <c r="L149" s="41" t="s">
        <v>106</v>
      </c>
      <c r="M149" s="41" t="s">
        <v>106</v>
      </c>
      <c r="N149" s="41" t="s">
        <v>106</v>
      </c>
      <c r="AI149" s="5">
        <v>2600</v>
      </c>
      <c r="AJ149" s="6">
        <v>1.4</v>
      </c>
      <c r="AK149" s="26">
        <v>0.8</v>
      </c>
    </row>
    <row r="150" spans="1:37" ht="21" outlineLevel="1">
      <c r="B150" s="46">
        <f t="shared" si="16"/>
        <v>80</v>
      </c>
      <c r="C150" s="38" t="s">
        <v>65</v>
      </c>
      <c r="D150" s="38" t="s">
        <v>65</v>
      </c>
      <c r="E150" s="38" t="s">
        <v>65</v>
      </c>
      <c r="F150" s="38" t="s">
        <v>65</v>
      </c>
      <c r="G150" s="38" t="s">
        <v>65</v>
      </c>
      <c r="H150" s="38" t="s">
        <v>65</v>
      </c>
      <c r="I150" s="38" t="s">
        <v>65</v>
      </c>
      <c r="J150" s="41" t="s">
        <v>106</v>
      </c>
      <c r="K150" s="41" t="s">
        <v>106</v>
      </c>
      <c r="L150" s="41" t="s">
        <v>106</v>
      </c>
      <c r="M150" s="41" t="s">
        <v>106</v>
      </c>
      <c r="N150" s="41" t="s">
        <v>106</v>
      </c>
      <c r="AI150" s="5">
        <v>2800</v>
      </c>
      <c r="AJ150" s="6">
        <v>1.3</v>
      </c>
      <c r="AK150" s="26">
        <v>0.8</v>
      </c>
    </row>
    <row r="151" spans="1:37" ht="21" outlineLevel="1">
      <c r="B151" s="46">
        <f t="shared" si="16"/>
        <v>85</v>
      </c>
      <c r="C151" s="38" t="s">
        <v>65</v>
      </c>
      <c r="D151" s="38" t="s">
        <v>65</v>
      </c>
      <c r="E151" s="38" t="s">
        <v>65</v>
      </c>
      <c r="F151" s="38" t="s">
        <v>65</v>
      </c>
      <c r="G151" s="38" t="s">
        <v>65</v>
      </c>
      <c r="H151" s="38" t="s">
        <v>65</v>
      </c>
      <c r="I151" s="38" t="s">
        <v>65</v>
      </c>
      <c r="J151" s="38" t="s">
        <v>65</v>
      </c>
      <c r="K151" s="38" t="s">
        <v>65</v>
      </c>
      <c r="L151" s="38" t="s">
        <v>65</v>
      </c>
      <c r="M151" s="38" t="s">
        <v>65</v>
      </c>
      <c r="N151" s="38" t="s">
        <v>65</v>
      </c>
      <c r="AI151" s="5">
        <v>3000</v>
      </c>
      <c r="AJ151" s="6">
        <v>1.1000000000000001</v>
      </c>
      <c r="AK151" s="26">
        <v>0.8</v>
      </c>
    </row>
    <row r="152" spans="1:37" ht="21" outlineLevel="1">
      <c r="B152" s="46">
        <f t="shared" si="16"/>
        <v>90</v>
      </c>
      <c r="C152" s="38" t="s">
        <v>65</v>
      </c>
      <c r="D152" s="38" t="s">
        <v>65</v>
      </c>
      <c r="E152" s="38" t="s">
        <v>65</v>
      </c>
      <c r="F152" s="38" t="s">
        <v>65</v>
      </c>
      <c r="G152" s="38" t="s">
        <v>65</v>
      </c>
      <c r="H152" s="38" t="s">
        <v>65</v>
      </c>
      <c r="I152" s="38" t="s">
        <v>65</v>
      </c>
      <c r="J152" s="38" t="s">
        <v>65</v>
      </c>
      <c r="K152" s="38" t="s">
        <v>65</v>
      </c>
      <c r="L152" s="38" t="s">
        <v>65</v>
      </c>
      <c r="M152" s="38" t="s">
        <v>65</v>
      </c>
      <c r="N152" s="38" t="s">
        <v>65</v>
      </c>
      <c r="AI152" s="5">
        <v>3200</v>
      </c>
      <c r="AJ152" s="6">
        <v>1</v>
      </c>
      <c r="AK152" s="26">
        <v>0.8</v>
      </c>
    </row>
    <row r="153" spans="1:37" ht="21" outlineLevel="1">
      <c r="B153" s="46">
        <f t="shared" si="16"/>
        <v>95</v>
      </c>
      <c r="C153" s="38" t="s">
        <v>65</v>
      </c>
      <c r="D153" s="38" t="s">
        <v>65</v>
      </c>
      <c r="E153" s="38" t="s">
        <v>65</v>
      </c>
      <c r="F153" s="38" t="s">
        <v>65</v>
      </c>
      <c r="G153" s="38" t="s">
        <v>65</v>
      </c>
      <c r="H153" s="38" t="s">
        <v>65</v>
      </c>
      <c r="I153" s="38" t="s">
        <v>65</v>
      </c>
      <c r="J153" s="38" t="s">
        <v>65</v>
      </c>
      <c r="K153" s="38" t="s">
        <v>65</v>
      </c>
      <c r="L153" s="38" t="s">
        <v>65</v>
      </c>
      <c r="M153" s="38" t="s">
        <v>65</v>
      </c>
      <c r="N153" s="38" t="s">
        <v>65</v>
      </c>
      <c r="AI153" s="5">
        <v>0</v>
      </c>
      <c r="AJ153" s="6">
        <v>0</v>
      </c>
      <c r="AK153" s="26">
        <v>1</v>
      </c>
    </row>
    <row r="154" spans="1:37" ht="21" outlineLevel="1">
      <c r="B154" s="46">
        <f t="shared" si="16"/>
        <v>100</v>
      </c>
      <c r="C154" s="38" t="s">
        <v>65</v>
      </c>
      <c r="D154" s="38" t="s">
        <v>65</v>
      </c>
      <c r="E154" s="38" t="s">
        <v>65</v>
      </c>
      <c r="F154" s="38" t="s">
        <v>65</v>
      </c>
      <c r="G154" s="38" t="s">
        <v>65</v>
      </c>
      <c r="H154" s="38" t="s">
        <v>65</v>
      </c>
      <c r="I154" s="38" t="s">
        <v>65</v>
      </c>
      <c r="J154" s="38" t="s">
        <v>65</v>
      </c>
      <c r="K154" s="38" t="s">
        <v>65</v>
      </c>
      <c r="L154" s="38" t="s">
        <v>65</v>
      </c>
      <c r="M154" s="38" t="s">
        <v>65</v>
      </c>
      <c r="N154" s="38" t="s">
        <v>65</v>
      </c>
      <c r="AI154" s="5">
        <v>200</v>
      </c>
      <c r="AJ154" s="6">
        <v>5.6</v>
      </c>
      <c r="AK154" s="26">
        <v>1</v>
      </c>
    </row>
    <row r="155" spans="1:37" outlineLevel="1">
      <c r="AI155" s="5">
        <v>400</v>
      </c>
      <c r="AJ155" s="6">
        <v>7.3</v>
      </c>
      <c r="AK155" s="26">
        <v>1</v>
      </c>
    </row>
    <row r="156" spans="1:37" outlineLevel="1">
      <c r="AI156" s="5">
        <v>600</v>
      </c>
      <c r="AJ156" s="6">
        <v>6.2</v>
      </c>
      <c r="AK156" s="26">
        <v>1</v>
      </c>
    </row>
    <row r="157" spans="1:37" outlineLevel="1">
      <c r="A157" s="233"/>
      <c r="B157" s="63" t="s">
        <v>149</v>
      </c>
      <c r="C157" s="64"/>
      <c r="D157" s="64"/>
      <c r="E157" s="64"/>
      <c r="F157" s="64"/>
      <c r="AI157" s="5">
        <v>800</v>
      </c>
      <c r="AJ157" s="6">
        <v>4.9000000000000004</v>
      </c>
      <c r="AK157" s="26">
        <v>1</v>
      </c>
    </row>
    <row r="158" spans="1:37" outlineLevel="1">
      <c r="A158" s="233"/>
      <c r="B158" s="63" t="s">
        <v>150</v>
      </c>
      <c r="C158" s="64"/>
      <c r="D158" s="64"/>
      <c r="E158" s="64"/>
      <c r="F158" s="64"/>
      <c r="AI158" s="5">
        <v>1000</v>
      </c>
      <c r="AJ158" s="6">
        <v>4.2</v>
      </c>
      <c r="AK158" s="26">
        <v>1</v>
      </c>
    </row>
    <row r="159" spans="1:37" outlineLevel="1">
      <c r="A159" s="623" t="s">
        <v>151</v>
      </c>
      <c r="C159" s="626" t="s">
        <v>152</v>
      </c>
      <c r="D159" s="673" t="s">
        <v>153</v>
      </c>
      <c r="E159" s="674"/>
      <c r="F159" s="674"/>
      <c r="AI159" s="5">
        <v>1200</v>
      </c>
      <c r="AJ159" s="6">
        <v>3.4</v>
      </c>
      <c r="AK159" s="26">
        <v>1</v>
      </c>
    </row>
    <row r="160" spans="1:37" outlineLevel="1">
      <c r="A160" s="624"/>
      <c r="C160" s="627"/>
      <c r="D160" s="677" t="s">
        <v>154</v>
      </c>
      <c r="E160" s="630"/>
      <c r="F160" s="630"/>
      <c r="AI160" s="5">
        <v>1400</v>
      </c>
      <c r="AJ160" s="6">
        <v>2.7</v>
      </c>
      <c r="AK160" s="26">
        <v>1</v>
      </c>
    </row>
    <row r="161" spans="1:37" outlineLevel="1">
      <c r="A161" s="625"/>
      <c r="C161" s="628"/>
      <c r="D161" s="55">
        <v>300</v>
      </c>
      <c r="E161" s="55">
        <v>600</v>
      </c>
      <c r="F161" s="55">
        <v>900</v>
      </c>
      <c r="AI161" s="5">
        <v>1600</v>
      </c>
      <c r="AJ161" s="6">
        <v>2.4</v>
      </c>
      <c r="AK161" s="26">
        <v>1</v>
      </c>
    </row>
    <row r="162" spans="1:37" outlineLevel="1">
      <c r="A162" s="631" t="s">
        <v>155</v>
      </c>
      <c r="B162" s="437">
        <v>3.5</v>
      </c>
      <c r="C162" s="67">
        <v>0.4</v>
      </c>
      <c r="D162" s="68">
        <v>0.81</v>
      </c>
      <c r="E162" s="69">
        <v>1</v>
      </c>
      <c r="F162" s="69">
        <v>1</v>
      </c>
      <c r="AI162" s="5">
        <v>1800</v>
      </c>
      <c r="AJ162" s="6">
        <v>2.1</v>
      </c>
      <c r="AK162" s="26">
        <v>1</v>
      </c>
    </row>
    <row r="163" spans="1:37" outlineLevel="1">
      <c r="A163" s="632"/>
      <c r="B163" s="437">
        <v>3.5</v>
      </c>
      <c r="C163" s="70">
        <v>0.8</v>
      </c>
      <c r="D163" s="71">
        <v>0.79</v>
      </c>
      <c r="E163" s="72">
        <v>1</v>
      </c>
      <c r="F163" s="72">
        <v>1</v>
      </c>
      <c r="AI163" s="5">
        <v>2000</v>
      </c>
      <c r="AJ163" s="6">
        <v>1.8</v>
      </c>
      <c r="AK163" s="26">
        <v>1</v>
      </c>
    </row>
    <row r="164" spans="1:37" outlineLevel="1">
      <c r="A164" s="632"/>
      <c r="B164" s="437">
        <v>3.5</v>
      </c>
      <c r="C164" s="70">
        <v>1.2</v>
      </c>
      <c r="D164" s="71">
        <v>0.77</v>
      </c>
      <c r="E164" s="72">
        <v>1</v>
      </c>
      <c r="F164" s="72">
        <v>1</v>
      </c>
      <c r="AI164" s="5">
        <v>2200</v>
      </c>
      <c r="AJ164" s="6">
        <v>1.7</v>
      </c>
      <c r="AK164" s="26">
        <v>1</v>
      </c>
    </row>
    <row r="165" spans="1:37" outlineLevel="1">
      <c r="A165" s="632"/>
      <c r="B165" s="437">
        <v>3.5</v>
      </c>
      <c r="C165" s="70">
        <v>1.6</v>
      </c>
      <c r="D165" s="71">
        <v>0.76</v>
      </c>
      <c r="E165" s="72">
        <v>1</v>
      </c>
      <c r="F165" s="72">
        <v>1</v>
      </c>
      <c r="AI165" s="5">
        <v>2400</v>
      </c>
      <c r="AJ165" s="6">
        <v>1.7</v>
      </c>
      <c r="AK165" s="26">
        <v>1</v>
      </c>
    </row>
    <row r="166" spans="1:37" outlineLevel="1">
      <c r="A166" s="632"/>
      <c r="B166" s="437">
        <v>3.5</v>
      </c>
      <c r="C166" s="73">
        <v>2.4</v>
      </c>
      <c r="D166" s="71">
        <v>0.75</v>
      </c>
      <c r="E166" s="72">
        <v>0.99</v>
      </c>
      <c r="F166" s="72">
        <v>1</v>
      </c>
      <c r="AI166" s="5">
        <v>2600</v>
      </c>
      <c r="AJ166" s="6">
        <v>1.6</v>
      </c>
      <c r="AK166" s="26">
        <v>1</v>
      </c>
    </row>
    <row r="167" spans="1:37" outlineLevel="1">
      <c r="A167" s="632"/>
      <c r="B167" s="437">
        <v>3.5</v>
      </c>
      <c r="C167" s="73">
        <v>3.2</v>
      </c>
      <c r="D167" s="71">
        <v>0.75</v>
      </c>
      <c r="E167" s="72">
        <v>0.97</v>
      </c>
      <c r="F167" s="74">
        <v>1</v>
      </c>
      <c r="AI167" s="5">
        <v>2800</v>
      </c>
      <c r="AJ167" s="6">
        <v>1.4</v>
      </c>
      <c r="AK167" s="26">
        <v>1</v>
      </c>
    </row>
    <row r="168" spans="1:37" outlineLevel="1">
      <c r="A168" s="632"/>
      <c r="B168" s="437">
        <v>3.5</v>
      </c>
      <c r="C168" s="73">
        <v>4.8</v>
      </c>
      <c r="D168" s="71">
        <v>0.75</v>
      </c>
      <c r="E168" s="72">
        <v>0.95</v>
      </c>
      <c r="F168" s="72">
        <v>0.97</v>
      </c>
      <c r="AI168" s="5">
        <v>3000</v>
      </c>
      <c r="AJ168" s="6">
        <v>1.3</v>
      </c>
      <c r="AK168" s="26">
        <v>1</v>
      </c>
    </row>
    <row r="169" spans="1:37" outlineLevel="1">
      <c r="A169" s="633"/>
      <c r="B169" s="437">
        <v>3.5</v>
      </c>
      <c r="C169" s="75" t="s">
        <v>156</v>
      </c>
      <c r="D169" s="76">
        <v>0.75</v>
      </c>
      <c r="E169" s="77">
        <v>0.94</v>
      </c>
      <c r="F169" s="77">
        <v>0.95</v>
      </c>
      <c r="AI169" s="5">
        <v>3200</v>
      </c>
      <c r="AJ169" s="6">
        <v>1.1000000000000001</v>
      </c>
      <c r="AK169" s="26">
        <v>1</v>
      </c>
    </row>
    <row r="170" spans="1:37" outlineLevel="1">
      <c r="A170" s="662" t="s">
        <v>157</v>
      </c>
      <c r="B170" s="437">
        <v>4.5</v>
      </c>
      <c r="C170" s="78">
        <v>0.4</v>
      </c>
      <c r="D170" s="79">
        <v>0.79</v>
      </c>
      <c r="E170" s="80">
        <v>1</v>
      </c>
      <c r="F170" s="80">
        <v>1</v>
      </c>
    </row>
    <row r="171" spans="1:37" outlineLevel="1">
      <c r="A171" s="632"/>
      <c r="B171" s="437">
        <v>4.5</v>
      </c>
      <c r="C171" s="70">
        <v>0.8</v>
      </c>
      <c r="D171" s="71">
        <v>0.76</v>
      </c>
      <c r="E171" s="74">
        <v>1</v>
      </c>
      <c r="F171" s="74">
        <v>1</v>
      </c>
    </row>
    <row r="172" spans="1:37" outlineLevel="1">
      <c r="A172" s="632"/>
      <c r="B172" s="437">
        <v>4.5</v>
      </c>
      <c r="C172" s="70">
        <v>1.2</v>
      </c>
      <c r="D172" s="71">
        <v>0.72</v>
      </c>
      <c r="E172" s="72">
        <v>1</v>
      </c>
      <c r="F172" s="72">
        <v>1</v>
      </c>
    </row>
    <row r="173" spans="1:37" outlineLevel="1">
      <c r="A173" s="632"/>
      <c r="B173" s="437">
        <v>4.5</v>
      </c>
      <c r="C173" s="70">
        <v>1.6</v>
      </c>
      <c r="D173" s="71">
        <v>0.69</v>
      </c>
      <c r="E173" s="72">
        <v>0.93</v>
      </c>
      <c r="F173" s="72">
        <v>1</v>
      </c>
    </row>
    <row r="174" spans="1:37" outlineLevel="1">
      <c r="A174" s="632"/>
      <c r="B174" s="437">
        <v>4.5</v>
      </c>
      <c r="C174" s="73">
        <v>2.4</v>
      </c>
      <c r="D174" s="71">
        <v>0.68</v>
      </c>
      <c r="E174" s="72">
        <v>0.92</v>
      </c>
      <c r="F174" s="72">
        <v>1</v>
      </c>
    </row>
    <row r="175" spans="1:37" outlineLevel="1">
      <c r="A175" s="632"/>
      <c r="B175" s="437">
        <v>4.5</v>
      </c>
      <c r="C175" s="73">
        <v>3.2</v>
      </c>
      <c r="D175" s="71">
        <v>0.66</v>
      </c>
      <c r="E175" s="72">
        <v>0.91</v>
      </c>
      <c r="F175" s="72">
        <v>1</v>
      </c>
    </row>
    <row r="176" spans="1:37" outlineLevel="1">
      <c r="A176" s="632"/>
      <c r="B176" s="437">
        <v>4.5</v>
      </c>
      <c r="C176" s="73">
        <v>4.8</v>
      </c>
      <c r="D176" s="71">
        <v>0.65</v>
      </c>
      <c r="E176" s="72">
        <v>0.91</v>
      </c>
      <c r="F176" s="72">
        <v>0.96</v>
      </c>
    </row>
    <row r="177" spans="1:6" outlineLevel="1">
      <c r="A177" s="658"/>
      <c r="B177" s="437">
        <v>4.5</v>
      </c>
      <c r="C177" s="81" t="s">
        <v>158</v>
      </c>
      <c r="D177" s="82">
        <v>0.65</v>
      </c>
      <c r="E177" s="83">
        <v>0.9</v>
      </c>
      <c r="F177" s="83">
        <v>0.96</v>
      </c>
    </row>
    <row r="178" spans="1:6" outlineLevel="1">
      <c r="A178" s="657" t="s">
        <v>159</v>
      </c>
      <c r="B178" s="437">
        <v>5.5</v>
      </c>
      <c r="C178" s="84">
        <v>0.4</v>
      </c>
      <c r="D178" s="85">
        <v>0.75</v>
      </c>
      <c r="E178" s="86">
        <v>1</v>
      </c>
      <c r="F178" s="86">
        <v>1</v>
      </c>
    </row>
    <row r="179" spans="1:6" outlineLevel="1">
      <c r="A179" s="632"/>
      <c r="B179" s="437">
        <v>5.5</v>
      </c>
      <c r="C179" s="70">
        <v>0.8</v>
      </c>
      <c r="D179" s="71">
        <v>0.65</v>
      </c>
      <c r="E179" s="72">
        <v>0.93</v>
      </c>
      <c r="F179" s="72">
        <v>1</v>
      </c>
    </row>
    <row r="180" spans="1:6" outlineLevel="1">
      <c r="A180" s="632"/>
      <c r="B180" s="437">
        <v>5.5</v>
      </c>
      <c r="C180" s="70">
        <v>1.2</v>
      </c>
      <c r="D180" s="71">
        <v>0.6</v>
      </c>
      <c r="E180" s="72">
        <v>0.89</v>
      </c>
      <c r="F180" s="72">
        <v>1</v>
      </c>
    </row>
    <row r="181" spans="1:6" outlineLevel="1">
      <c r="A181" s="632"/>
      <c r="B181" s="437">
        <v>5.5</v>
      </c>
      <c r="C181" s="70">
        <v>1.6</v>
      </c>
      <c r="D181" s="71">
        <v>0.59</v>
      </c>
      <c r="E181" s="72">
        <v>0.89</v>
      </c>
      <c r="F181" s="74">
        <v>1</v>
      </c>
    </row>
    <row r="182" spans="1:6" outlineLevel="1">
      <c r="A182" s="632"/>
      <c r="B182" s="437">
        <v>5.5</v>
      </c>
      <c r="C182" s="73">
        <v>2.4</v>
      </c>
      <c r="D182" s="71">
        <v>0.56999999999999995</v>
      </c>
      <c r="E182" s="72">
        <v>0.86</v>
      </c>
      <c r="F182" s="72">
        <v>0.99</v>
      </c>
    </row>
    <row r="183" spans="1:6" outlineLevel="1">
      <c r="A183" s="632"/>
      <c r="B183" s="437">
        <v>5.5</v>
      </c>
      <c r="C183" s="73">
        <v>3.2</v>
      </c>
      <c r="D183" s="71">
        <v>0.56000000000000005</v>
      </c>
      <c r="E183" s="72">
        <v>0.85</v>
      </c>
      <c r="F183" s="72">
        <v>0.98</v>
      </c>
    </row>
    <row r="184" spans="1:6" outlineLevel="1">
      <c r="A184" s="632"/>
      <c r="B184" s="437">
        <v>5.5</v>
      </c>
      <c r="C184" s="70">
        <v>4.8</v>
      </c>
      <c r="D184" s="71">
        <v>0.56000000000000005</v>
      </c>
      <c r="E184" s="72">
        <v>0.84</v>
      </c>
      <c r="F184" s="72">
        <v>0.97</v>
      </c>
    </row>
    <row r="185" spans="1:6" outlineLevel="1">
      <c r="A185" s="661"/>
      <c r="B185" s="437">
        <v>5.5</v>
      </c>
      <c r="C185" s="75" t="s">
        <v>158</v>
      </c>
      <c r="D185" s="87">
        <v>0.55000000000000004</v>
      </c>
      <c r="E185" s="88">
        <v>0.82</v>
      </c>
      <c r="F185" s="88">
        <v>0.93</v>
      </c>
    </row>
    <row r="186" spans="1:6" outlineLevel="1">
      <c r="A186" s="659" t="s">
        <v>160</v>
      </c>
      <c r="B186" s="437">
        <v>6.5</v>
      </c>
      <c r="C186" s="89">
        <v>0.4</v>
      </c>
      <c r="D186" s="90">
        <v>0.63</v>
      </c>
      <c r="E186" s="91">
        <v>0.91</v>
      </c>
      <c r="F186" s="91">
        <v>1</v>
      </c>
    </row>
    <row r="187" spans="1:6" outlineLevel="1">
      <c r="A187" s="632"/>
      <c r="B187" s="437">
        <v>6.5</v>
      </c>
      <c r="C187" s="70">
        <v>0.8</v>
      </c>
      <c r="D187" s="71">
        <v>0.56999999999999995</v>
      </c>
      <c r="E187" s="72">
        <v>0.85</v>
      </c>
      <c r="F187" s="72">
        <v>0.99</v>
      </c>
    </row>
    <row r="188" spans="1:6" outlineLevel="1">
      <c r="A188" s="632"/>
      <c r="B188" s="437">
        <v>6.5</v>
      </c>
      <c r="C188" s="70">
        <v>1.2</v>
      </c>
      <c r="D188" s="71">
        <v>0.52</v>
      </c>
      <c r="E188" s="72">
        <v>0.83</v>
      </c>
      <c r="F188" s="72">
        <v>0.97</v>
      </c>
    </row>
    <row r="189" spans="1:6" outlineLevel="1">
      <c r="A189" s="632"/>
      <c r="B189" s="437">
        <v>6.5</v>
      </c>
      <c r="C189" s="70">
        <v>1.6</v>
      </c>
      <c r="D189" s="71">
        <v>0.51</v>
      </c>
      <c r="E189" s="72">
        <v>0.79</v>
      </c>
      <c r="F189" s="72">
        <v>0.97</v>
      </c>
    </row>
    <row r="190" spans="1:6" outlineLevel="1">
      <c r="A190" s="632"/>
      <c r="B190" s="437">
        <v>6.5</v>
      </c>
      <c r="C190" s="73">
        <v>2.4</v>
      </c>
      <c r="D190" s="71">
        <v>0.49</v>
      </c>
      <c r="E190" s="72">
        <v>0.78</v>
      </c>
      <c r="F190" s="72">
        <v>0.95</v>
      </c>
    </row>
    <row r="191" spans="1:6" outlineLevel="1">
      <c r="A191" s="632"/>
      <c r="B191" s="437">
        <v>6.5</v>
      </c>
      <c r="C191" s="73">
        <v>3.2</v>
      </c>
      <c r="D191" s="71">
        <v>0.48</v>
      </c>
      <c r="E191" s="72">
        <v>0.78</v>
      </c>
      <c r="F191" s="72">
        <v>0.94</v>
      </c>
    </row>
    <row r="192" spans="1:6" outlineLevel="1">
      <c r="A192" s="632"/>
      <c r="B192" s="437">
        <v>6.5</v>
      </c>
      <c r="C192" s="73">
        <v>4.8</v>
      </c>
      <c r="D192" s="71">
        <v>0.46</v>
      </c>
      <c r="E192" s="72">
        <v>0.76</v>
      </c>
      <c r="F192" s="72">
        <v>0.93</v>
      </c>
    </row>
    <row r="193" spans="1:6" outlineLevel="1">
      <c r="A193" s="633"/>
      <c r="B193" s="437">
        <v>6.5</v>
      </c>
      <c r="C193" s="75" t="s">
        <v>158</v>
      </c>
      <c r="D193" s="76">
        <v>0.45</v>
      </c>
      <c r="E193" s="77">
        <v>0.76</v>
      </c>
      <c r="F193" s="77">
        <v>0.93</v>
      </c>
    </row>
    <row r="194" spans="1:6" outlineLevel="1">
      <c r="A194" s="662" t="s">
        <v>161</v>
      </c>
      <c r="B194" s="437">
        <v>7.5</v>
      </c>
      <c r="C194" s="78">
        <v>0.4</v>
      </c>
      <c r="D194" s="79">
        <v>0.59</v>
      </c>
      <c r="E194" s="80">
        <v>0.86</v>
      </c>
      <c r="F194" s="80">
        <v>0.98</v>
      </c>
    </row>
    <row r="195" spans="1:6" outlineLevel="1">
      <c r="A195" s="632"/>
      <c r="B195" s="437">
        <v>7.5</v>
      </c>
      <c r="C195" s="70">
        <v>0.8</v>
      </c>
      <c r="D195" s="71">
        <v>0.48</v>
      </c>
      <c r="E195" s="72">
        <v>0.76</v>
      </c>
      <c r="F195" s="72">
        <v>0.94</v>
      </c>
    </row>
    <row r="196" spans="1:6" outlineLevel="1">
      <c r="A196" s="632"/>
      <c r="B196" s="437">
        <v>7.5</v>
      </c>
      <c r="C196" s="70">
        <v>1.2</v>
      </c>
      <c r="D196" s="71">
        <v>0.44</v>
      </c>
      <c r="E196" s="72">
        <v>0.74</v>
      </c>
      <c r="F196" s="72">
        <v>0.91</v>
      </c>
    </row>
    <row r="197" spans="1:6" outlineLevel="1">
      <c r="A197" s="632"/>
      <c r="B197" s="437">
        <v>7.5</v>
      </c>
      <c r="C197" s="70">
        <v>1.6</v>
      </c>
      <c r="D197" s="71">
        <v>0.41</v>
      </c>
      <c r="E197" s="72">
        <v>0.7</v>
      </c>
      <c r="F197" s="72">
        <v>0.91</v>
      </c>
    </row>
    <row r="198" spans="1:6" outlineLevel="1">
      <c r="A198" s="632"/>
      <c r="B198" s="437">
        <v>7.5</v>
      </c>
      <c r="C198" s="73">
        <v>2.4</v>
      </c>
      <c r="D198" s="71">
        <v>0.4</v>
      </c>
      <c r="E198" s="72">
        <v>0.67</v>
      </c>
      <c r="F198" s="72">
        <v>0.91</v>
      </c>
    </row>
    <row r="199" spans="1:6" outlineLevel="1">
      <c r="A199" s="632"/>
      <c r="B199" s="437">
        <v>7.5</v>
      </c>
      <c r="C199" s="73">
        <v>3.2</v>
      </c>
      <c r="D199" s="71">
        <v>0.39</v>
      </c>
      <c r="E199" s="72">
        <v>0.67</v>
      </c>
      <c r="F199" s="72">
        <v>0.89</v>
      </c>
    </row>
    <row r="200" spans="1:6" outlineLevel="1">
      <c r="A200" s="632"/>
      <c r="B200" s="437">
        <v>7.5</v>
      </c>
      <c r="C200" s="73">
        <v>4.8</v>
      </c>
      <c r="D200" s="71">
        <v>0.39</v>
      </c>
      <c r="E200" s="72">
        <v>0.66</v>
      </c>
      <c r="F200" s="72">
        <v>0.88</v>
      </c>
    </row>
    <row r="201" spans="1:6" outlineLevel="1">
      <c r="A201" s="668"/>
      <c r="B201" s="437">
        <v>7.5</v>
      </c>
      <c r="C201" s="92" t="s">
        <v>158</v>
      </c>
      <c r="D201" s="93">
        <v>0.38</v>
      </c>
      <c r="E201" s="94">
        <v>0.66</v>
      </c>
      <c r="F201" s="94">
        <v>0.87</v>
      </c>
    </row>
    <row r="202" spans="1:6" outlineLevel="1">
      <c r="A202" s="476"/>
      <c r="B202" s="437"/>
      <c r="C202" s="136"/>
      <c r="D202" s="178"/>
      <c r="E202" s="178"/>
      <c r="F202" s="178"/>
    </row>
    <row r="203" spans="1:6" outlineLevel="1">
      <c r="A203" s="476"/>
      <c r="B203" s="437"/>
      <c r="C203" s="136"/>
      <c r="D203" s="178"/>
      <c r="E203" s="178"/>
      <c r="F203" s="178"/>
    </row>
    <row r="204" spans="1:6" outlineLevel="1">
      <c r="A204" s="476"/>
      <c r="B204" s="437"/>
      <c r="C204" s="136"/>
      <c r="D204" s="178"/>
      <c r="E204" s="178"/>
      <c r="F204" s="178"/>
    </row>
    <row r="205" spans="1:6" outlineLevel="1">
      <c r="A205" s="476"/>
      <c r="B205" s="437"/>
      <c r="C205" s="136"/>
      <c r="D205" s="178"/>
      <c r="E205" s="178"/>
      <c r="F205" s="178"/>
    </row>
    <row r="206" spans="1:6" outlineLevel="1">
      <c r="A206" s="476"/>
      <c r="B206" s="437"/>
      <c r="C206" s="136"/>
      <c r="D206" s="178"/>
      <c r="E206" s="178"/>
      <c r="F206" s="178"/>
    </row>
    <row r="207" spans="1:6" outlineLevel="1">
      <c r="A207" s="234" t="s">
        <v>162</v>
      </c>
      <c r="C207" s="64"/>
      <c r="D207" s="64"/>
      <c r="E207" s="64"/>
      <c r="F207" s="64"/>
    </row>
    <row r="208" spans="1:6" outlineLevel="1">
      <c r="A208" s="234" t="s">
        <v>163</v>
      </c>
      <c r="C208" s="64"/>
      <c r="D208" s="64"/>
      <c r="E208" s="64"/>
      <c r="F208" s="64"/>
    </row>
    <row r="209" spans="1:6" outlineLevel="1">
      <c r="A209" s="623" t="s">
        <v>164</v>
      </c>
      <c r="C209" s="626" t="s">
        <v>165</v>
      </c>
      <c r="D209" s="621" t="s">
        <v>166</v>
      </c>
      <c r="E209" s="622"/>
      <c r="F209" s="622"/>
    </row>
    <row r="210" spans="1:6" outlineLevel="1">
      <c r="A210" s="624"/>
      <c r="C210" s="627"/>
      <c r="D210" s="629" t="s">
        <v>167</v>
      </c>
      <c r="E210" s="630"/>
      <c r="F210" s="630"/>
    </row>
    <row r="211" spans="1:6" outlineLevel="1">
      <c r="A211" s="625"/>
      <c r="C211" s="628"/>
      <c r="D211" s="95" t="s">
        <v>168</v>
      </c>
      <c r="E211" s="65" t="s">
        <v>169</v>
      </c>
      <c r="F211" s="66" t="s">
        <v>170</v>
      </c>
    </row>
    <row r="212" spans="1:6" outlineLevel="1">
      <c r="A212" s="631" t="s">
        <v>171</v>
      </c>
      <c r="B212" s="437">
        <v>3.5</v>
      </c>
      <c r="C212" s="96">
        <v>0.4</v>
      </c>
      <c r="D212" s="97">
        <v>1</v>
      </c>
      <c r="E212" s="97">
        <v>0.92</v>
      </c>
      <c r="F212" s="97">
        <v>0.92</v>
      </c>
    </row>
    <row r="213" spans="1:6" outlineLevel="1">
      <c r="A213" s="632"/>
      <c r="B213" s="437">
        <v>3.5</v>
      </c>
      <c r="C213" s="98">
        <v>0.8</v>
      </c>
      <c r="D213" s="99">
        <v>1</v>
      </c>
      <c r="E213" s="99">
        <v>0.93</v>
      </c>
      <c r="F213" s="99">
        <v>0.93</v>
      </c>
    </row>
    <row r="214" spans="1:6" outlineLevel="1">
      <c r="A214" s="632"/>
      <c r="B214" s="437">
        <v>3.5</v>
      </c>
      <c r="C214" s="98">
        <v>1.2</v>
      </c>
      <c r="D214" s="99">
        <v>1</v>
      </c>
      <c r="E214" s="99">
        <v>0.93</v>
      </c>
      <c r="F214" s="99">
        <v>0.93</v>
      </c>
    </row>
    <row r="215" spans="1:6" outlineLevel="1">
      <c r="A215" s="632"/>
      <c r="B215" s="437">
        <v>3.5</v>
      </c>
      <c r="C215" s="98">
        <v>1.6</v>
      </c>
      <c r="D215" s="99">
        <v>1</v>
      </c>
      <c r="E215" s="99">
        <v>0.93</v>
      </c>
      <c r="F215" s="99">
        <v>0.93</v>
      </c>
    </row>
    <row r="216" spans="1:6" outlineLevel="1">
      <c r="A216" s="632"/>
      <c r="B216" s="437">
        <v>3.5</v>
      </c>
      <c r="C216" s="98">
        <v>2.4</v>
      </c>
      <c r="D216" s="99">
        <v>1</v>
      </c>
      <c r="E216" s="99">
        <v>0.94</v>
      </c>
      <c r="F216" s="99">
        <v>0.94</v>
      </c>
    </row>
    <row r="217" spans="1:6" outlineLevel="1">
      <c r="A217" s="632"/>
      <c r="B217" s="437">
        <v>3.5</v>
      </c>
      <c r="C217" s="100">
        <v>3.2</v>
      </c>
      <c r="D217" s="99">
        <v>1</v>
      </c>
      <c r="E217" s="99">
        <v>0.95</v>
      </c>
      <c r="F217" s="99">
        <v>0.95</v>
      </c>
    </row>
    <row r="218" spans="1:6" outlineLevel="1">
      <c r="A218" s="632"/>
      <c r="B218" s="437">
        <v>3.5</v>
      </c>
      <c r="C218" s="98">
        <v>4.8</v>
      </c>
      <c r="D218" s="99">
        <v>1</v>
      </c>
      <c r="E218" s="99">
        <v>0.97</v>
      </c>
      <c r="F218" s="99">
        <v>0.96</v>
      </c>
    </row>
    <row r="219" spans="1:6" outlineLevel="1">
      <c r="A219" s="633"/>
      <c r="B219" s="437">
        <v>3.5</v>
      </c>
      <c r="C219" s="75" t="s">
        <v>172</v>
      </c>
      <c r="D219" s="101">
        <v>1</v>
      </c>
      <c r="E219" s="101">
        <v>1</v>
      </c>
      <c r="F219" s="101">
        <v>0.97</v>
      </c>
    </row>
    <row r="220" spans="1:6" outlineLevel="1">
      <c r="A220" s="662" t="s">
        <v>173</v>
      </c>
      <c r="B220" s="437">
        <v>4.5</v>
      </c>
      <c r="C220" s="102">
        <v>0.4</v>
      </c>
      <c r="D220" s="103">
        <v>1</v>
      </c>
      <c r="E220" s="103">
        <v>0.94</v>
      </c>
      <c r="F220" s="103">
        <v>0.92</v>
      </c>
    </row>
    <row r="221" spans="1:6" outlineLevel="1">
      <c r="A221" s="632"/>
      <c r="B221" s="437">
        <v>4.5</v>
      </c>
      <c r="C221" s="98">
        <v>0.8</v>
      </c>
      <c r="D221" s="99">
        <v>1</v>
      </c>
      <c r="E221" s="99">
        <v>0.97</v>
      </c>
      <c r="F221" s="99">
        <v>0.96</v>
      </c>
    </row>
    <row r="222" spans="1:6" outlineLevel="1">
      <c r="A222" s="632"/>
      <c r="B222" s="437">
        <v>4.5</v>
      </c>
      <c r="C222" s="98">
        <v>1.2</v>
      </c>
      <c r="D222" s="99">
        <v>1</v>
      </c>
      <c r="E222" s="99">
        <v>0.97</v>
      </c>
      <c r="F222" s="99">
        <v>0.96</v>
      </c>
    </row>
    <row r="223" spans="1:6" outlineLevel="1">
      <c r="A223" s="632"/>
      <c r="B223" s="437">
        <v>4.5</v>
      </c>
      <c r="C223" s="98">
        <v>1.6</v>
      </c>
      <c r="D223" s="99">
        <v>1</v>
      </c>
      <c r="E223" s="99">
        <v>0.97</v>
      </c>
      <c r="F223" s="99">
        <v>0.97</v>
      </c>
    </row>
    <row r="224" spans="1:6" outlineLevel="1">
      <c r="A224" s="632"/>
      <c r="B224" s="437">
        <v>4.5</v>
      </c>
      <c r="C224" s="98">
        <v>2.4</v>
      </c>
      <c r="D224" s="99">
        <v>1</v>
      </c>
      <c r="E224" s="99">
        <v>0.97</v>
      </c>
      <c r="F224" s="99">
        <v>0.97</v>
      </c>
    </row>
    <row r="225" spans="1:6" outlineLevel="1">
      <c r="A225" s="632"/>
      <c r="B225" s="437">
        <v>4.5</v>
      </c>
      <c r="C225" s="98">
        <v>3.2</v>
      </c>
      <c r="D225" s="99">
        <v>1</v>
      </c>
      <c r="E225" s="99">
        <v>0.98</v>
      </c>
      <c r="F225" s="99">
        <v>0.98</v>
      </c>
    </row>
    <row r="226" spans="1:6" outlineLevel="1">
      <c r="A226" s="632"/>
      <c r="B226" s="437">
        <v>4.5</v>
      </c>
      <c r="C226" s="98">
        <v>4.8</v>
      </c>
      <c r="D226" s="99">
        <v>1</v>
      </c>
      <c r="E226" s="99">
        <v>1</v>
      </c>
      <c r="F226" s="99">
        <v>1</v>
      </c>
    </row>
    <row r="227" spans="1:6" outlineLevel="1">
      <c r="A227" s="658"/>
      <c r="B227" s="437">
        <v>4.5</v>
      </c>
      <c r="C227" s="81" t="s">
        <v>174</v>
      </c>
      <c r="D227" s="104">
        <v>1</v>
      </c>
      <c r="E227" s="104">
        <v>1</v>
      </c>
      <c r="F227" s="104">
        <v>1</v>
      </c>
    </row>
    <row r="228" spans="1:6" outlineLevel="1">
      <c r="A228" s="657" t="s">
        <v>175</v>
      </c>
      <c r="B228" s="437">
        <v>5.5</v>
      </c>
      <c r="C228" s="105">
        <v>0.4</v>
      </c>
      <c r="D228" s="106">
        <v>1</v>
      </c>
      <c r="E228" s="106">
        <v>1</v>
      </c>
      <c r="F228" s="106">
        <v>0.97</v>
      </c>
    </row>
    <row r="229" spans="1:6" outlineLevel="1">
      <c r="A229" s="632"/>
      <c r="B229" s="437">
        <v>5.5</v>
      </c>
      <c r="C229" s="98">
        <v>0.8</v>
      </c>
      <c r="D229" s="99">
        <v>1</v>
      </c>
      <c r="E229" s="99">
        <v>1</v>
      </c>
      <c r="F229" s="99">
        <v>1</v>
      </c>
    </row>
    <row r="230" spans="1:6" outlineLevel="1">
      <c r="A230" s="632"/>
      <c r="B230" s="437">
        <v>5.5</v>
      </c>
      <c r="C230" s="98">
        <v>1.2</v>
      </c>
      <c r="D230" s="99">
        <v>1</v>
      </c>
      <c r="E230" s="99">
        <v>1</v>
      </c>
      <c r="F230" s="99">
        <v>1</v>
      </c>
    </row>
    <row r="231" spans="1:6" outlineLevel="1">
      <c r="A231" s="632"/>
      <c r="B231" s="437">
        <v>5.5</v>
      </c>
      <c r="C231" s="98">
        <v>1.6</v>
      </c>
      <c r="D231" s="99">
        <v>1</v>
      </c>
      <c r="E231" s="99">
        <v>1</v>
      </c>
      <c r="F231" s="99">
        <v>1</v>
      </c>
    </row>
    <row r="232" spans="1:6" outlineLevel="1">
      <c r="A232" s="632"/>
      <c r="B232" s="437">
        <v>5.5</v>
      </c>
      <c r="C232" s="98">
        <v>2.4</v>
      </c>
      <c r="D232" s="99">
        <v>1</v>
      </c>
      <c r="E232" s="99">
        <v>1</v>
      </c>
      <c r="F232" s="99">
        <v>1</v>
      </c>
    </row>
    <row r="233" spans="1:6" outlineLevel="1">
      <c r="A233" s="632"/>
      <c r="B233" s="437">
        <v>5.5</v>
      </c>
      <c r="C233" s="98">
        <v>3.2</v>
      </c>
      <c r="D233" s="99">
        <v>1</v>
      </c>
      <c r="E233" s="99">
        <v>1</v>
      </c>
      <c r="F233" s="99">
        <v>1</v>
      </c>
    </row>
    <row r="234" spans="1:6" outlineLevel="1">
      <c r="A234" s="632"/>
      <c r="B234" s="437">
        <v>5.5</v>
      </c>
      <c r="C234" s="98">
        <v>4.8</v>
      </c>
      <c r="D234" s="99">
        <v>1</v>
      </c>
      <c r="E234" s="99">
        <v>1</v>
      </c>
      <c r="F234" s="99">
        <v>1</v>
      </c>
    </row>
    <row r="235" spans="1:6" outlineLevel="1">
      <c r="A235" s="661"/>
      <c r="B235" s="437">
        <v>5.5</v>
      </c>
      <c r="C235" s="107" t="s">
        <v>172</v>
      </c>
      <c r="D235" s="108">
        <v>1</v>
      </c>
      <c r="E235" s="108">
        <v>1</v>
      </c>
      <c r="F235" s="108">
        <v>1</v>
      </c>
    </row>
    <row r="236" spans="1:6" outlineLevel="1">
      <c r="A236" s="659" t="s">
        <v>176</v>
      </c>
      <c r="B236" s="437">
        <v>6.5</v>
      </c>
      <c r="C236" s="109">
        <v>0.4</v>
      </c>
      <c r="D236" s="110">
        <v>1</v>
      </c>
      <c r="E236" s="110">
        <v>1</v>
      </c>
      <c r="F236" s="110">
        <v>1</v>
      </c>
    </row>
    <row r="237" spans="1:6" outlineLevel="1">
      <c r="A237" s="632"/>
      <c r="B237" s="437">
        <v>6.5</v>
      </c>
      <c r="C237" s="98">
        <v>0.8</v>
      </c>
      <c r="D237" s="99">
        <v>1</v>
      </c>
      <c r="E237" s="99">
        <v>1</v>
      </c>
      <c r="F237" s="99">
        <v>1</v>
      </c>
    </row>
    <row r="238" spans="1:6" outlineLevel="1">
      <c r="A238" s="632"/>
      <c r="B238" s="437">
        <v>6.5</v>
      </c>
      <c r="C238" s="98">
        <v>1.2</v>
      </c>
      <c r="D238" s="99">
        <v>1</v>
      </c>
      <c r="E238" s="99">
        <v>1</v>
      </c>
      <c r="F238" s="99">
        <v>1</v>
      </c>
    </row>
    <row r="239" spans="1:6" outlineLevel="1">
      <c r="A239" s="632"/>
      <c r="B239" s="437">
        <v>6.5</v>
      </c>
      <c r="C239" s="98">
        <v>1.6</v>
      </c>
      <c r="D239" s="99">
        <v>1</v>
      </c>
      <c r="E239" s="99">
        <v>1</v>
      </c>
      <c r="F239" s="99">
        <v>1</v>
      </c>
    </row>
    <row r="240" spans="1:6" outlineLevel="1">
      <c r="A240" s="632"/>
      <c r="B240" s="437">
        <v>6.5</v>
      </c>
      <c r="C240" s="98">
        <v>2.4</v>
      </c>
      <c r="D240" s="99">
        <v>1</v>
      </c>
      <c r="E240" s="99">
        <v>1</v>
      </c>
      <c r="F240" s="99">
        <v>1</v>
      </c>
    </row>
    <row r="241" spans="1:6" outlineLevel="1">
      <c r="A241" s="632"/>
      <c r="B241" s="437">
        <v>6.5</v>
      </c>
      <c r="C241" s="100">
        <v>3.2</v>
      </c>
      <c r="D241" s="99">
        <v>1</v>
      </c>
      <c r="E241" s="99">
        <v>1</v>
      </c>
      <c r="F241" s="99">
        <v>1</v>
      </c>
    </row>
    <row r="242" spans="1:6" outlineLevel="1">
      <c r="A242" s="632"/>
      <c r="B242" s="437">
        <v>6.5</v>
      </c>
      <c r="C242" s="98">
        <v>4.8</v>
      </c>
      <c r="D242" s="99">
        <v>1</v>
      </c>
      <c r="E242" s="99">
        <v>1</v>
      </c>
      <c r="F242" s="99">
        <v>1</v>
      </c>
    </row>
    <row r="243" spans="1:6" outlineLevel="1">
      <c r="A243" s="633"/>
      <c r="B243" s="437">
        <v>6.5</v>
      </c>
      <c r="C243" s="75" t="s">
        <v>172</v>
      </c>
      <c r="D243" s="101">
        <v>1</v>
      </c>
      <c r="E243" s="101">
        <v>1</v>
      </c>
      <c r="F243" s="101">
        <v>1</v>
      </c>
    </row>
    <row r="244" spans="1:6" outlineLevel="1">
      <c r="A244" s="662" t="s">
        <v>177</v>
      </c>
      <c r="B244" s="437" t="s">
        <v>73</v>
      </c>
      <c r="C244" s="102">
        <v>0.4</v>
      </c>
      <c r="D244" s="103">
        <v>1</v>
      </c>
      <c r="E244" s="103">
        <v>1</v>
      </c>
      <c r="F244" s="103">
        <v>1</v>
      </c>
    </row>
    <row r="245" spans="1:6" outlineLevel="1">
      <c r="A245" s="632"/>
      <c r="B245" s="437" t="s">
        <v>73</v>
      </c>
      <c r="C245" s="98">
        <v>0.8</v>
      </c>
      <c r="D245" s="99">
        <v>1</v>
      </c>
      <c r="E245" s="99">
        <v>1</v>
      </c>
      <c r="F245" s="99">
        <v>1</v>
      </c>
    </row>
    <row r="246" spans="1:6" outlineLevel="1">
      <c r="A246" s="632"/>
      <c r="B246" s="437" t="s">
        <v>73</v>
      </c>
      <c r="C246" s="98">
        <v>1.2</v>
      </c>
      <c r="D246" s="99">
        <v>1</v>
      </c>
      <c r="E246" s="99">
        <v>1</v>
      </c>
      <c r="F246" s="99">
        <v>1</v>
      </c>
    </row>
    <row r="247" spans="1:6" outlineLevel="1">
      <c r="A247" s="632"/>
      <c r="B247" s="437" t="s">
        <v>73</v>
      </c>
      <c r="C247" s="98">
        <v>1.6</v>
      </c>
      <c r="D247" s="99">
        <v>1</v>
      </c>
      <c r="E247" s="99">
        <v>1</v>
      </c>
      <c r="F247" s="99">
        <v>1</v>
      </c>
    </row>
    <row r="248" spans="1:6" outlineLevel="1">
      <c r="A248" s="632"/>
      <c r="B248" s="437" t="s">
        <v>73</v>
      </c>
      <c r="C248" s="98">
        <v>2.4</v>
      </c>
      <c r="D248" s="99">
        <v>1</v>
      </c>
      <c r="E248" s="99">
        <v>1</v>
      </c>
      <c r="F248" s="99">
        <v>1</v>
      </c>
    </row>
    <row r="249" spans="1:6" outlineLevel="1">
      <c r="A249" s="632"/>
      <c r="B249" s="437" t="s">
        <v>73</v>
      </c>
      <c r="C249" s="98">
        <v>3.2</v>
      </c>
      <c r="D249" s="99">
        <v>1</v>
      </c>
      <c r="E249" s="99">
        <v>1</v>
      </c>
      <c r="F249" s="99">
        <v>1</v>
      </c>
    </row>
    <row r="250" spans="1:6" outlineLevel="1">
      <c r="A250" s="632"/>
      <c r="B250" s="437" t="s">
        <v>73</v>
      </c>
      <c r="C250" s="98">
        <v>4.8</v>
      </c>
      <c r="D250" s="99">
        <v>1</v>
      </c>
      <c r="E250" s="99">
        <v>1</v>
      </c>
      <c r="F250" s="99">
        <v>1</v>
      </c>
    </row>
    <row r="251" spans="1:6" outlineLevel="1">
      <c r="A251" s="668"/>
      <c r="B251" s="437" t="s">
        <v>73</v>
      </c>
      <c r="C251" s="92" t="s">
        <v>174</v>
      </c>
      <c r="D251" s="111">
        <v>1</v>
      </c>
      <c r="E251" s="111">
        <v>1</v>
      </c>
      <c r="F251" s="111">
        <v>1</v>
      </c>
    </row>
    <row r="252" spans="1:6" outlineLevel="1">
      <c r="A252" s="476"/>
      <c r="B252" s="437"/>
      <c r="C252" s="136"/>
      <c r="D252" s="179"/>
      <c r="E252" s="179"/>
      <c r="F252" s="179"/>
    </row>
    <row r="253" spans="1:6" outlineLevel="1">
      <c r="A253" s="476"/>
      <c r="B253" s="437"/>
      <c r="C253" s="136"/>
      <c r="D253" s="179"/>
      <c r="E253" s="179"/>
      <c r="F253" s="179"/>
    </row>
    <row r="254" spans="1:6" outlineLevel="1">
      <c r="A254" s="476"/>
      <c r="B254" s="437"/>
      <c r="C254" s="136"/>
      <c r="D254" s="179"/>
      <c r="E254" s="179"/>
      <c r="F254" s="179"/>
    </row>
    <row r="255" spans="1:6" outlineLevel="1">
      <c r="A255" s="476"/>
      <c r="B255" s="437"/>
      <c r="C255" s="136"/>
      <c r="D255" s="179"/>
      <c r="E255" s="179"/>
      <c r="F255" s="179"/>
    </row>
    <row r="256" spans="1:6" outlineLevel="1">
      <c r="A256" s="235"/>
    </row>
    <row r="257" spans="1:6" outlineLevel="1">
      <c r="A257" s="234" t="s">
        <v>178</v>
      </c>
      <c r="C257" s="64"/>
      <c r="D257" s="64"/>
      <c r="E257" s="64"/>
      <c r="F257" s="64"/>
    </row>
    <row r="258" spans="1:6" outlineLevel="1">
      <c r="A258" s="234" t="s">
        <v>179</v>
      </c>
      <c r="C258" s="64"/>
      <c r="D258" s="64"/>
      <c r="E258" s="64"/>
      <c r="F258" s="64"/>
    </row>
    <row r="259" spans="1:6" outlineLevel="1">
      <c r="A259" s="623" t="s">
        <v>180</v>
      </c>
      <c r="C259" s="626" t="s">
        <v>181</v>
      </c>
      <c r="D259" s="636" t="s">
        <v>182</v>
      </c>
      <c r="E259" s="637"/>
      <c r="F259" s="637"/>
    </row>
    <row r="260" spans="1:6" outlineLevel="1">
      <c r="A260" s="624"/>
      <c r="C260" s="627"/>
      <c r="D260" s="634" t="s">
        <v>183</v>
      </c>
      <c r="E260" s="635"/>
      <c r="F260" s="635"/>
    </row>
    <row r="261" spans="1:6" outlineLevel="1">
      <c r="A261" s="625"/>
      <c r="C261" s="628"/>
      <c r="D261" s="112" t="s">
        <v>184</v>
      </c>
      <c r="E261" s="113" t="s">
        <v>185</v>
      </c>
      <c r="F261" s="114" t="s">
        <v>186</v>
      </c>
    </row>
    <row r="262" spans="1:6" outlineLevel="1">
      <c r="A262" s="631" t="s">
        <v>187</v>
      </c>
      <c r="B262" s="437">
        <v>3.5</v>
      </c>
      <c r="C262" s="115">
        <v>0.4</v>
      </c>
      <c r="D262" s="116">
        <v>2.5</v>
      </c>
      <c r="E262" s="115">
        <v>1.9</v>
      </c>
      <c r="F262" s="115">
        <v>1.5</v>
      </c>
    </row>
    <row r="263" spans="1:6" outlineLevel="1">
      <c r="A263" s="632"/>
      <c r="B263" s="437">
        <v>3.5</v>
      </c>
      <c r="C263" s="117">
        <v>0.8</v>
      </c>
      <c r="D263" s="73">
        <v>3.5</v>
      </c>
      <c r="E263" s="117">
        <v>2.8</v>
      </c>
      <c r="F263" s="117">
        <v>2.2999999999999998</v>
      </c>
    </row>
    <row r="264" spans="1:6" outlineLevel="1">
      <c r="A264" s="632"/>
      <c r="B264" s="437">
        <v>3.5</v>
      </c>
      <c r="C264" s="118">
        <v>1.2</v>
      </c>
      <c r="D264" s="117">
        <v>4.5</v>
      </c>
      <c r="E264" s="73">
        <v>3.9</v>
      </c>
      <c r="F264" s="73">
        <v>2.9</v>
      </c>
    </row>
    <row r="265" spans="1:6" outlineLevel="1">
      <c r="A265" s="632"/>
      <c r="B265" s="437">
        <v>3.5</v>
      </c>
      <c r="C265" s="117">
        <v>1.6</v>
      </c>
      <c r="D265" s="73">
        <v>5.0999999999999996</v>
      </c>
      <c r="E265" s="73">
        <v>4.5999999999999996</v>
      </c>
      <c r="F265" s="73">
        <v>3.5</v>
      </c>
    </row>
    <row r="266" spans="1:6" outlineLevel="1">
      <c r="A266" s="632"/>
      <c r="B266" s="437">
        <v>3.5</v>
      </c>
      <c r="C266" s="73">
        <v>2.4</v>
      </c>
      <c r="D266" s="73">
        <v>6.1</v>
      </c>
      <c r="E266" s="73">
        <v>5.5</v>
      </c>
      <c r="F266" s="73">
        <v>4.0999999999999996</v>
      </c>
    </row>
    <row r="267" spans="1:6" outlineLevel="1">
      <c r="A267" s="632"/>
      <c r="B267" s="437">
        <v>3.5</v>
      </c>
      <c r="C267" s="73">
        <v>3.2</v>
      </c>
      <c r="D267" s="73">
        <v>7.1</v>
      </c>
      <c r="E267" s="73">
        <v>5.9</v>
      </c>
      <c r="F267" s="117">
        <v>4.7</v>
      </c>
    </row>
    <row r="268" spans="1:6" outlineLevel="1">
      <c r="A268" s="632"/>
      <c r="B268" s="437">
        <v>3.5</v>
      </c>
      <c r="C268" s="73">
        <v>4.8</v>
      </c>
      <c r="D268" s="117">
        <v>8.1999999999999993</v>
      </c>
      <c r="E268" s="73">
        <v>6.7</v>
      </c>
      <c r="F268" s="73">
        <v>5.3</v>
      </c>
    </row>
    <row r="269" spans="1:6" outlineLevel="1">
      <c r="A269" s="658"/>
      <c r="B269" s="437">
        <v>3.5</v>
      </c>
      <c r="C269" s="81" t="s">
        <v>188</v>
      </c>
      <c r="D269" s="119">
        <v>9.1</v>
      </c>
      <c r="E269" s="119">
        <v>7.5</v>
      </c>
      <c r="F269" s="119">
        <v>5.7</v>
      </c>
    </row>
    <row r="270" spans="1:6" outlineLevel="1">
      <c r="A270" s="657" t="s">
        <v>189</v>
      </c>
      <c r="B270" s="437">
        <v>4.5</v>
      </c>
      <c r="C270" s="120">
        <v>0.4</v>
      </c>
      <c r="D270" s="121">
        <v>3.6</v>
      </c>
      <c r="E270" s="121">
        <v>2.4</v>
      </c>
      <c r="F270" s="120">
        <v>1.9</v>
      </c>
    </row>
    <row r="271" spans="1:6" outlineLevel="1">
      <c r="A271" s="632"/>
      <c r="B271" s="437">
        <v>4.5</v>
      </c>
      <c r="C271" s="117">
        <v>0.8</v>
      </c>
      <c r="D271" s="73">
        <v>5.4</v>
      </c>
      <c r="E271" s="73">
        <v>4.5999999999999996</v>
      </c>
      <c r="F271" s="73">
        <v>3.4</v>
      </c>
    </row>
    <row r="272" spans="1:6" outlineLevel="1">
      <c r="A272" s="632"/>
      <c r="B272" s="437">
        <v>4.5</v>
      </c>
      <c r="C272" s="117">
        <v>1.2</v>
      </c>
      <c r="D272" s="73">
        <v>6.4</v>
      </c>
      <c r="E272" s="73">
        <v>6.6</v>
      </c>
      <c r="F272" s="117">
        <v>4.5999999999999996</v>
      </c>
    </row>
    <row r="273" spans="1:6" outlineLevel="1">
      <c r="A273" s="632"/>
      <c r="B273" s="437">
        <v>4.5</v>
      </c>
      <c r="C273" s="117">
        <v>1.6</v>
      </c>
      <c r="D273" s="73">
        <v>7.7</v>
      </c>
      <c r="E273" s="117">
        <v>6.9</v>
      </c>
      <c r="F273" s="73">
        <v>5.9</v>
      </c>
    </row>
    <row r="274" spans="1:6" outlineLevel="1">
      <c r="A274" s="632"/>
      <c r="B274" s="437">
        <v>4.5</v>
      </c>
      <c r="C274" s="73">
        <v>2.4</v>
      </c>
      <c r="D274" s="117">
        <v>9.4</v>
      </c>
      <c r="E274" s="117">
        <v>8.3000000000000007</v>
      </c>
      <c r="F274" s="73">
        <v>7.1</v>
      </c>
    </row>
    <row r="275" spans="1:6" outlineLevel="1">
      <c r="A275" s="632"/>
      <c r="B275" s="437">
        <v>4.5</v>
      </c>
      <c r="C275" s="73">
        <v>3.2</v>
      </c>
      <c r="D275" s="118">
        <v>10.199999999999999</v>
      </c>
      <c r="E275" s="117">
        <v>9.6</v>
      </c>
      <c r="F275" s="73">
        <v>8.1</v>
      </c>
    </row>
    <row r="276" spans="1:6" outlineLevel="1">
      <c r="A276" s="632"/>
      <c r="B276" s="437">
        <v>4.5</v>
      </c>
      <c r="C276" s="117">
        <v>4.8</v>
      </c>
      <c r="D276" s="118">
        <v>11.3</v>
      </c>
      <c r="E276" s="118">
        <v>11</v>
      </c>
      <c r="F276" s="117">
        <v>8.9</v>
      </c>
    </row>
    <row r="277" spans="1:6" outlineLevel="1">
      <c r="A277" s="669"/>
      <c r="B277" s="437">
        <v>4.5</v>
      </c>
      <c r="C277" s="122" t="s">
        <v>190</v>
      </c>
      <c r="D277" s="123">
        <v>12.3</v>
      </c>
      <c r="E277" s="123">
        <v>11.9</v>
      </c>
      <c r="F277" s="123">
        <v>9.6999999999999993</v>
      </c>
    </row>
    <row r="278" spans="1:6" outlineLevel="1">
      <c r="A278" s="670" t="s">
        <v>191</v>
      </c>
      <c r="B278" s="437">
        <v>5.5</v>
      </c>
      <c r="C278" s="124">
        <v>0.4</v>
      </c>
      <c r="D278" s="124">
        <v>4.2</v>
      </c>
      <c r="E278" s="125">
        <v>3.7</v>
      </c>
      <c r="F278" s="125">
        <v>2.6</v>
      </c>
    </row>
    <row r="279" spans="1:6" outlineLevel="1">
      <c r="A279" s="632"/>
      <c r="B279" s="437">
        <v>5.5</v>
      </c>
      <c r="C279" s="117">
        <v>0.8</v>
      </c>
      <c r="D279" s="73">
        <v>6</v>
      </c>
      <c r="E279" s="73">
        <v>6</v>
      </c>
      <c r="F279" s="73">
        <v>5.0999999999999996</v>
      </c>
    </row>
    <row r="280" spans="1:6" outlineLevel="1">
      <c r="A280" s="632"/>
      <c r="B280" s="437">
        <v>5.5</v>
      </c>
      <c r="C280" s="117">
        <v>1.2</v>
      </c>
      <c r="D280" s="73">
        <v>7.5</v>
      </c>
      <c r="E280" s="73">
        <v>7.5</v>
      </c>
      <c r="F280" s="73">
        <v>7.5</v>
      </c>
    </row>
    <row r="281" spans="1:6" outlineLevel="1">
      <c r="A281" s="632"/>
      <c r="B281" s="437">
        <v>5.5</v>
      </c>
      <c r="C281" s="117">
        <v>1.6</v>
      </c>
      <c r="D281" s="117">
        <v>9.1999999999999993</v>
      </c>
      <c r="E281" s="117">
        <v>9</v>
      </c>
      <c r="F281" s="117">
        <v>8.9</v>
      </c>
    </row>
    <row r="282" spans="1:6" outlineLevel="1">
      <c r="A282" s="632"/>
      <c r="B282" s="437">
        <v>5.5</v>
      </c>
      <c r="C282" s="73">
        <v>2.4</v>
      </c>
      <c r="D282" s="118">
        <v>10.6</v>
      </c>
      <c r="E282" s="118">
        <v>10.5</v>
      </c>
      <c r="F282" s="118">
        <v>10.3</v>
      </c>
    </row>
    <row r="283" spans="1:6" outlineLevel="1">
      <c r="A283" s="632"/>
      <c r="B283" s="437">
        <v>5.5</v>
      </c>
      <c r="C283" s="73">
        <v>3.2</v>
      </c>
      <c r="D283" s="118">
        <v>11.8</v>
      </c>
      <c r="E283" s="118">
        <v>11.7</v>
      </c>
      <c r="F283" s="118">
        <v>11.3</v>
      </c>
    </row>
    <row r="284" spans="1:6" outlineLevel="1">
      <c r="A284" s="632"/>
      <c r="B284" s="437">
        <v>5.5</v>
      </c>
      <c r="C284" s="73">
        <v>4.8</v>
      </c>
      <c r="D284" s="118">
        <v>13.7</v>
      </c>
      <c r="E284" s="118">
        <v>13.5</v>
      </c>
      <c r="F284" s="118">
        <v>12.4</v>
      </c>
    </row>
    <row r="285" spans="1:6" outlineLevel="1">
      <c r="A285" s="658"/>
      <c r="B285" s="437">
        <v>5.5</v>
      </c>
      <c r="C285" s="81" t="s">
        <v>192</v>
      </c>
      <c r="D285" s="126">
        <v>15.3</v>
      </c>
      <c r="E285" s="126">
        <v>15</v>
      </c>
      <c r="F285" s="126">
        <v>12.5</v>
      </c>
    </row>
    <row r="286" spans="1:6" outlineLevel="1">
      <c r="A286" s="657" t="s">
        <v>193</v>
      </c>
      <c r="B286" s="437">
        <v>6.5</v>
      </c>
      <c r="C286" s="120">
        <v>0.4</v>
      </c>
      <c r="D286" s="120">
        <v>4.7</v>
      </c>
      <c r="E286" s="120">
        <v>4.0999999999999996</v>
      </c>
      <c r="F286" s="121">
        <v>3.5</v>
      </c>
    </row>
    <row r="287" spans="1:6" outlineLevel="1">
      <c r="A287" s="632"/>
      <c r="B287" s="437">
        <v>6.5</v>
      </c>
      <c r="C287" s="117">
        <v>0.8</v>
      </c>
      <c r="D287" s="73">
        <v>7.2</v>
      </c>
      <c r="E287" s="73">
        <v>7.2</v>
      </c>
      <c r="F287" s="73">
        <v>7.2</v>
      </c>
    </row>
    <row r="288" spans="1:6" outlineLevel="1">
      <c r="A288" s="632"/>
      <c r="B288" s="437">
        <v>6.5</v>
      </c>
      <c r="C288" s="117">
        <v>1.2</v>
      </c>
      <c r="D288" s="117">
        <v>9.1</v>
      </c>
      <c r="E288" s="117">
        <v>9.1</v>
      </c>
      <c r="F288" s="117">
        <v>9.1</v>
      </c>
    </row>
    <row r="289" spans="1:6" outlineLevel="1">
      <c r="A289" s="632"/>
      <c r="B289" s="437">
        <v>6.5</v>
      </c>
      <c r="C289" s="117">
        <v>1.6</v>
      </c>
      <c r="D289" s="118">
        <v>10.3</v>
      </c>
      <c r="E289" s="118">
        <v>10.3</v>
      </c>
      <c r="F289" s="118">
        <v>10.199999999999999</v>
      </c>
    </row>
    <row r="290" spans="1:6" outlineLevel="1">
      <c r="A290" s="632"/>
      <c r="B290" s="437">
        <v>6.5</v>
      </c>
      <c r="C290" s="73">
        <v>2.4</v>
      </c>
      <c r="D290" s="118">
        <v>11.9</v>
      </c>
      <c r="E290" s="118">
        <v>11.8</v>
      </c>
      <c r="F290" s="118">
        <v>11.7</v>
      </c>
    </row>
    <row r="291" spans="1:6" outlineLevel="1">
      <c r="A291" s="632"/>
      <c r="B291" s="437">
        <v>6.5</v>
      </c>
      <c r="C291" s="73">
        <v>3.2</v>
      </c>
      <c r="D291" s="118">
        <v>12.8</v>
      </c>
      <c r="E291" s="118">
        <v>12.7</v>
      </c>
      <c r="F291" s="118">
        <v>12.6</v>
      </c>
    </row>
    <row r="292" spans="1:6" outlineLevel="1">
      <c r="A292" s="632"/>
      <c r="B292" s="437">
        <v>6.5</v>
      </c>
      <c r="C292" s="73">
        <v>4.8</v>
      </c>
      <c r="D292" s="118">
        <v>14.4</v>
      </c>
      <c r="E292" s="118">
        <v>14.3</v>
      </c>
      <c r="F292" s="118">
        <v>14.2</v>
      </c>
    </row>
    <row r="293" spans="1:6" outlineLevel="1">
      <c r="A293" s="661"/>
      <c r="B293" s="437">
        <v>6.5</v>
      </c>
      <c r="C293" s="107" t="s">
        <v>194</v>
      </c>
      <c r="D293" s="127">
        <v>15.4</v>
      </c>
      <c r="E293" s="127">
        <v>15.2</v>
      </c>
      <c r="F293" s="127">
        <v>15</v>
      </c>
    </row>
    <row r="294" spans="1:6" outlineLevel="1">
      <c r="A294" s="659" t="s">
        <v>195</v>
      </c>
      <c r="B294" s="437" t="s">
        <v>73</v>
      </c>
      <c r="C294" s="128">
        <v>0.4</v>
      </c>
      <c r="D294" s="129">
        <v>5.0999999999999996</v>
      </c>
      <c r="E294" s="128">
        <v>4.8</v>
      </c>
      <c r="F294" s="129">
        <v>4.5999999999999996</v>
      </c>
    </row>
    <row r="295" spans="1:6" outlineLevel="1">
      <c r="A295" s="632"/>
      <c r="B295" s="437" t="s">
        <v>73</v>
      </c>
      <c r="C295" s="117">
        <v>0.8</v>
      </c>
      <c r="D295" s="117">
        <v>7.8</v>
      </c>
      <c r="E295" s="117">
        <v>7.8</v>
      </c>
      <c r="F295" s="117">
        <v>7.8</v>
      </c>
    </row>
    <row r="296" spans="1:6" outlineLevel="1">
      <c r="A296" s="632"/>
      <c r="B296" s="437" t="s">
        <v>73</v>
      </c>
      <c r="C296" s="117">
        <v>1.2</v>
      </c>
      <c r="D296" s="117">
        <v>9.8000000000000007</v>
      </c>
      <c r="E296" s="117">
        <v>9.8000000000000007</v>
      </c>
      <c r="F296" s="117">
        <v>9.8000000000000007</v>
      </c>
    </row>
    <row r="297" spans="1:6" outlineLevel="1">
      <c r="A297" s="632"/>
      <c r="B297" s="437" t="s">
        <v>73</v>
      </c>
      <c r="C297" s="117">
        <v>1.6</v>
      </c>
      <c r="D297" s="118">
        <v>10.4</v>
      </c>
      <c r="E297" s="118">
        <v>10.4</v>
      </c>
      <c r="F297" s="118">
        <v>10.3</v>
      </c>
    </row>
    <row r="298" spans="1:6" outlineLevel="1">
      <c r="A298" s="632"/>
      <c r="B298" s="437" t="s">
        <v>73</v>
      </c>
      <c r="C298" s="73">
        <v>2.4</v>
      </c>
      <c r="D298" s="118">
        <v>12</v>
      </c>
      <c r="E298" s="118">
        <v>11.9</v>
      </c>
      <c r="F298" s="118">
        <v>11.8</v>
      </c>
    </row>
    <row r="299" spans="1:6" outlineLevel="1">
      <c r="A299" s="632"/>
      <c r="B299" s="437" t="s">
        <v>73</v>
      </c>
      <c r="C299" s="73">
        <v>3.2</v>
      </c>
      <c r="D299" s="118">
        <v>12.9</v>
      </c>
      <c r="E299" s="118">
        <v>12.8</v>
      </c>
      <c r="F299" s="118">
        <v>12.7</v>
      </c>
    </row>
    <row r="300" spans="1:6" outlineLevel="1">
      <c r="A300" s="632"/>
      <c r="B300" s="437" t="s">
        <v>73</v>
      </c>
      <c r="C300" s="117">
        <v>4.8</v>
      </c>
      <c r="D300" s="118">
        <v>14.5</v>
      </c>
      <c r="E300" s="118">
        <v>14.4</v>
      </c>
      <c r="F300" s="118">
        <v>14.3</v>
      </c>
    </row>
    <row r="301" spans="1:6" outlineLevel="1">
      <c r="A301" s="660"/>
      <c r="B301" s="437" t="s">
        <v>73</v>
      </c>
      <c r="C301" s="75" t="s">
        <v>158</v>
      </c>
      <c r="D301" s="130">
        <v>15.4</v>
      </c>
      <c r="E301" s="130">
        <v>15.3</v>
      </c>
      <c r="F301" s="130">
        <v>15.2</v>
      </c>
    </row>
    <row r="302" spans="1:6" outlineLevel="1">
      <c r="A302" s="476"/>
      <c r="B302" s="437"/>
      <c r="C302" s="136"/>
      <c r="D302" s="179"/>
      <c r="E302" s="179"/>
      <c r="F302" s="179"/>
    </row>
    <row r="303" spans="1:6" outlineLevel="1">
      <c r="A303" s="476"/>
      <c r="B303" s="437"/>
      <c r="C303" s="136"/>
      <c r="D303" s="179"/>
      <c r="E303" s="179"/>
      <c r="F303" s="179"/>
    </row>
    <row r="304" spans="1:6" outlineLevel="1">
      <c r="A304" s="476"/>
      <c r="B304" s="437"/>
      <c r="C304" s="136"/>
      <c r="D304" s="179"/>
      <c r="E304" s="179"/>
      <c r="F304" s="179"/>
    </row>
    <row r="305" spans="1:7" outlineLevel="1">
      <c r="A305" s="476"/>
      <c r="B305" s="437"/>
      <c r="C305" s="136"/>
      <c r="D305" s="179"/>
      <c r="E305" s="179"/>
      <c r="F305" s="179"/>
    </row>
    <row r="306" spans="1:7" outlineLevel="1">
      <c r="A306" s="235"/>
    </row>
    <row r="307" spans="1:7" outlineLevel="1">
      <c r="A307" s="234" t="s">
        <v>212</v>
      </c>
      <c r="C307" s="64"/>
      <c r="D307" s="64"/>
      <c r="E307" s="64"/>
      <c r="F307" s="64"/>
      <c r="G307" s="64"/>
    </row>
    <row r="308" spans="1:7" outlineLevel="1">
      <c r="A308" s="234" t="s">
        <v>213</v>
      </c>
      <c r="C308" s="64"/>
      <c r="D308" s="64"/>
      <c r="E308" s="64"/>
      <c r="F308" s="64"/>
      <c r="G308" s="64"/>
    </row>
    <row r="309" spans="1:7" outlineLevel="1">
      <c r="A309" s="645" t="s">
        <v>214</v>
      </c>
      <c r="C309" s="638" t="s">
        <v>215</v>
      </c>
      <c r="D309" s="641" t="s">
        <v>216</v>
      </c>
      <c r="E309" s="637"/>
      <c r="F309" s="637"/>
      <c r="G309" s="663" t="s">
        <v>217</v>
      </c>
    </row>
    <row r="310" spans="1:7" outlineLevel="1">
      <c r="A310" s="646"/>
      <c r="C310" s="639"/>
      <c r="D310" s="666" t="s">
        <v>218</v>
      </c>
      <c r="E310" s="667"/>
      <c r="F310" s="667"/>
      <c r="G310" s="664"/>
    </row>
    <row r="311" spans="1:7" outlineLevel="1">
      <c r="A311" s="647"/>
      <c r="C311" s="640"/>
      <c r="D311" s="137" t="s">
        <v>219</v>
      </c>
      <c r="E311" s="138" t="s">
        <v>220</v>
      </c>
      <c r="F311" s="139" t="s">
        <v>221</v>
      </c>
      <c r="G311" s="665"/>
    </row>
    <row r="312" spans="1:7" outlineLevel="1">
      <c r="A312" s="642" t="s">
        <v>222</v>
      </c>
      <c r="B312" s="437">
        <v>3.5</v>
      </c>
      <c r="C312" s="140">
        <v>0.4</v>
      </c>
      <c r="D312" s="141">
        <v>1</v>
      </c>
      <c r="E312" s="141">
        <v>1</v>
      </c>
      <c r="F312" s="142">
        <v>1</v>
      </c>
      <c r="G312" s="143">
        <v>1</v>
      </c>
    </row>
    <row r="313" spans="1:7" outlineLevel="1">
      <c r="A313" s="643"/>
      <c r="B313" s="437">
        <v>3.5</v>
      </c>
      <c r="C313" s="144">
        <v>0.8</v>
      </c>
      <c r="D313" s="145">
        <v>1</v>
      </c>
      <c r="E313" s="145">
        <v>1</v>
      </c>
      <c r="F313" s="146">
        <v>1</v>
      </c>
      <c r="G313" s="147">
        <v>1</v>
      </c>
    </row>
    <row r="314" spans="1:7" outlineLevel="1">
      <c r="A314" s="643"/>
      <c r="B314" s="437">
        <v>3.5</v>
      </c>
      <c r="C314" s="145">
        <v>1.2</v>
      </c>
      <c r="D314" s="145">
        <v>1</v>
      </c>
      <c r="E314" s="145">
        <v>1</v>
      </c>
      <c r="F314" s="146">
        <v>1</v>
      </c>
      <c r="G314" s="147">
        <v>1</v>
      </c>
    </row>
    <row r="315" spans="1:7" outlineLevel="1">
      <c r="A315" s="643"/>
      <c r="B315" s="437">
        <v>3.5</v>
      </c>
      <c r="C315" s="145">
        <v>1.6</v>
      </c>
      <c r="D315" s="145">
        <v>1</v>
      </c>
      <c r="E315" s="145">
        <v>1</v>
      </c>
      <c r="F315" s="146">
        <v>1</v>
      </c>
      <c r="G315" s="147">
        <v>1</v>
      </c>
    </row>
    <row r="316" spans="1:7" outlineLevel="1">
      <c r="A316" s="643"/>
      <c r="B316" s="437">
        <v>3.5</v>
      </c>
      <c r="C316" s="144">
        <v>2.4</v>
      </c>
      <c r="D316" s="145">
        <v>1</v>
      </c>
      <c r="E316" s="145">
        <v>1</v>
      </c>
      <c r="F316" s="146">
        <v>1</v>
      </c>
      <c r="G316" s="147">
        <v>1</v>
      </c>
    </row>
    <row r="317" spans="1:7" outlineLevel="1">
      <c r="A317" s="643"/>
      <c r="B317" s="437">
        <v>3.5</v>
      </c>
      <c r="C317" s="144">
        <v>3.2</v>
      </c>
      <c r="D317" s="145">
        <v>1</v>
      </c>
      <c r="E317" s="145">
        <v>1</v>
      </c>
      <c r="F317" s="146">
        <v>1</v>
      </c>
      <c r="G317" s="147">
        <v>1</v>
      </c>
    </row>
    <row r="318" spans="1:7" outlineLevel="1">
      <c r="A318" s="643"/>
      <c r="B318" s="437">
        <v>3.5</v>
      </c>
      <c r="C318" s="145">
        <v>4.8</v>
      </c>
      <c r="D318" s="145">
        <v>1.4</v>
      </c>
      <c r="E318" s="145">
        <v>1</v>
      </c>
      <c r="F318" s="146">
        <v>1</v>
      </c>
      <c r="G318" s="147">
        <v>1</v>
      </c>
    </row>
    <row r="319" spans="1:7" outlineLevel="1">
      <c r="A319" s="648"/>
      <c r="B319" s="437">
        <v>3.5</v>
      </c>
      <c r="C319" s="148" t="s">
        <v>223</v>
      </c>
      <c r="D319" s="149">
        <v>1.5</v>
      </c>
      <c r="E319" s="149">
        <v>1</v>
      </c>
      <c r="F319" s="150">
        <v>1</v>
      </c>
      <c r="G319" s="151">
        <v>1</v>
      </c>
    </row>
    <row r="320" spans="1:7" outlineLevel="1">
      <c r="A320" s="642" t="s">
        <v>224</v>
      </c>
      <c r="B320" s="437">
        <v>4.5</v>
      </c>
      <c r="C320" s="140">
        <v>0.4</v>
      </c>
      <c r="D320" s="141">
        <v>1</v>
      </c>
      <c r="E320" s="141">
        <v>1</v>
      </c>
      <c r="F320" s="142">
        <v>1</v>
      </c>
      <c r="G320" s="143">
        <v>1</v>
      </c>
    </row>
    <row r="321" spans="1:7" outlineLevel="1">
      <c r="A321" s="643"/>
      <c r="B321" s="437">
        <v>4.5</v>
      </c>
      <c r="C321" s="144">
        <v>0.8</v>
      </c>
      <c r="D321" s="145">
        <v>1</v>
      </c>
      <c r="E321" s="145">
        <v>1</v>
      </c>
      <c r="F321" s="146">
        <v>1</v>
      </c>
      <c r="G321" s="147">
        <v>1</v>
      </c>
    </row>
    <row r="322" spans="1:7" outlineLevel="1">
      <c r="A322" s="643"/>
      <c r="B322" s="437">
        <v>4.5</v>
      </c>
      <c r="C322" s="145">
        <v>1.2</v>
      </c>
      <c r="D322" s="145">
        <v>1</v>
      </c>
      <c r="E322" s="145">
        <v>1</v>
      </c>
      <c r="F322" s="146">
        <v>1</v>
      </c>
      <c r="G322" s="147">
        <v>1</v>
      </c>
    </row>
    <row r="323" spans="1:7" outlineLevel="1">
      <c r="A323" s="643"/>
      <c r="B323" s="437">
        <v>4.5</v>
      </c>
      <c r="C323" s="145">
        <v>1.6</v>
      </c>
      <c r="D323" s="145">
        <v>1</v>
      </c>
      <c r="E323" s="145">
        <v>1</v>
      </c>
      <c r="F323" s="146">
        <v>1</v>
      </c>
      <c r="G323" s="147">
        <v>1</v>
      </c>
    </row>
    <row r="324" spans="1:7" outlineLevel="1">
      <c r="A324" s="643"/>
      <c r="B324" s="437">
        <v>4.5</v>
      </c>
      <c r="C324" s="152">
        <v>2.4</v>
      </c>
      <c r="D324" s="145">
        <v>1.1000000000000001</v>
      </c>
      <c r="E324" s="145">
        <v>1</v>
      </c>
      <c r="F324" s="146">
        <v>1</v>
      </c>
      <c r="G324" s="147">
        <v>1</v>
      </c>
    </row>
    <row r="325" spans="1:7" outlineLevel="1">
      <c r="A325" s="643"/>
      <c r="B325" s="437">
        <v>4.5</v>
      </c>
      <c r="C325" s="144">
        <v>3.2</v>
      </c>
      <c r="D325" s="145">
        <v>1.4</v>
      </c>
      <c r="E325" s="145">
        <v>1</v>
      </c>
      <c r="F325" s="146">
        <v>1</v>
      </c>
      <c r="G325" s="147">
        <v>1</v>
      </c>
    </row>
    <row r="326" spans="1:7" outlineLevel="1">
      <c r="A326" s="643"/>
      <c r="B326" s="437">
        <v>4.5</v>
      </c>
      <c r="C326" s="145">
        <v>4.8</v>
      </c>
      <c r="D326" s="145">
        <v>1.7</v>
      </c>
      <c r="E326" s="145">
        <v>1.1000000000000001</v>
      </c>
      <c r="F326" s="146">
        <v>1.2</v>
      </c>
      <c r="G326" s="147">
        <v>1</v>
      </c>
    </row>
    <row r="327" spans="1:7" outlineLevel="1">
      <c r="A327" s="649"/>
      <c r="B327" s="437">
        <v>4.5</v>
      </c>
      <c r="C327" s="153" t="s">
        <v>225</v>
      </c>
      <c r="D327" s="154">
        <v>2</v>
      </c>
      <c r="E327" s="155">
        <v>1.5</v>
      </c>
      <c r="F327" s="156">
        <v>1.4</v>
      </c>
      <c r="G327" s="157">
        <v>1</v>
      </c>
    </row>
    <row r="328" spans="1:7" outlineLevel="1">
      <c r="A328" s="651" t="s">
        <v>226</v>
      </c>
      <c r="B328" s="437">
        <v>5.5</v>
      </c>
      <c r="C328" s="158">
        <v>0.4</v>
      </c>
      <c r="D328" s="159">
        <v>1</v>
      </c>
      <c r="E328" s="159">
        <v>1</v>
      </c>
      <c r="F328" s="160">
        <v>1</v>
      </c>
      <c r="G328" s="161">
        <v>1</v>
      </c>
    </row>
    <row r="329" spans="1:7" outlineLevel="1">
      <c r="A329" s="643"/>
      <c r="B329" s="437">
        <v>5.5</v>
      </c>
      <c r="C329" s="144">
        <v>0.8</v>
      </c>
      <c r="D329" s="145">
        <v>1</v>
      </c>
      <c r="E329" s="145">
        <v>1</v>
      </c>
      <c r="F329" s="146">
        <v>1</v>
      </c>
      <c r="G329" s="147">
        <v>1</v>
      </c>
    </row>
    <row r="330" spans="1:7" outlineLevel="1">
      <c r="A330" s="643"/>
      <c r="B330" s="437">
        <v>5.5</v>
      </c>
      <c r="C330" s="145">
        <v>1.2</v>
      </c>
      <c r="D330" s="145">
        <v>1</v>
      </c>
      <c r="E330" s="145">
        <v>1</v>
      </c>
      <c r="F330" s="146">
        <v>1</v>
      </c>
      <c r="G330" s="147">
        <v>1</v>
      </c>
    </row>
    <row r="331" spans="1:7" outlineLevel="1">
      <c r="A331" s="643"/>
      <c r="B331" s="437">
        <v>5.5</v>
      </c>
      <c r="C331" s="145">
        <v>1.6</v>
      </c>
      <c r="D331" s="145">
        <v>1</v>
      </c>
      <c r="E331" s="145">
        <v>1</v>
      </c>
      <c r="F331" s="146">
        <v>1</v>
      </c>
      <c r="G331" s="147">
        <v>1</v>
      </c>
    </row>
    <row r="332" spans="1:7" outlineLevel="1">
      <c r="A332" s="643"/>
      <c r="B332" s="437">
        <v>5.5</v>
      </c>
      <c r="C332" s="144">
        <v>2.4</v>
      </c>
      <c r="D332" s="145">
        <v>1.1000000000000001</v>
      </c>
      <c r="E332" s="145">
        <v>1.2</v>
      </c>
      <c r="F332" s="146">
        <v>1.2</v>
      </c>
      <c r="G332" s="147">
        <v>1</v>
      </c>
    </row>
    <row r="333" spans="1:7" outlineLevel="1">
      <c r="A333" s="643"/>
      <c r="B333" s="437">
        <v>5.5</v>
      </c>
      <c r="C333" s="144">
        <v>3.2</v>
      </c>
      <c r="D333" s="145">
        <v>1.6</v>
      </c>
      <c r="E333" s="145">
        <v>1.3</v>
      </c>
      <c r="F333" s="146">
        <v>1.5</v>
      </c>
      <c r="G333" s="147">
        <v>1</v>
      </c>
    </row>
    <row r="334" spans="1:7" outlineLevel="1">
      <c r="A334" s="643"/>
      <c r="B334" s="437">
        <v>5.5</v>
      </c>
      <c r="C334" s="145">
        <v>4.8</v>
      </c>
      <c r="D334" s="144">
        <v>2.2999999999999998</v>
      </c>
      <c r="E334" s="145">
        <v>1.9</v>
      </c>
      <c r="F334" s="146">
        <v>1.7</v>
      </c>
      <c r="G334" s="147">
        <v>1</v>
      </c>
    </row>
    <row r="335" spans="1:7" outlineLevel="1">
      <c r="A335" s="652"/>
      <c r="B335" s="437">
        <v>5.5</v>
      </c>
      <c r="C335" s="162" t="s">
        <v>227</v>
      </c>
      <c r="D335" s="163">
        <v>3.3</v>
      </c>
      <c r="E335" s="163">
        <v>2.1</v>
      </c>
      <c r="F335" s="164">
        <v>1.8</v>
      </c>
      <c r="G335" s="165">
        <v>1</v>
      </c>
    </row>
    <row r="336" spans="1:7" outlineLevel="1">
      <c r="A336" s="650" t="s">
        <v>228</v>
      </c>
      <c r="B336" s="437">
        <v>6.5</v>
      </c>
      <c r="C336" s="166">
        <v>0.4</v>
      </c>
      <c r="D336" s="167">
        <v>1</v>
      </c>
      <c r="E336" s="167">
        <v>1</v>
      </c>
      <c r="F336" s="168">
        <v>1</v>
      </c>
      <c r="G336" s="169">
        <v>1</v>
      </c>
    </row>
    <row r="337" spans="1:7" outlineLevel="1">
      <c r="A337" s="643"/>
      <c r="B337" s="437">
        <v>6.5</v>
      </c>
      <c r="C337" s="144">
        <v>0.8</v>
      </c>
      <c r="D337" s="145">
        <v>1</v>
      </c>
      <c r="E337" s="145">
        <v>1</v>
      </c>
      <c r="F337" s="146">
        <v>1</v>
      </c>
      <c r="G337" s="147">
        <v>1</v>
      </c>
    </row>
    <row r="338" spans="1:7" outlineLevel="1">
      <c r="A338" s="643"/>
      <c r="B338" s="437">
        <v>6.5</v>
      </c>
      <c r="C338" s="145">
        <v>1.2</v>
      </c>
      <c r="D338" s="145">
        <v>1</v>
      </c>
      <c r="E338" s="145">
        <v>1</v>
      </c>
      <c r="F338" s="146">
        <v>1</v>
      </c>
      <c r="G338" s="147">
        <v>1</v>
      </c>
    </row>
    <row r="339" spans="1:7" outlineLevel="1">
      <c r="A339" s="643"/>
      <c r="B339" s="437">
        <v>6.5</v>
      </c>
      <c r="C339" s="145">
        <v>1.6</v>
      </c>
      <c r="D339" s="145">
        <v>1</v>
      </c>
      <c r="E339" s="145">
        <v>1.2</v>
      </c>
      <c r="F339" s="146">
        <v>1.2</v>
      </c>
      <c r="G339" s="147">
        <v>1</v>
      </c>
    </row>
    <row r="340" spans="1:7" outlineLevel="1">
      <c r="A340" s="643"/>
      <c r="B340" s="437">
        <v>6.5</v>
      </c>
      <c r="C340" s="144">
        <v>2.4</v>
      </c>
      <c r="D340" s="145">
        <v>1.5</v>
      </c>
      <c r="E340" s="145">
        <v>1.6</v>
      </c>
      <c r="F340" s="146">
        <v>1.6</v>
      </c>
      <c r="G340" s="147">
        <v>1</v>
      </c>
    </row>
    <row r="341" spans="1:7" outlineLevel="1">
      <c r="A341" s="643"/>
      <c r="B341" s="437">
        <v>6.5</v>
      </c>
      <c r="C341" s="144">
        <v>3.2</v>
      </c>
      <c r="D341" s="145">
        <v>1.9</v>
      </c>
      <c r="E341" s="145">
        <v>1.9</v>
      </c>
      <c r="F341" s="146">
        <v>1.8</v>
      </c>
      <c r="G341" s="147">
        <v>1</v>
      </c>
    </row>
    <row r="342" spans="1:7" outlineLevel="1">
      <c r="A342" s="643"/>
      <c r="B342" s="437">
        <v>6.5</v>
      </c>
      <c r="C342" s="145">
        <v>4.8</v>
      </c>
      <c r="D342" s="144">
        <v>3.3</v>
      </c>
      <c r="E342" s="144">
        <v>2.5</v>
      </c>
      <c r="F342" s="170">
        <v>2</v>
      </c>
      <c r="G342" s="147">
        <v>1</v>
      </c>
    </row>
    <row r="343" spans="1:7" outlineLevel="1">
      <c r="A343" s="648"/>
      <c r="B343" s="437">
        <v>6.5</v>
      </c>
      <c r="C343" s="148" t="s">
        <v>227</v>
      </c>
      <c r="D343" s="149">
        <v>4.3</v>
      </c>
      <c r="E343" s="171">
        <v>3.1</v>
      </c>
      <c r="F343" s="172">
        <v>2</v>
      </c>
      <c r="G343" s="151">
        <v>1</v>
      </c>
    </row>
    <row r="344" spans="1:7" outlineLevel="1">
      <c r="A344" s="642" t="s">
        <v>229</v>
      </c>
      <c r="B344" s="437" t="s">
        <v>73</v>
      </c>
      <c r="C344" s="140">
        <v>0.4</v>
      </c>
      <c r="D344" s="141">
        <v>1</v>
      </c>
      <c r="E344" s="141">
        <v>1</v>
      </c>
      <c r="F344" s="142">
        <v>1</v>
      </c>
      <c r="G344" s="143">
        <v>1</v>
      </c>
    </row>
    <row r="345" spans="1:7" outlineLevel="1">
      <c r="A345" s="643"/>
      <c r="B345" s="437" t="s">
        <v>73</v>
      </c>
      <c r="C345" s="144">
        <v>0.8</v>
      </c>
      <c r="D345" s="145">
        <v>1</v>
      </c>
      <c r="E345" s="145">
        <v>1</v>
      </c>
      <c r="F345" s="146">
        <v>1</v>
      </c>
      <c r="G345" s="147">
        <v>1</v>
      </c>
    </row>
    <row r="346" spans="1:7" outlineLevel="1">
      <c r="A346" s="643"/>
      <c r="B346" s="437" t="s">
        <v>73</v>
      </c>
      <c r="C346" s="145">
        <v>1.2</v>
      </c>
      <c r="D346" s="145">
        <v>1</v>
      </c>
      <c r="E346" s="145">
        <v>1</v>
      </c>
      <c r="F346" s="146">
        <v>1.3</v>
      </c>
      <c r="G346" s="147">
        <v>1</v>
      </c>
    </row>
    <row r="347" spans="1:7" outlineLevel="1">
      <c r="A347" s="643"/>
      <c r="B347" s="437" t="s">
        <v>73</v>
      </c>
      <c r="C347" s="145">
        <v>1.6</v>
      </c>
      <c r="D347" s="145">
        <v>1.3</v>
      </c>
      <c r="E347" s="145">
        <v>1.4</v>
      </c>
      <c r="F347" s="146">
        <v>1.6</v>
      </c>
      <c r="G347" s="147">
        <v>1</v>
      </c>
    </row>
    <row r="348" spans="1:7" outlineLevel="1">
      <c r="A348" s="643"/>
      <c r="B348" s="437" t="s">
        <v>73</v>
      </c>
      <c r="C348" s="152">
        <v>2.4</v>
      </c>
      <c r="D348" s="144">
        <v>2.1</v>
      </c>
      <c r="E348" s="144">
        <v>2</v>
      </c>
      <c r="F348" s="173">
        <v>2</v>
      </c>
      <c r="G348" s="147">
        <v>1</v>
      </c>
    </row>
    <row r="349" spans="1:7" outlineLevel="1">
      <c r="A349" s="643"/>
      <c r="B349" s="437" t="s">
        <v>73</v>
      </c>
      <c r="C349" s="144">
        <v>3.2</v>
      </c>
      <c r="D349" s="152">
        <v>2.8</v>
      </c>
      <c r="E349" s="152">
        <v>2.5</v>
      </c>
      <c r="F349" s="173">
        <v>2.1</v>
      </c>
      <c r="G349" s="147">
        <v>1</v>
      </c>
    </row>
    <row r="350" spans="1:7" outlineLevel="1">
      <c r="A350" s="643"/>
      <c r="B350" s="437" t="s">
        <v>73</v>
      </c>
      <c r="C350" s="145">
        <v>4.8</v>
      </c>
      <c r="D350" s="145">
        <v>4</v>
      </c>
      <c r="E350" s="144">
        <v>3.1</v>
      </c>
      <c r="F350" s="173">
        <v>2.2000000000000002</v>
      </c>
      <c r="G350" s="147">
        <v>1</v>
      </c>
    </row>
    <row r="351" spans="1:7" outlineLevel="1">
      <c r="A351" s="644"/>
      <c r="B351" s="437" t="s">
        <v>73</v>
      </c>
      <c r="C351" s="174" t="s">
        <v>225</v>
      </c>
      <c r="D351" s="175">
        <v>4.8</v>
      </c>
      <c r="E351" s="175">
        <v>3.5</v>
      </c>
      <c r="F351" s="176">
        <v>2.2999999999999998</v>
      </c>
      <c r="G351" s="177">
        <v>1</v>
      </c>
    </row>
    <row r="352" spans="1:7" outlineLevel="1">
      <c r="A352" s="476"/>
      <c r="B352" s="437"/>
      <c r="C352" s="136"/>
      <c r="D352" s="180"/>
      <c r="E352" s="180"/>
      <c r="F352" s="180"/>
      <c r="G352" s="181"/>
    </row>
    <row r="353" spans="1:7" outlineLevel="1">
      <c r="A353" s="476"/>
      <c r="B353" s="437"/>
      <c r="C353" s="136"/>
      <c r="D353" s="180"/>
      <c r="E353" s="180"/>
      <c r="F353" s="180"/>
      <c r="G353" s="181"/>
    </row>
    <row r="354" spans="1:7" outlineLevel="1">
      <c r="A354" s="476"/>
      <c r="B354" s="437"/>
      <c r="C354" s="136"/>
      <c r="D354" s="180"/>
      <c r="E354" s="180"/>
      <c r="F354" s="180"/>
      <c r="G354" s="181"/>
    </row>
    <row r="355" spans="1:7" outlineLevel="1">
      <c r="A355" s="476"/>
      <c r="B355" s="437"/>
      <c r="C355" s="136"/>
      <c r="D355" s="180"/>
      <c r="E355" s="180"/>
      <c r="F355" s="180"/>
      <c r="G355" s="181"/>
    </row>
    <row r="356" spans="1:7" outlineLevel="1">
      <c r="A356" s="476"/>
      <c r="B356" s="437"/>
      <c r="C356" s="136"/>
      <c r="D356" s="180"/>
      <c r="E356" s="180"/>
      <c r="F356" s="180"/>
      <c r="G356" s="181"/>
    </row>
    <row r="357" spans="1:7" outlineLevel="1">
      <c r="A357" s="234" t="s">
        <v>196</v>
      </c>
      <c r="C357" s="64"/>
      <c r="D357" s="64"/>
      <c r="E357" s="64"/>
      <c r="F357" s="64"/>
    </row>
    <row r="358" spans="1:7" outlineLevel="1">
      <c r="A358" s="234" t="s">
        <v>197</v>
      </c>
      <c r="C358" s="64"/>
      <c r="D358" s="64"/>
      <c r="E358" s="64"/>
      <c r="F358" s="64"/>
    </row>
    <row r="359" spans="1:7" outlineLevel="1">
      <c r="A359" s="623" t="s">
        <v>198</v>
      </c>
      <c r="C359" s="626" t="s">
        <v>199</v>
      </c>
      <c r="D359" s="636" t="s">
        <v>200</v>
      </c>
      <c r="E359" s="637"/>
      <c r="F359" s="637"/>
    </row>
    <row r="360" spans="1:7" outlineLevel="1">
      <c r="A360" s="624"/>
      <c r="C360" s="627"/>
      <c r="D360" s="634" t="s">
        <v>201</v>
      </c>
      <c r="E360" s="635"/>
      <c r="F360" s="635"/>
    </row>
    <row r="361" spans="1:7" outlineLevel="1">
      <c r="A361" s="625"/>
      <c r="C361" s="628"/>
      <c r="D361" s="112" t="s">
        <v>202</v>
      </c>
      <c r="E361" s="113" t="s">
        <v>203</v>
      </c>
      <c r="F361" s="114" t="s">
        <v>204</v>
      </c>
    </row>
    <row r="362" spans="1:7" outlineLevel="1">
      <c r="A362" s="631" t="s">
        <v>205</v>
      </c>
      <c r="B362" s="437">
        <v>3.5</v>
      </c>
      <c r="C362" s="96">
        <v>0.4</v>
      </c>
      <c r="D362" s="96">
        <v>1.1000000000000001</v>
      </c>
      <c r="E362" s="96">
        <v>1</v>
      </c>
      <c r="F362" s="96">
        <v>1</v>
      </c>
    </row>
    <row r="363" spans="1:7" outlineLevel="1">
      <c r="A363" s="632"/>
      <c r="B363" s="437">
        <v>3.5</v>
      </c>
      <c r="C363" s="98">
        <v>0.8</v>
      </c>
      <c r="D363" s="98">
        <v>1.2</v>
      </c>
      <c r="E363" s="98">
        <v>1</v>
      </c>
      <c r="F363" s="98">
        <v>1</v>
      </c>
    </row>
    <row r="364" spans="1:7" outlineLevel="1">
      <c r="A364" s="632"/>
      <c r="B364" s="437">
        <v>3.5</v>
      </c>
      <c r="C364" s="118">
        <v>1.2</v>
      </c>
      <c r="D364" s="98">
        <v>1.2</v>
      </c>
      <c r="E364" s="98">
        <v>1</v>
      </c>
      <c r="F364" s="98">
        <v>1</v>
      </c>
    </row>
    <row r="365" spans="1:7" outlineLevel="1">
      <c r="A365" s="632"/>
      <c r="B365" s="437">
        <v>3.5</v>
      </c>
      <c r="C365" s="98">
        <v>1.6</v>
      </c>
      <c r="D365" s="98">
        <v>1.3</v>
      </c>
      <c r="E365" s="98">
        <v>1</v>
      </c>
      <c r="F365" s="98">
        <v>1</v>
      </c>
    </row>
    <row r="366" spans="1:7" outlineLevel="1">
      <c r="A366" s="632"/>
      <c r="B366" s="437">
        <v>3.5</v>
      </c>
      <c r="C366" s="98">
        <v>2.4</v>
      </c>
      <c r="D366" s="98">
        <v>1.4</v>
      </c>
      <c r="E366" s="98">
        <v>1</v>
      </c>
      <c r="F366" s="98">
        <v>1</v>
      </c>
    </row>
    <row r="367" spans="1:7" outlineLevel="1">
      <c r="A367" s="632"/>
      <c r="B367" s="437">
        <v>3.5</v>
      </c>
      <c r="C367" s="131">
        <v>3.2</v>
      </c>
      <c r="D367" s="98">
        <v>1.4</v>
      </c>
      <c r="E367" s="98">
        <v>1</v>
      </c>
      <c r="F367" s="98">
        <v>1</v>
      </c>
    </row>
    <row r="368" spans="1:7" outlineLevel="1">
      <c r="A368" s="632"/>
      <c r="B368" s="437">
        <v>3.5</v>
      </c>
      <c r="C368" s="98">
        <v>4.8</v>
      </c>
      <c r="D368" s="98">
        <v>1.5</v>
      </c>
      <c r="E368" s="98">
        <v>1</v>
      </c>
      <c r="F368" s="98">
        <v>1</v>
      </c>
    </row>
    <row r="369" spans="1:6" outlineLevel="1">
      <c r="A369" s="658"/>
      <c r="B369" s="437">
        <v>3.5</v>
      </c>
      <c r="C369" s="81" t="s">
        <v>206</v>
      </c>
      <c r="D369" s="132">
        <v>1.5</v>
      </c>
      <c r="E369" s="132">
        <v>1</v>
      </c>
      <c r="F369" s="132">
        <v>1</v>
      </c>
    </row>
    <row r="370" spans="1:6" outlineLevel="1">
      <c r="A370" s="657" t="s">
        <v>207</v>
      </c>
      <c r="B370" s="437">
        <v>4.5</v>
      </c>
      <c r="C370" s="105">
        <v>0.4</v>
      </c>
      <c r="D370" s="105">
        <v>1.3</v>
      </c>
      <c r="E370" s="105">
        <v>1</v>
      </c>
      <c r="F370" s="105">
        <v>1</v>
      </c>
    </row>
    <row r="371" spans="1:6" outlineLevel="1">
      <c r="A371" s="632"/>
      <c r="B371" s="437">
        <v>4.5</v>
      </c>
      <c r="C371" s="98">
        <v>0.8</v>
      </c>
      <c r="D371" s="98">
        <v>1.3</v>
      </c>
      <c r="E371" s="98">
        <v>1</v>
      </c>
      <c r="F371" s="98">
        <v>1</v>
      </c>
    </row>
    <row r="372" spans="1:6" outlineLevel="1">
      <c r="A372" s="632"/>
      <c r="B372" s="437">
        <v>4.5</v>
      </c>
      <c r="C372" s="98">
        <v>1.2</v>
      </c>
      <c r="D372" s="98">
        <v>1.3</v>
      </c>
      <c r="E372" s="98">
        <v>1</v>
      </c>
      <c r="F372" s="98">
        <v>1</v>
      </c>
    </row>
    <row r="373" spans="1:6" outlineLevel="1">
      <c r="A373" s="632"/>
      <c r="B373" s="437">
        <v>4.5</v>
      </c>
      <c r="C373" s="98">
        <v>1.6</v>
      </c>
      <c r="D373" s="98">
        <v>1.4</v>
      </c>
      <c r="E373" s="98">
        <v>1</v>
      </c>
      <c r="F373" s="98">
        <v>1</v>
      </c>
    </row>
    <row r="374" spans="1:6" outlineLevel="1">
      <c r="A374" s="632"/>
      <c r="B374" s="437">
        <v>4.5</v>
      </c>
      <c r="C374" s="98">
        <v>2.4</v>
      </c>
      <c r="D374" s="98">
        <v>1.4</v>
      </c>
      <c r="E374" s="98">
        <v>1</v>
      </c>
      <c r="F374" s="98">
        <v>1</v>
      </c>
    </row>
    <row r="375" spans="1:6" outlineLevel="1">
      <c r="A375" s="632"/>
      <c r="B375" s="437">
        <v>4.5</v>
      </c>
      <c r="C375" s="98">
        <v>3.2</v>
      </c>
      <c r="D375" s="98">
        <v>1.4</v>
      </c>
      <c r="E375" s="98">
        <v>1</v>
      </c>
      <c r="F375" s="98">
        <v>1</v>
      </c>
    </row>
    <row r="376" spans="1:6" outlineLevel="1">
      <c r="A376" s="632"/>
      <c r="B376" s="437">
        <v>4.5</v>
      </c>
      <c r="C376" s="98">
        <v>4.8</v>
      </c>
      <c r="D376" s="98">
        <v>1.4</v>
      </c>
      <c r="E376" s="98">
        <v>1</v>
      </c>
      <c r="F376" s="98">
        <v>1</v>
      </c>
    </row>
    <row r="377" spans="1:6" outlineLevel="1">
      <c r="A377" s="633"/>
      <c r="B377" s="437">
        <v>4.5</v>
      </c>
      <c r="C377" s="75" t="s">
        <v>208</v>
      </c>
      <c r="D377" s="133">
        <v>1.5</v>
      </c>
      <c r="E377" s="133">
        <v>1</v>
      </c>
      <c r="F377" s="133">
        <v>1</v>
      </c>
    </row>
    <row r="378" spans="1:6" outlineLevel="1">
      <c r="A378" s="662" t="s">
        <v>209</v>
      </c>
      <c r="B378" s="437">
        <v>5.5</v>
      </c>
      <c r="C378" s="102">
        <v>0.4</v>
      </c>
      <c r="D378" s="102">
        <v>1.5</v>
      </c>
      <c r="E378" s="102">
        <v>1</v>
      </c>
      <c r="F378" s="102">
        <v>1</v>
      </c>
    </row>
    <row r="379" spans="1:6" outlineLevel="1">
      <c r="A379" s="632"/>
      <c r="B379" s="437">
        <v>5.5</v>
      </c>
      <c r="C379" s="98">
        <v>0.8</v>
      </c>
      <c r="D379" s="98">
        <v>1.5</v>
      </c>
      <c r="E379" s="98">
        <v>1</v>
      </c>
      <c r="F379" s="98">
        <v>1</v>
      </c>
    </row>
    <row r="380" spans="1:6" outlineLevel="1">
      <c r="A380" s="632"/>
      <c r="B380" s="437">
        <v>5.5</v>
      </c>
      <c r="C380" s="98">
        <v>1.2</v>
      </c>
      <c r="D380" s="98">
        <v>1.5</v>
      </c>
      <c r="E380" s="98">
        <v>1</v>
      </c>
      <c r="F380" s="98">
        <v>1</v>
      </c>
    </row>
    <row r="381" spans="1:6" outlineLevel="1">
      <c r="A381" s="632"/>
      <c r="B381" s="437">
        <v>5.5</v>
      </c>
      <c r="C381" s="98">
        <v>1.6</v>
      </c>
      <c r="D381" s="98">
        <v>1.5</v>
      </c>
      <c r="E381" s="98">
        <v>1</v>
      </c>
      <c r="F381" s="98">
        <v>1</v>
      </c>
    </row>
    <row r="382" spans="1:6" outlineLevel="1">
      <c r="A382" s="632"/>
      <c r="B382" s="437">
        <v>5.5</v>
      </c>
      <c r="C382" s="98">
        <v>2.4</v>
      </c>
      <c r="D382" s="98">
        <v>1.5</v>
      </c>
      <c r="E382" s="98">
        <v>1</v>
      </c>
      <c r="F382" s="98">
        <v>1</v>
      </c>
    </row>
    <row r="383" spans="1:6" outlineLevel="1">
      <c r="A383" s="632"/>
      <c r="B383" s="437">
        <v>5.5</v>
      </c>
      <c r="C383" s="98">
        <v>3.2</v>
      </c>
      <c r="D383" s="98">
        <v>1.5</v>
      </c>
      <c r="E383" s="98">
        <v>1</v>
      </c>
      <c r="F383" s="98">
        <v>1</v>
      </c>
    </row>
    <row r="384" spans="1:6" outlineLevel="1">
      <c r="A384" s="632"/>
      <c r="B384" s="437">
        <v>5.5</v>
      </c>
      <c r="C384" s="98">
        <v>4.8</v>
      </c>
      <c r="D384" s="98">
        <v>1.6</v>
      </c>
      <c r="E384" s="98">
        <v>1</v>
      </c>
      <c r="F384" s="98">
        <v>1</v>
      </c>
    </row>
    <row r="385" spans="1:6" outlineLevel="1">
      <c r="A385" s="658"/>
      <c r="B385" s="437">
        <v>5.5</v>
      </c>
      <c r="C385" s="81" t="s">
        <v>208</v>
      </c>
      <c r="D385" s="132">
        <v>1.6</v>
      </c>
      <c r="E385" s="132">
        <v>1</v>
      </c>
      <c r="F385" s="132">
        <v>1</v>
      </c>
    </row>
    <row r="386" spans="1:6" outlineLevel="1">
      <c r="A386" s="657" t="s">
        <v>210</v>
      </c>
      <c r="B386" s="437">
        <v>6.5</v>
      </c>
      <c r="C386" s="105">
        <v>0.4</v>
      </c>
      <c r="D386" s="105">
        <v>1.5</v>
      </c>
      <c r="E386" s="105">
        <v>1</v>
      </c>
      <c r="F386" s="105">
        <v>1</v>
      </c>
    </row>
    <row r="387" spans="1:6" outlineLevel="1">
      <c r="A387" s="632"/>
      <c r="B387" s="437">
        <v>6.5</v>
      </c>
      <c r="C387" s="98">
        <v>0.8</v>
      </c>
      <c r="D387" s="98">
        <v>1.5</v>
      </c>
      <c r="E387" s="98">
        <v>1</v>
      </c>
      <c r="F387" s="98">
        <v>1</v>
      </c>
    </row>
    <row r="388" spans="1:6" outlineLevel="1">
      <c r="A388" s="632"/>
      <c r="B388" s="437">
        <v>6.5</v>
      </c>
      <c r="C388" s="98">
        <v>1.2</v>
      </c>
      <c r="D388" s="98">
        <v>1.5</v>
      </c>
      <c r="E388" s="98">
        <v>1</v>
      </c>
      <c r="F388" s="98">
        <v>1</v>
      </c>
    </row>
    <row r="389" spans="1:6" outlineLevel="1">
      <c r="A389" s="632"/>
      <c r="B389" s="437">
        <v>6.5</v>
      </c>
      <c r="C389" s="98">
        <v>1.6</v>
      </c>
      <c r="D389" s="98">
        <v>1.6</v>
      </c>
      <c r="E389" s="98">
        <v>1</v>
      </c>
      <c r="F389" s="98">
        <v>1</v>
      </c>
    </row>
    <row r="390" spans="1:6" outlineLevel="1">
      <c r="A390" s="632"/>
      <c r="B390" s="437">
        <v>6.5</v>
      </c>
      <c r="C390" s="131">
        <v>2.4</v>
      </c>
      <c r="D390" s="98">
        <v>1.6</v>
      </c>
      <c r="E390" s="98">
        <v>1</v>
      </c>
      <c r="F390" s="98">
        <v>1</v>
      </c>
    </row>
    <row r="391" spans="1:6" outlineLevel="1">
      <c r="A391" s="632"/>
      <c r="B391" s="437">
        <v>6.5</v>
      </c>
      <c r="C391" s="98">
        <v>3.2</v>
      </c>
      <c r="D391" s="98">
        <v>1.6</v>
      </c>
      <c r="E391" s="98">
        <v>1</v>
      </c>
      <c r="F391" s="98">
        <v>1</v>
      </c>
    </row>
    <row r="392" spans="1:6" outlineLevel="1">
      <c r="A392" s="632"/>
      <c r="B392" s="437">
        <v>6.5</v>
      </c>
      <c r="C392" s="98">
        <v>4.8</v>
      </c>
      <c r="D392" s="98">
        <v>1.6</v>
      </c>
      <c r="E392" s="98">
        <v>1.2</v>
      </c>
      <c r="F392" s="98">
        <v>1</v>
      </c>
    </row>
    <row r="393" spans="1:6" outlineLevel="1">
      <c r="A393" s="661"/>
      <c r="B393" s="437">
        <v>6.5</v>
      </c>
      <c r="C393" s="107" t="s">
        <v>206</v>
      </c>
      <c r="D393" s="134">
        <v>1.6</v>
      </c>
      <c r="E393" s="134">
        <v>1.5</v>
      </c>
      <c r="F393" s="134">
        <v>1.2</v>
      </c>
    </row>
    <row r="394" spans="1:6" outlineLevel="1">
      <c r="A394" s="659" t="s">
        <v>211</v>
      </c>
      <c r="B394" s="437" t="s">
        <v>73</v>
      </c>
      <c r="C394" s="109">
        <v>0.4</v>
      </c>
      <c r="D394" s="109">
        <v>1.6</v>
      </c>
      <c r="E394" s="109">
        <v>1</v>
      </c>
      <c r="F394" s="109">
        <v>1</v>
      </c>
    </row>
    <row r="395" spans="1:6" outlineLevel="1">
      <c r="A395" s="632"/>
      <c r="B395" s="437" t="s">
        <v>73</v>
      </c>
      <c r="C395" s="98">
        <v>0.8</v>
      </c>
      <c r="D395" s="98">
        <v>1.6</v>
      </c>
      <c r="E395" s="98">
        <v>1</v>
      </c>
      <c r="F395" s="98">
        <v>1</v>
      </c>
    </row>
    <row r="396" spans="1:6" outlineLevel="1">
      <c r="A396" s="632"/>
      <c r="B396" s="437" t="s">
        <v>73</v>
      </c>
      <c r="C396" s="98">
        <v>1.2</v>
      </c>
      <c r="D396" s="98">
        <v>1.6</v>
      </c>
      <c r="E396" s="98">
        <v>1</v>
      </c>
      <c r="F396" s="98">
        <v>1</v>
      </c>
    </row>
    <row r="397" spans="1:6" outlineLevel="1">
      <c r="A397" s="632"/>
      <c r="B397" s="437" t="s">
        <v>73</v>
      </c>
      <c r="C397" s="98">
        <v>1.6</v>
      </c>
      <c r="D397" s="98">
        <v>1.6</v>
      </c>
      <c r="E397" s="98">
        <v>1</v>
      </c>
      <c r="F397" s="98">
        <v>1</v>
      </c>
    </row>
    <row r="398" spans="1:6" outlineLevel="1">
      <c r="A398" s="632"/>
      <c r="B398" s="437" t="s">
        <v>73</v>
      </c>
      <c r="C398" s="98">
        <v>2.4</v>
      </c>
      <c r="D398" s="98">
        <v>1.6</v>
      </c>
      <c r="E398" s="98">
        <v>1</v>
      </c>
      <c r="F398" s="98">
        <v>1</v>
      </c>
    </row>
    <row r="399" spans="1:6" outlineLevel="1">
      <c r="A399" s="632"/>
      <c r="B399" s="437" t="s">
        <v>73</v>
      </c>
      <c r="C399" s="98">
        <v>3.2</v>
      </c>
      <c r="D399" s="98">
        <v>1.6</v>
      </c>
      <c r="E399" s="98">
        <v>1</v>
      </c>
      <c r="F399" s="98">
        <v>1</v>
      </c>
    </row>
    <row r="400" spans="1:6" outlineLevel="1">
      <c r="A400" s="632"/>
      <c r="B400" s="437" t="s">
        <v>73</v>
      </c>
      <c r="C400" s="98">
        <v>4.8</v>
      </c>
      <c r="D400" s="98">
        <v>1.6</v>
      </c>
      <c r="E400" s="98">
        <v>1.3</v>
      </c>
      <c r="F400" s="98">
        <v>1.3</v>
      </c>
    </row>
    <row r="401" spans="1:9" outlineLevel="1">
      <c r="A401" s="660"/>
      <c r="B401" s="437" t="s">
        <v>73</v>
      </c>
      <c r="C401" s="75" t="s">
        <v>158</v>
      </c>
      <c r="D401" s="135">
        <v>1.6</v>
      </c>
      <c r="E401" s="135">
        <v>1.5</v>
      </c>
      <c r="F401" s="135">
        <v>1.4</v>
      </c>
    </row>
    <row r="402" spans="1:9" outlineLevel="1">
      <c r="A402" s="233"/>
    </row>
    <row r="403" spans="1:9" outlineLevel="1"/>
    <row r="404" spans="1:9" outlineLevel="1">
      <c r="A404" s="57" t="s">
        <v>148</v>
      </c>
      <c r="B404" s="656" t="s">
        <v>123</v>
      </c>
      <c r="C404" s="653" t="s">
        <v>127</v>
      </c>
      <c r="D404" s="654"/>
      <c r="E404" s="654"/>
      <c r="F404" s="655"/>
    </row>
    <row r="405" spans="1:9" outlineLevel="1">
      <c r="B405" s="656"/>
      <c r="C405" s="653" t="s">
        <v>126</v>
      </c>
      <c r="D405" s="654"/>
      <c r="E405" s="654"/>
      <c r="F405" s="655"/>
    </row>
    <row r="406" spans="1:9" outlineLevel="1">
      <c r="B406" s="656"/>
      <c r="C406" s="55">
        <v>300</v>
      </c>
      <c r="D406" s="55">
        <v>600</v>
      </c>
      <c r="E406" s="55" t="s">
        <v>15</v>
      </c>
      <c r="F406" s="5" t="s">
        <v>73</v>
      </c>
    </row>
    <row r="407" spans="1:9" outlineLevel="1">
      <c r="A407" s="13" t="s">
        <v>124</v>
      </c>
      <c r="B407" s="55">
        <v>20</v>
      </c>
      <c r="C407" s="34">
        <v>4.4000000000000004</v>
      </c>
      <c r="D407" s="34">
        <v>2.8</v>
      </c>
      <c r="E407" s="34">
        <v>1.4</v>
      </c>
      <c r="F407" s="8" t="s">
        <v>73</v>
      </c>
    </row>
    <row r="408" spans="1:9" outlineLevel="1">
      <c r="A408" s="13">
        <v>40</v>
      </c>
      <c r="B408" s="55">
        <v>40</v>
      </c>
      <c r="C408" s="34">
        <v>14.3</v>
      </c>
      <c r="D408" s="34">
        <v>9.6</v>
      </c>
      <c r="E408" s="34">
        <v>5.7</v>
      </c>
      <c r="F408" s="8" t="s">
        <v>73</v>
      </c>
    </row>
    <row r="409" spans="1:9" outlineLevel="1">
      <c r="A409" s="13" t="s">
        <v>125</v>
      </c>
      <c r="B409" s="55">
        <v>60</v>
      </c>
      <c r="C409" s="34">
        <v>34.1</v>
      </c>
      <c r="D409" s="34">
        <v>21.1</v>
      </c>
      <c r="E409" s="34">
        <v>13</v>
      </c>
      <c r="F409" s="8" t="s">
        <v>73</v>
      </c>
    </row>
    <row r="410" spans="1:9" outlineLevel="1">
      <c r="C410" s="437"/>
      <c r="D410" s="437"/>
      <c r="E410" s="56"/>
    </row>
    <row r="411" spans="1:9" outlineLevel="1">
      <c r="A411" s="236"/>
      <c r="B411" s="1"/>
      <c r="C411" s="1"/>
      <c r="D411" s="1"/>
      <c r="F411" s="1"/>
    </row>
    <row r="412" spans="1:9" s="183" customFormat="1" outlineLevel="1">
      <c r="A412" s="237" t="s">
        <v>232</v>
      </c>
      <c r="B412" s="184"/>
      <c r="C412" s="184"/>
      <c r="D412" s="184"/>
      <c r="E412" s="185"/>
      <c r="F412" s="184"/>
      <c r="G412" s="184"/>
      <c r="H412" s="184"/>
      <c r="I412" s="184"/>
    </row>
    <row r="413" spans="1:9" s="183" customFormat="1" outlineLevel="1">
      <c r="A413" s="617" t="s">
        <v>233</v>
      </c>
      <c r="B413" s="619" t="s">
        <v>231</v>
      </c>
      <c r="C413" s="620"/>
      <c r="D413" s="620"/>
      <c r="E413" s="620"/>
      <c r="F413" s="620"/>
      <c r="G413" s="184"/>
      <c r="H413" s="184"/>
      <c r="I413" s="184"/>
    </row>
    <row r="414" spans="1:9" s="183" customFormat="1" outlineLevel="1">
      <c r="A414" s="618"/>
      <c r="B414" s="187">
        <v>20</v>
      </c>
      <c r="C414" s="188">
        <v>40</v>
      </c>
      <c r="D414" s="189">
        <v>60</v>
      </c>
      <c r="E414" s="188">
        <v>80</v>
      </c>
      <c r="F414" s="190">
        <v>100</v>
      </c>
      <c r="G414" s="184"/>
      <c r="H414" s="184"/>
      <c r="I414" s="184"/>
    </row>
    <row r="415" spans="1:9" s="183" customFormat="1" outlineLevel="1">
      <c r="A415" s="186" t="s">
        <v>234</v>
      </c>
      <c r="B415" s="186"/>
      <c r="C415" s="186"/>
      <c r="D415" s="186"/>
      <c r="E415" s="186"/>
      <c r="F415" s="186"/>
      <c r="G415" s="184"/>
      <c r="H415" s="184"/>
      <c r="I415" s="184"/>
    </row>
    <row r="416" spans="1:9" s="183" customFormat="1" outlineLevel="1">
      <c r="A416" s="238" t="s">
        <v>235</v>
      </c>
      <c r="B416" s="191">
        <v>1.7</v>
      </c>
      <c r="C416" s="191">
        <v>3.5</v>
      </c>
      <c r="D416" s="191">
        <v>4.5</v>
      </c>
      <c r="E416" s="191">
        <v>4.8</v>
      </c>
      <c r="F416" s="192">
        <v>5</v>
      </c>
      <c r="G416" s="184"/>
      <c r="H416" s="184"/>
      <c r="I416" s="184"/>
    </row>
    <row r="417" spans="1:9" s="183" customFormat="1" outlineLevel="1">
      <c r="A417" s="239">
        <v>200</v>
      </c>
      <c r="B417" s="193">
        <v>3.5</v>
      </c>
      <c r="C417" s="194">
        <v>5.3</v>
      </c>
      <c r="D417" s="193">
        <v>6.2</v>
      </c>
      <c r="E417" s="193">
        <v>6.5</v>
      </c>
      <c r="F417" s="195">
        <v>6.9</v>
      </c>
      <c r="G417" s="184"/>
      <c r="H417" s="184"/>
      <c r="I417" s="184"/>
    </row>
    <row r="418" spans="1:9" s="183" customFormat="1" outlineLevel="1">
      <c r="A418" s="240">
        <v>400</v>
      </c>
      <c r="B418" s="193">
        <v>2.6</v>
      </c>
      <c r="C418" s="194">
        <v>3.7</v>
      </c>
      <c r="D418" s="194">
        <v>4.4000000000000004</v>
      </c>
      <c r="E418" s="194">
        <v>4.5</v>
      </c>
      <c r="F418" s="196">
        <v>4.7</v>
      </c>
      <c r="G418" s="184"/>
      <c r="H418" s="184"/>
      <c r="I418" s="184"/>
    </row>
    <row r="419" spans="1:9" s="183" customFormat="1" outlineLevel="1">
      <c r="A419" s="239">
        <v>600</v>
      </c>
      <c r="B419" s="193">
        <v>2.2000000000000002</v>
      </c>
      <c r="C419" s="194">
        <v>2.4</v>
      </c>
      <c r="D419" s="194">
        <v>2.9</v>
      </c>
      <c r="E419" s="193">
        <v>3.1</v>
      </c>
      <c r="F419" s="195">
        <v>3.3</v>
      </c>
      <c r="G419" s="184"/>
      <c r="H419" s="184"/>
      <c r="I419" s="184"/>
    </row>
    <row r="420" spans="1:9" s="183" customFormat="1" outlineLevel="1">
      <c r="A420" s="239">
        <v>900</v>
      </c>
      <c r="B420" s="193">
        <v>1.1000000000000001</v>
      </c>
      <c r="C420" s="193">
        <v>1.6</v>
      </c>
      <c r="D420" s="194">
        <v>2</v>
      </c>
      <c r="E420" s="193">
        <v>2.2000000000000002</v>
      </c>
      <c r="F420" s="195">
        <v>2.4</v>
      </c>
      <c r="G420" s="184"/>
      <c r="H420" s="184"/>
      <c r="I420" s="184"/>
    </row>
    <row r="421" spans="1:9" s="183" customFormat="1" outlineLevel="1">
      <c r="A421" s="239">
        <v>1000</v>
      </c>
      <c r="B421" s="193">
        <v>1</v>
      </c>
      <c r="C421" s="193">
        <v>1.3</v>
      </c>
      <c r="D421" s="194">
        <v>1.7</v>
      </c>
      <c r="E421" s="193">
        <v>1.9</v>
      </c>
      <c r="F421" s="196">
        <v>1.9</v>
      </c>
      <c r="G421" s="184"/>
      <c r="H421" s="184"/>
      <c r="I421" s="184"/>
    </row>
    <row r="422" spans="1:9" s="183" customFormat="1" outlineLevel="1">
      <c r="A422" s="240">
        <v>1200</v>
      </c>
      <c r="B422" s="193">
        <v>0.9</v>
      </c>
      <c r="C422" s="194">
        <v>1.3</v>
      </c>
      <c r="D422" s="194">
        <v>1.5</v>
      </c>
      <c r="E422" s="193">
        <v>1.6</v>
      </c>
      <c r="F422" s="196">
        <v>1.7</v>
      </c>
      <c r="G422" s="184"/>
      <c r="H422" s="184"/>
      <c r="I422" s="184"/>
    </row>
    <row r="423" spans="1:9" s="183" customFormat="1" outlineLevel="1">
      <c r="A423" s="239">
        <v>1400</v>
      </c>
      <c r="B423" s="193">
        <v>0.9</v>
      </c>
      <c r="C423" s="194">
        <v>1.2</v>
      </c>
      <c r="D423" s="193">
        <v>1.4</v>
      </c>
      <c r="E423" s="193">
        <v>1.4</v>
      </c>
      <c r="F423" s="196">
        <v>1.5</v>
      </c>
      <c r="G423" s="184"/>
      <c r="H423" s="184"/>
      <c r="I423" s="184"/>
    </row>
    <row r="424" spans="1:9" s="183" customFormat="1" outlineLevel="1">
      <c r="A424" s="241">
        <v>1600</v>
      </c>
      <c r="B424" s="197">
        <v>0.9</v>
      </c>
      <c r="C424" s="198">
        <v>1.1000000000000001</v>
      </c>
      <c r="D424" s="198">
        <v>1.2</v>
      </c>
      <c r="E424" s="197">
        <v>1.2</v>
      </c>
      <c r="F424" s="199">
        <v>1.3</v>
      </c>
      <c r="G424" s="184"/>
      <c r="H424" s="184"/>
      <c r="I424" s="184"/>
    </row>
    <row r="425" spans="1:9" s="183" customFormat="1" outlineLevel="1">
      <c r="A425" s="186" t="s">
        <v>236</v>
      </c>
      <c r="B425" s="203">
        <v>0.2</v>
      </c>
      <c r="C425" s="204">
        <v>0.4</v>
      </c>
      <c r="D425" s="205">
        <v>0.6</v>
      </c>
      <c r="E425" s="204">
        <v>0.8</v>
      </c>
      <c r="F425" s="206">
        <v>1</v>
      </c>
      <c r="G425" s="184"/>
      <c r="H425" s="184"/>
      <c r="I425" s="184"/>
    </row>
    <row r="426" spans="1:9" s="183" customFormat="1" outlineLevel="1">
      <c r="A426" s="242">
        <v>100</v>
      </c>
      <c r="B426" s="191">
        <v>1.2</v>
      </c>
      <c r="C426" s="191">
        <v>2.7</v>
      </c>
      <c r="D426" s="191">
        <v>4</v>
      </c>
      <c r="E426" s="191">
        <v>4.5</v>
      </c>
      <c r="F426" s="200">
        <v>4.7</v>
      </c>
      <c r="G426" s="184"/>
      <c r="H426" s="184"/>
      <c r="I426" s="184"/>
    </row>
    <row r="427" spans="1:9" s="183" customFormat="1" outlineLevel="1">
      <c r="A427" s="243">
        <v>200</v>
      </c>
      <c r="B427" s="193">
        <v>3</v>
      </c>
      <c r="C427" s="194">
        <v>4.5999999999999996</v>
      </c>
      <c r="D427" s="194">
        <v>5.9</v>
      </c>
      <c r="E427" s="193">
        <v>6.4</v>
      </c>
      <c r="F427" s="195">
        <v>6.7</v>
      </c>
      <c r="G427" s="184"/>
      <c r="H427" s="184"/>
      <c r="I427" s="184"/>
    </row>
    <row r="428" spans="1:9" s="183" customFormat="1" outlineLevel="1">
      <c r="A428" s="244">
        <v>400</v>
      </c>
      <c r="B428" s="193">
        <v>2.2999999999999998</v>
      </c>
      <c r="C428" s="194">
        <v>3.3</v>
      </c>
      <c r="D428" s="194">
        <v>4.0999999999999996</v>
      </c>
      <c r="E428" s="194">
        <v>4.4000000000000004</v>
      </c>
      <c r="F428" s="196">
        <v>4.5999999999999996</v>
      </c>
      <c r="G428" s="184"/>
      <c r="H428" s="184"/>
      <c r="I428" s="184"/>
    </row>
    <row r="429" spans="1:9" s="183" customFormat="1" outlineLevel="1">
      <c r="A429" s="243">
        <v>600</v>
      </c>
      <c r="B429" s="193">
        <v>1.8</v>
      </c>
      <c r="C429" s="194">
        <v>2.1</v>
      </c>
      <c r="D429" s="194">
        <v>2.6</v>
      </c>
      <c r="E429" s="193">
        <v>3</v>
      </c>
      <c r="F429" s="195">
        <v>3.2</v>
      </c>
      <c r="G429" s="184"/>
      <c r="H429" s="184"/>
      <c r="I429" s="184"/>
    </row>
    <row r="430" spans="1:9" s="183" customFormat="1" outlineLevel="1">
      <c r="A430" s="243">
        <v>900</v>
      </c>
      <c r="B430" s="193">
        <v>0.9</v>
      </c>
      <c r="C430" s="194">
        <v>1.4</v>
      </c>
      <c r="D430" s="194">
        <v>1.8</v>
      </c>
      <c r="E430" s="193">
        <v>2.1</v>
      </c>
      <c r="F430" s="195">
        <v>2.2999999999999998</v>
      </c>
      <c r="G430" s="184"/>
      <c r="H430" s="184"/>
      <c r="I430" s="184"/>
    </row>
    <row r="431" spans="1:9" s="183" customFormat="1" outlineLevel="1">
      <c r="A431" s="243">
        <v>1000</v>
      </c>
      <c r="B431" s="193">
        <v>0.9</v>
      </c>
      <c r="C431" s="193">
        <v>1.1000000000000001</v>
      </c>
      <c r="D431" s="193">
        <v>1.5</v>
      </c>
      <c r="E431" s="193">
        <v>1.7</v>
      </c>
      <c r="F431" s="196">
        <v>1.9</v>
      </c>
      <c r="G431" s="184"/>
      <c r="H431" s="184"/>
      <c r="I431" s="184"/>
    </row>
    <row r="432" spans="1:9" s="183" customFormat="1" outlineLevel="1">
      <c r="A432" s="243">
        <v>1200</v>
      </c>
      <c r="B432" s="193">
        <v>0.8</v>
      </c>
      <c r="C432" s="207">
        <v>1.1000000000000001</v>
      </c>
      <c r="D432" s="193">
        <v>1.4</v>
      </c>
      <c r="E432" s="193">
        <v>1.5</v>
      </c>
      <c r="F432" s="196">
        <v>1.7</v>
      </c>
      <c r="G432" s="184"/>
      <c r="H432" s="184"/>
      <c r="I432" s="184"/>
    </row>
    <row r="433" spans="1:9" s="183" customFormat="1" outlineLevel="1">
      <c r="A433" s="244">
        <v>1400</v>
      </c>
      <c r="B433" s="193">
        <v>0.8</v>
      </c>
      <c r="C433" s="194">
        <v>1</v>
      </c>
      <c r="D433" s="194">
        <v>1.3</v>
      </c>
      <c r="E433" s="193">
        <v>1.3</v>
      </c>
      <c r="F433" s="196">
        <v>1.4</v>
      </c>
      <c r="G433" s="184"/>
      <c r="H433" s="184"/>
      <c r="I433" s="184"/>
    </row>
    <row r="434" spans="1:9" s="183" customFormat="1" outlineLevel="1">
      <c r="A434" s="245">
        <v>1600</v>
      </c>
      <c r="B434" s="197">
        <v>0.8</v>
      </c>
      <c r="C434" s="197">
        <v>1</v>
      </c>
      <c r="D434" s="197">
        <v>1.1000000000000001</v>
      </c>
      <c r="E434" s="197">
        <v>1.1000000000000001</v>
      </c>
      <c r="F434" s="199">
        <v>1.2</v>
      </c>
      <c r="G434" s="184"/>
      <c r="H434" s="184"/>
      <c r="I434" s="184"/>
    </row>
    <row r="435" spans="1:9" s="183" customFormat="1" outlineLevel="1">
      <c r="A435" s="186" t="s">
        <v>237</v>
      </c>
      <c r="B435" s="186"/>
      <c r="C435" s="186"/>
      <c r="D435" s="186"/>
      <c r="E435" s="186"/>
      <c r="F435" s="186"/>
      <c r="G435" s="184"/>
      <c r="H435" s="184"/>
      <c r="I435" s="184"/>
    </row>
    <row r="436" spans="1:9" s="183" customFormat="1" outlineLevel="1">
      <c r="A436" s="238" t="s">
        <v>238</v>
      </c>
      <c r="B436" s="201">
        <v>0.8</v>
      </c>
      <c r="C436" s="191">
        <v>1.9</v>
      </c>
      <c r="D436" s="191">
        <v>3.6</v>
      </c>
      <c r="E436" s="191">
        <v>4.2</v>
      </c>
      <c r="F436" s="200">
        <v>4.4000000000000004</v>
      </c>
      <c r="G436" s="184"/>
      <c r="H436" s="184"/>
      <c r="I436" s="184"/>
    </row>
    <row r="437" spans="1:9" s="183" customFormat="1" outlineLevel="1">
      <c r="A437" s="239">
        <v>200</v>
      </c>
      <c r="B437" s="193">
        <v>2.4</v>
      </c>
      <c r="C437" s="194">
        <v>3.9</v>
      </c>
      <c r="D437" s="194">
        <v>5.6</v>
      </c>
      <c r="E437" s="193">
        <v>6.3</v>
      </c>
      <c r="F437" s="195">
        <v>6.6</v>
      </c>
      <c r="G437" s="184"/>
      <c r="H437" s="184"/>
      <c r="I437" s="184"/>
    </row>
    <row r="438" spans="1:9" s="183" customFormat="1" outlineLevel="1">
      <c r="A438" s="240">
        <v>400</v>
      </c>
      <c r="B438" s="193">
        <v>2.1</v>
      </c>
      <c r="C438" s="194">
        <v>3</v>
      </c>
      <c r="D438" s="194">
        <v>3.9</v>
      </c>
      <c r="E438" s="194">
        <v>4.3</v>
      </c>
      <c r="F438" s="196">
        <v>4.5</v>
      </c>
      <c r="G438" s="184"/>
      <c r="H438" s="184"/>
      <c r="I438" s="184"/>
    </row>
    <row r="439" spans="1:9" s="183" customFormat="1" outlineLevel="1">
      <c r="A439" s="239">
        <v>600</v>
      </c>
      <c r="B439" s="193">
        <v>1.4</v>
      </c>
      <c r="C439" s="193">
        <v>1.8</v>
      </c>
      <c r="D439" s="194">
        <v>2.5</v>
      </c>
      <c r="E439" s="193">
        <v>2.9</v>
      </c>
      <c r="F439" s="195">
        <v>3.1</v>
      </c>
      <c r="G439" s="184"/>
      <c r="H439" s="184"/>
      <c r="I439" s="184"/>
    </row>
    <row r="440" spans="1:9" s="183" customFormat="1" outlineLevel="1">
      <c r="A440" s="239">
        <v>900</v>
      </c>
      <c r="B440" s="193">
        <v>0.8</v>
      </c>
      <c r="C440" s="194">
        <v>1.1000000000000001</v>
      </c>
      <c r="D440" s="194">
        <v>1.7</v>
      </c>
      <c r="E440" s="193">
        <v>2</v>
      </c>
      <c r="F440" s="195">
        <v>2.2000000000000002</v>
      </c>
      <c r="G440" s="184"/>
      <c r="H440" s="184"/>
      <c r="I440" s="184"/>
    </row>
    <row r="441" spans="1:9" s="183" customFormat="1" outlineLevel="1">
      <c r="A441" s="239">
        <v>1000</v>
      </c>
      <c r="B441" s="193">
        <v>0.8</v>
      </c>
      <c r="C441" s="193">
        <v>0.9</v>
      </c>
      <c r="D441" s="193">
        <v>1.3</v>
      </c>
      <c r="E441" s="193">
        <v>1.5</v>
      </c>
      <c r="F441" s="196">
        <v>1.8</v>
      </c>
      <c r="G441" s="184"/>
      <c r="H441" s="184"/>
      <c r="I441" s="184"/>
    </row>
    <row r="442" spans="1:9" s="183" customFormat="1" outlineLevel="1">
      <c r="A442" s="239">
        <v>1200</v>
      </c>
      <c r="B442" s="193">
        <v>0.8</v>
      </c>
      <c r="C442" s="193">
        <v>0.9</v>
      </c>
      <c r="D442" s="193">
        <v>1.2</v>
      </c>
      <c r="E442" s="193">
        <v>1.4</v>
      </c>
      <c r="F442" s="196">
        <v>1.6</v>
      </c>
      <c r="G442" s="184"/>
      <c r="H442" s="184"/>
      <c r="I442" s="184"/>
    </row>
    <row r="443" spans="1:9" s="183" customFormat="1" outlineLevel="1">
      <c r="A443" s="240">
        <v>1400</v>
      </c>
      <c r="B443" s="193">
        <v>0.8</v>
      </c>
      <c r="C443" s="193">
        <v>0.9</v>
      </c>
      <c r="D443" s="194">
        <v>1.1000000000000001</v>
      </c>
      <c r="E443" s="193">
        <v>1.2</v>
      </c>
      <c r="F443" s="196">
        <v>1.4</v>
      </c>
      <c r="G443" s="184"/>
      <c r="H443" s="184"/>
      <c r="I443" s="184"/>
    </row>
    <row r="444" spans="1:9" s="183" customFormat="1" outlineLevel="1">
      <c r="A444" s="241">
        <v>1600</v>
      </c>
      <c r="B444" s="197">
        <v>0.8</v>
      </c>
      <c r="C444" s="197">
        <v>0.8</v>
      </c>
      <c r="D444" s="197">
        <v>0.9</v>
      </c>
      <c r="E444" s="197">
        <v>0.9</v>
      </c>
      <c r="F444" s="199">
        <v>1.1000000000000001</v>
      </c>
      <c r="G444" s="184"/>
      <c r="H444" s="184"/>
      <c r="I444" s="184"/>
    </row>
    <row r="445" spans="1:9" s="183" customFormat="1" outlineLevel="1">
      <c r="A445" s="186" t="s">
        <v>239</v>
      </c>
      <c r="B445" s="186"/>
      <c r="C445" s="186"/>
      <c r="D445" s="186"/>
      <c r="E445" s="186"/>
      <c r="F445" s="186"/>
      <c r="G445" s="184"/>
      <c r="H445" s="184"/>
      <c r="I445" s="184"/>
    </row>
    <row r="446" spans="1:9" s="183" customFormat="1" outlineLevel="1">
      <c r="A446" s="238" t="s">
        <v>238</v>
      </c>
      <c r="B446" s="201">
        <v>0.3</v>
      </c>
      <c r="C446" s="191">
        <v>1.1000000000000001</v>
      </c>
      <c r="D446" s="191">
        <v>3.1</v>
      </c>
      <c r="E446" s="201">
        <v>3.9</v>
      </c>
      <c r="F446" s="200">
        <v>4.0999999999999996</v>
      </c>
      <c r="G446" s="184"/>
      <c r="H446" s="184"/>
      <c r="I446" s="184"/>
    </row>
    <row r="447" spans="1:9" s="183" customFormat="1" outlineLevel="1">
      <c r="A447" s="239">
        <v>200</v>
      </c>
      <c r="B447" s="193">
        <v>1.9</v>
      </c>
      <c r="C447" s="194">
        <v>3.2</v>
      </c>
      <c r="D447" s="194">
        <v>5.3</v>
      </c>
      <c r="E447" s="193">
        <v>6.2</v>
      </c>
      <c r="F447" s="195">
        <v>6.5</v>
      </c>
      <c r="G447" s="184"/>
      <c r="H447" s="184"/>
      <c r="I447" s="184"/>
    </row>
    <row r="448" spans="1:9" s="183" customFormat="1" outlineLevel="1">
      <c r="A448" s="240">
        <v>400</v>
      </c>
      <c r="B448" s="193">
        <v>1.8</v>
      </c>
      <c r="C448" s="194">
        <v>2.6</v>
      </c>
      <c r="D448" s="194">
        <v>3.5</v>
      </c>
      <c r="E448" s="194">
        <v>4.2</v>
      </c>
      <c r="F448" s="196">
        <v>4.4000000000000004</v>
      </c>
      <c r="G448" s="184"/>
      <c r="H448" s="184"/>
      <c r="I448" s="184"/>
    </row>
    <row r="449" spans="1:9" s="183" customFormat="1" outlineLevel="1">
      <c r="A449" s="239">
        <v>600</v>
      </c>
      <c r="B449" s="194">
        <v>1</v>
      </c>
      <c r="C449" s="194">
        <v>1.5</v>
      </c>
      <c r="D449" s="194">
        <v>2.2999999999999998</v>
      </c>
      <c r="E449" s="193">
        <v>2.8</v>
      </c>
      <c r="F449" s="195">
        <v>3</v>
      </c>
      <c r="G449" s="184"/>
      <c r="H449" s="184"/>
      <c r="I449" s="184"/>
    </row>
    <row r="450" spans="1:9" s="183" customFormat="1" outlineLevel="1">
      <c r="A450" s="239">
        <v>900</v>
      </c>
      <c r="B450" s="193">
        <v>0.6</v>
      </c>
      <c r="C450" s="193">
        <v>0.9</v>
      </c>
      <c r="D450" s="193">
        <v>1.5</v>
      </c>
      <c r="E450" s="193">
        <v>1.9</v>
      </c>
      <c r="F450" s="195">
        <v>2.1</v>
      </c>
      <c r="G450" s="184"/>
      <c r="H450" s="184"/>
      <c r="I450" s="184"/>
    </row>
    <row r="451" spans="1:9" s="183" customFormat="1" outlineLevel="1">
      <c r="A451" s="240">
        <v>1000</v>
      </c>
      <c r="B451" s="193">
        <v>0.6</v>
      </c>
      <c r="C451" s="193">
        <v>0.7</v>
      </c>
      <c r="D451" s="194">
        <v>1.1000000000000001</v>
      </c>
      <c r="E451" s="193">
        <v>1.4</v>
      </c>
      <c r="F451" s="196">
        <v>1.9</v>
      </c>
      <c r="G451" s="184"/>
      <c r="H451" s="184"/>
      <c r="I451" s="184"/>
    </row>
    <row r="452" spans="1:9" s="183" customFormat="1" outlineLevel="1">
      <c r="A452" s="239">
        <v>1200</v>
      </c>
      <c r="B452" s="193">
        <v>0.6</v>
      </c>
      <c r="C452" s="193">
        <v>0.7</v>
      </c>
      <c r="D452" s="193">
        <v>1.1000000000000001</v>
      </c>
      <c r="E452" s="193">
        <v>1.3</v>
      </c>
      <c r="F452" s="196">
        <v>1.6</v>
      </c>
      <c r="G452" s="184"/>
      <c r="H452" s="184"/>
      <c r="I452" s="184"/>
    </row>
    <row r="453" spans="1:9" s="183" customFormat="1" outlineLevel="1">
      <c r="A453" s="239">
        <v>1400</v>
      </c>
      <c r="B453" s="193">
        <v>0.6</v>
      </c>
      <c r="C453" s="193">
        <v>0.7</v>
      </c>
      <c r="D453" s="193">
        <v>1</v>
      </c>
      <c r="E453" s="193">
        <v>1.1000000000000001</v>
      </c>
      <c r="F453" s="196">
        <v>1.3</v>
      </c>
      <c r="G453" s="184"/>
      <c r="H453" s="184"/>
      <c r="I453" s="184"/>
    </row>
    <row r="454" spans="1:9" s="183" customFormat="1" outlineLevel="1">
      <c r="A454" s="241">
        <v>1600</v>
      </c>
      <c r="B454" s="197">
        <v>0.6</v>
      </c>
      <c r="C454" s="197">
        <v>0.7</v>
      </c>
      <c r="D454" s="197">
        <v>0.9</v>
      </c>
      <c r="E454" s="197">
        <v>0.8</v>
      </c>
      <c r="F454" s="199">
        <v>1</v>
      </c>
      <c r="G454" s="184"/>
      <c r="H454" s="184"/>
      <c r="I454" s="184"/>
    </row>
    <row r="455" spans="1:9" s="183" customFormat="1" outlineLevel="1">
      <c r="A455" s="186" t="s">
        <v>240</v>
      </c>
      <c r="B455" s="186"/>
      <c r="C455" s="186"/>
      <c r="D455" s="186"/>
      <c r="E455" s="186"/>
      <c r="F455" s="186"/>
      <c r="G455" s="184"/>
      <c r="H455" s="184"/>
      <c r="I455" s="184"/>
    </row>
    <row r="456" spans="1:9" s="183" customFormat="1" outlineLevel="1">
      <c r="A456" s="238" t="s">
        <v>235</v>
      </c>
      <c r="B456" s="201">
        <v>0.1</v>
      </c>
      <c r="C456" s="201">
        <v>0.6</v>
      </c>
      <c r="D456" s="191">
        <v>2.7</v>
      </c>
      <c r="E456" s="201">
        <v>3.6</v>
      </c>
      <c r="F456" s="192">
        <v>3.9</v>
      </c>
      <c r="G456" s="184"/>
      <c r="H456" s="184"/>
      <c r="I456" s="184"/>
    </row>
    <row r="457" spans="1:9" s="183" customFormat="1" outlineLevel="1">
      <c r="A457" s="239">
        <v>200</v>
      </c>
      <c r="B457" s="194">
        <v>1.5</v>
      </c>
      <c r="C457" s="194">
        <v>2.6</v>
      </c>
      <c r="D457" s="194">
        <v>5</v>
      </c>
      <c r="E457" s="193">
        <v>6.1</v>
      </c>
      <c r="F457" s="195">
        <v>6.4</v>
      </c>
      <c r="G457" s="184"/>
      <c r="H457" s="184"/>
      <c r="I457" s="184"/>
    </row>
    <row r="458" spans="1:9" s="183" customFormat="1" outlineLevel="1">
      <c r="A458" s="240">
        <v>400</v>
      </c>
      <c r="B458" s="194">
        <v>1.5</v>
      </c>
      <c r="C458" s="193">
        <v>0.8</v>
      </c>
      <c r="D458" s="194">
        <v>3.2</v>
      </c>
      <c r="E458" s="194">
        <v>4.0999999999999996</v>
      </c>
      <c r="F458" s="196">
        <v>4.3</v>
      </c>
      <c r="G458" s="184"/>
      <c r="H458" s="184"/>
      <c r="I458" s="184"/>
    </row>
    <row r="459" spans="1:9" s="183" customFormat="1" outlineLevel="1">
      <c r="A459" s="239">
        <v>600</v>
      </c>
      <c r="B459" s="193">
        <v>0.7</v>
      </c>
      <c r="C459" s="193">
        <v>0.5</v>
      </c>
      <c r="D459" s="194">
        <v>2.1</v>
      </c>
      <c r="E459" s="193">
        <v>2.7</v>
      </c>
      <c r="F459" s="195">
        <v>2.9</v>
      </c>
      <c r="G459" s="184"/>
      <c r="H459" s="184"/>
      <c r="I459" s="184"/>
    </row>
    <row r="460" spans="1:9" s="183" customFormat="1" outlineLevel="1">
      <c r="A460" s="239">
        <v>900</v>
      </c>
      <c r="B460" s="193">
        <v>0.5</v>
      </c>
      <c r="C460" s="193">
        <v>0.5</v>
      </c>
      <c r="D460" s="194">
        <v>1.3</v>
      </c>
      <c r="E460" s="193">
        <v>1.8</v>
      </c>
      <c r="F460" s="195">
        <v>2</v>
      </c>
      <c r="G460" s="184"/>
      <c r="H460" s="184"/>
      <c r="I460" s="184"/>
    </row>
    <row r="461" spans="1:9" s="183" customFormat="1" outlineLevel="1">
      <c r="A461" s="239">
        <v>1000</v>
      </c>
      <c r="B461" s="193">
        <v>0.5</v>
      </c>
      <c r="C461" s="193">
        <v>0.5</v>
      </c>
      <c r="D461" s="193">
        <v>1</v>
      </c>
      <c r="E461" s="193">
        <v>1.3</v>
      </c>
      <c r="F461" s="196">
        <v>1.9</v>
      </c>
      <c r="G461" s="184"/>
      <c r="H461" s="184"/>
      <c r="I461" s="184"/>
    </row>
    <row r="462" spans="1:9" s="183" customFormat="1" outlineLevel="1">
      <c r="A462" s="240">
        <v>1200</v>
      </c>
      <c r="B462" s="193">
        <v>0.5</v>
      </c>
      <c r="C462" s="193">
        <v>0.5</v>
      </c>
      <c r="D462" s="194">
        <v>1</v>
      </c>
      <c r="E462" s="193">
        <v>1.2</v>
      </c>
      <c r="F462" s="196">
        <v>1.6</v>
      </c>
      <c r="G462" s="184"/>
      <c r="H462" s="184"/>
      <c r="I462" s="184"/>
    </row>
    <row r="463" spans="1:9" s="183" customFormat="1" outlineLevel="1">
      <c r="A463" s="240">
        <v>1400</v>
      </c>
      <c r="B463" s="193">
        <v>0.5</v>
      </c>
      <c r="C463" s="193">
        <v>0.5</v>
      </c>
      <c r="D463" s="194">
        <v>1</v>
      </c>
      <c r="E463" s="193">
        <v>1</v>
      </c>
      <c r="F463" s="196">
        <v>1.2</v>
      </c>
      <c r="G463" s="184"/>
      <c r="H463" s="184"/>
      <c r="I463" s="184"/>
    </row>
    <row r="464" spans="1:9" s="183" customFormat="1" outlineLevel="1">
      <c r="A464" s="241">
        <v>1600</v>
      </c>
      <c r="B464" s="197">
        <v>0.5</v>
      </c>
      <c r="C464" s="197">
        <v>0.5</v>
      </c>
      <c r="D464" s="197">
        <v>0.7</v>
      </c>
      <c r="E464" s="197">
        <v>0.7</v>
      </c>
      <c r="F464" s="202">
        <v>0.9</v>
      </c>
      <c r="G464" s="184"/>
      <c r="H464" s="184"/>
      <c r="I464" s="184"/>
    </row>
    <row r="465" spans="1:9" s="183" customFormat="1" outlineLevel="1">
      <c r="A465" s="246"/>
      <c r="B465" s="228"/>
      <c r="C465" s="228"/>
      <c r="D465" s="228"/>
      <c r="E465" s="228"/>
      <c r="F465" s="228"/>
      <c r="G465" s="184"/>
      <c r="H465" s="184"/>
      <c r="I465" s="184"/>
    </row>
    <row r="466" spans="1:9" s="183" customFormat="1" outlineLevel="1">
      <c r="A466" s="246"/>
      <c r="B466" s="228"/>
      <c r="C466" s="228"/>
      <c r="D466" s="228"/>
      <c r="E466" s="228"/>
      <c r="F466" s="228"/>
      <c r="G466" s="184"/>
      <c r="H466" s="184"/>
      <c r="I466" s="184"/>
    </row>
    <row r="467" spans="1:9" s="183" customFormat="1" outlineLevel="1">
      <c r="A467" s="246"/>
      <c r="B467" s="228"/>
      <c r="C467" s="228"/>
      <c r="D467" s="228"/>
      <c r="E467" s="228"/>
      <c r="F467" s="228"/>
      <c r="G467" s="184"/>
      <c r="H467" s="184"/>
      <c r="I467" s="184"/>
    </row>
    <row r="468" spans="1:9" s="183" customFormat="1" outlineLevel="1">
      <c r="A468" s="246"/>
      <c r="B468" s="228"/>
      <c r="C468" s="228"/>
      <c r="D468" s="228"/>
      <c r="E468" s="228"/>
      <c r="F468" s="228"/>
      <c r="G468" s="184"/>
      <c r="H468" s="184"/>
      <c r="I468" s="184"/>
    </row>
    <row r="469" spans="1:9" s="183" customFormat="1" outlineLevel="1">
      <c r="A469" s="246"/>
      <c r="B469" s="228"/>
      <c r="C469" s="228"/>
      <c r="D469" s="228"/>
      <c r="E469" s="228"/>
      <c r="F469" s="228"/>
      <c r="G469" s="184"/>
      <c r="H469" s="184"/>
      <c r="I469" s="184"/>
    </row>
    <row r="470" spans="1:9" s="183" customFormat="1" outlineLevel="1">
      <c r="A470" s="246"/>
      <c r="B470" s="228"/>
      <c r="C470" s="228"/>
      <c r="D470" s="228"/>
      <c r="E470" s="228"/>
      <c r="F470" s="228"/>
      <c r="G470" s="184"/>
      <c r="H470" s="184"/>
      <c r="I470" s="184"/>
    </row>
    <row r="471" spans="1:9" outlineLevel="1">
      <c r="A471" s="233"/>
    </row>
    <row r="472" spans="1:9" outlineLevel="1">
      <c r="A472" s="237" t="s">
        <v>251</v>
      </c>
    </row>
    <row r="473" spans="1:9" outlineLevel="1">
      <c r="A473" s="613" t="s">
        <v>241</v>
      </c>
      <c r="B473" s="615" t="s">
        <v>242</v>
      </c>
      <c r="C473" s="616"/>
      <c r="D473" s="616"/>
      <c r="E473" s="616"/>
      <c r="F473" s="616"/>
    </row>
    <row r="474" spans="1:9" outlineLevel="1">
      <c r="A474" s="614"/>
      <c r="B474" s="208" t="s">
        <v>243</v>
      </c>
      <c r="C474" s="209">
        <v>40</v>
      </c>
      <c r="D474" s="210">
        <v>60</v>
      </c>
      <c r="E474" s="211">
        <v>80</v>
      </c>
      <c r="F474" s="212">
        <v>100</v>
      </c>
    </row>
    <row r="475" spans="1:9" outlineLevel="1">
      <c r="A475" s="247" t="s">
        <v>244</v>
      </c>
      <c r="B475" s="222"/>
      <c r="C475" s="222"/>
      <c r="D475" s="222"/>
      <c r="E475" s="222"/>
      <c r="F475" s="222"/>
    </row>
    <row r="476" spans="1:9" outlineLevel="1">
      <c r="A476" s="248" t="s">
        <v>245</v>
      </c>
      <c r="B476" s="213">
        <v>10.1</v>
      </c>
      <c r="C476" s="213">
        <v>17.2</v>
      </c>
      <c r="D476" s="221">
        <v>20.2</v>
      </c>
      <c r="E476" s="214">
        <v>21</v>
      </c>
      <c r="F476" s="214">
        <v>21.8</v>
      </c>
    </row>
    <row r="477" spans="1:9" outlineLevel="1">
      <c r="A477" s="249">
        <v>200</v>
      </c>
      <c r="B477" s="215">
        <v>12.4</v>
      </c>
      <c r="C477" s="215">
        <v>19</v>
      </c>
      <c r="D477" s="215">
        <v>22.7</v>
      </c>
      <c r="E477" s="217">
        <v>23.8</v>
      </c>
      <c r="F477" s="217">
        <v>24.8</v>
      </c>
    </row>
    <row r="478" spans="1:9" outlineLevel="1">
      <c r="A478" s="249">
        <v>400</v>
      </c>
      <c r="B478" s="216">
        <v>9</v>
      </c>
      <c r="C478" s="215">
        <v>12.3</v>
      </c>
      <c r="D478" s="215">
        <v>14.1</v>
      </c>
      <c r="E478" s="217">
        <v>14.4</v>
      </c>
      <c r="F478" s="217">
        <v>15.4</v>
      </c>
    </row>
    <row r="479" spans="1:9" outlineLevel="1">
      <c r="A479" s="250">
        <v>600</v>
      </c>
      <c r="B479" s="216">
        <v>5.3</v>
      </c>
      <c r="C479" s="216">
        <v>7.7</v>
      </c>
      <c r="D479" s="216">
        <v>9.1999999999999993</v>
      </c>
      <c r="E479" s="218">
        <v>9.6999999999999993</v>
      </c>
      <c r="F479" s="217">
        <v>10.4</v>
      </c>
    </row>
    <row r="480" spans="1:9" outlineLevel="1">
      <c r="A480" s="250">
        <v>800</v>
      </c>
      <c r="B480" s="216">
        <v>3</v>
      </c>
      <c r="C480" s="215">
        <v>4.5999999999999996</v>
      </c>
      <c r="D480" s="216">
        <v>5.7</v>
      </c>
      <c r="E480" s="218">
        <v>6.2</v>
      </c>
      <c r="F480" s="218">
        <v>6.7</v>
      </c>
    </row>
    <row r="481" spans="1:6" outlineLevel="1">
      <c r="A481" s="249">
        <v>1000</v>
      </c>
      <c r="B481" s="215">
        <v>1.8</v>
      </c>
      <c r="C481" s="216">
        <v>2.9</v>
      </c>
      <c r="D481" s="216">
        <v>3.7</v>
      </c>
      <c r="E481" s="217">
        <v>4.0999999999999996</v>
      </c>
      <c r="F481" s="217">
        <v>4.4000000000000004</v>
      </c>
    </row>
    <row r="482" spans="1:6" outlineLevel="1">
      <c r="A482" s="249">
        <v>1200</v>
      </c>
      <c r="B482" s="215">
        <v>1.3</v>
      </c>
      <c r="C482" s="215">
        <v>2</v>
      </c>
      <c r="D482" s="215">
        <v>2.6</v>
      </c>
      <c r="E482" s="217">
        <v>2.9</v>
      </c>
      <c r="F482" s="218">
        <v>3.1</v>
      </c>
    </row>
    <row r="483" spans="1:6" outlineLevel="1">
      <c r="A483" s="249">
        <v>1400</v>
      </c>
      <c r="B483" s="216">
        <v>0.9</v>
      </c>
      <c r="C483" s="215">
        <v>1.4</v>
      </c>
      <c r="D483" s="215">
        <v>1.7</v>
      </c>
      <c r="E483" s="217">
        <v>1.9</v>
      </c>
      <c r="F483" s="217">
        <v>2.1</v>
      </c>
    </row>
    <row r="484" spans="1:6" outlineLevel="1">
      <c r="A484" s="251">
        <v>1600</v>
      </c>
      <c r="B484" s="219">
        <v>0.7</v>
      </c>
      <c r="C484" s="219">
        <v>0.9</v>
      </c>
      <c r="D484" s="220">
        <v>1.1000000000000001</v>
      </c>
      <c r="E484" s="223">
        <v>1.2</v>
      </c>
      <c r="F484" s="223">
        <v>1.4</v>
      </c>
    </row>
    <row r="485" spans="1:6" outlineLevel="1">
      <c r="A485" s="247" t="s">
        <v>246</v>
      </c>
      <c r="B485" s="203">
        <v>0.2</v>
      </c>
      <c r="C485" s="204">
        <v>0.4</v>
      </c>
      <c r="D485" s="205">
        <v>0.6</v>
      </c>
      <c r="E485" s="204">
        <v>0.8</v>
      </c>
      <c r="F485" s="206">
        <v>1</v>
      </c>
    </row>
    <row r="486" spans="1:6" outlineLevel="1">
      <c r="A486" s="252">
        <v>100</v>
      </c>
      <c r="B486" s="221">
        <v>8.4</v>
      </c>
      <c r="C486" s="213">
        <v>14.9</v>
      </c>
      <c r="D486" s="213">
        <v>20.9</v>
      </c>
      <c r="E486" s="224">
        <v>22.8</v>
      </c>
      <c r="F486" s="224">
        <v>26.6</v>
      </c>
    </row>
    <row r="487" spans="1:6" outlineLevel="1">
      <c r="A487" s="253">
        <v>200</v>
      </c>
      <c r="B487" s="215">
        <v>11.5</v>
      </c>
      <c r="C487" s="215">
        <v>18.2</v>
      </c>
      <c r="D487" s="216">
        <v>24.1</v>
      </c>
      <c r="E487" s="218">
        <v>26.2</v>
      </c>
      <c r="F487" s="218">
        <v>29.7</v>
      </c>
    </row>
    <row r="488" spans="1:6" outlineLevel="1">
      <c r="A488" s="254">
        <v>400</v>
      </c>
      <c r="B488" s="216">
        <v>8.6</v>
      </c>
      <c r="C488" s="215">
        <v>12.1</v>
      </c>
      <c r="D488" s="215">
        <v>14.8</v>
      </c>
      <c r="E488" s="217">
        <v>15.9</v>
      </c>
      <c r="F488" s="217">
        <v>18.100000000000001</v>
      </c>
    </row>
    <row r="489" spans="1:6" outlineLevel="1">
      <c r="A489" s="253">
        <v>600</v>
      </c>
      <c r="B489" s="216">
        <v>5.0999999999999996</v>
      </c>
      <c r="C489" s="216">
        <v>7.5</v>
      </c>
      <c r="D489" s="216">
        <v>9.6</v>
      </c>
      <c r="E489" s="217">
        <v>10.6</v>
      </c>
      <c r="F489" s="217">
        <v>12.1</v>
      </c>
    </row>
    <row r="490" spans="1:6" outlineLevel="1">
      <c r="A490" s="253">
        <v>800</v>
      </c>
      <c r="B490" s="215">
        <v>2.8</v>
      </c>
      <c r="C490" s="215">
        <v>4.5</v>
      </c>
      <c r="D490" s="216">
        <v>5.9</v>
      </c>
      <c r="E490" s="218">
        <v>6.7</v>
      </c>
      <c r="F490" s="217">
        <v>7.7</v>
      </c>
    </row>
    <row r="491" spans="1:6" outlineLevel="1">
      <c r="A491" s="254">
        <v>1000</v>
      </c>
      <c r="B491" s="215">
        <v>1.6</v>
      </c>
      <c r="C491" s="215">
        <v>2.8</v>
      </c>
      <c r="D491" s="216">
        <v>3.7</v>
      </c>
      <c r="E491" s="217">
        <v>4.3</v>
      </c>
      <c r="F491" s="217">
        <v>4.9000000000000004</v>
      </c>
    </row>
    <row r="492" spans="1:6" outlineLevel="1">
      <c r="A492" s="254">
        <v>1200</v>
      </c>
      <c r="B492" s="215">
        <v>1.2</v>
      </c>
      <c r="C492" s="215">
        <v>1.9</v>
      </c>
      <c r="D492" s="216">
        <v>2.6</v>
      </c>
      <c r="E492" s="218">
        <v>3</v>
      </c>
      <c r="F492" s="218">
        <v>3.4</v>
      </c>
    </row>
    <row r="493" spans="1:6" outlineLevel="1">
      <c r="A493" s="254">
        <v>1400</v>
      </c>
      <c r="B493" s="216">
        <v>0.8</v>
      </c>
      <c r="C493" s="215">
        <v>1.3</v>
      </c>
      <c r="D493" s="225">
        <v>1.7</v>
      </c>
      <c r="E493" s="218">
        <v>2</v>
      </c>
      <c r="F493" s="218">
        <v>2.2999999999999998</v>
      </c>
    </row>
    <row r="494" spans="1:6" outlineLevel="1">
      <c r="A494" s="255">
        <v>1600</v>
      </c>
      <c r="B494" s="219">
        <v>0.6</v>
      </c>
      <c r="C494" s="219">
        <v>0.9</v>
      </c>
      <c r="D494" s="220">
        <v>1.1000000000000001</v>
      </c>
      <c r="E494" s="223">
        <v>1.2</v>
      </c>
      <c r="F494" s="223">
        <v>1.5</v>
      </c>
    </row>
    <row r="495" spans="1:6" outlineLevel="1">
      <c r="A495" s="247" t="s">
        <v>247</v>
      </c>
      <c r="B495" s="222"/>
      <c r="C495" s="222"/>
      <c r="D495" s="222"/>
      <c r="E495" s="222"/>
      <c r="F495" s="222"/>
    </row>
    <row r="496" spans="1:6" outlineLevel="1">
      <c r="A496" s="248" t="s">
        <v>248</v>
      </c>
      <c r="B496" s="221">
        <v>6.7</v>
      </c>
      <c r="C496" s="213">
        <v>12.7</v>
      </c>
      <c r="D496" s="221">
        <v>21.7</v>
      </c>
      <c r="E496" s="214">
        <v>24.5</v>
      </c>
      <c r="F496" s="214">
        <v>31.3</v>
      </c>
    </row>
    <row r="497" spans="1:6" outlineLevel="1">
      <c r="A497" s="250">
        <v>200</v>
      </c>
      <c r="B497" s="215">
        <v>10.5</v>
      </c>
      <c r="C497" s="225">
        <v>17.5</v>
      </c>
      <c r="D497" s="216">
        <v>25.4</v>
      </c>
      <c r="E497" s="218">
        <v>28.6</v>
      </c>
      <c r="F497" s="218">
        <v>34.700000000000003</v>
      </c>
    </row>
    <row r="498" spans="1:6" outlineLevel="1">
      <c r="A498" s="249">
        <v>400</v>
      </c>
      <c r="B498" s="216">
        <v>8.3000000000000007</v>
      </c>
      <c r="C498" s="225">
        <v>11.8</v>
      </c>
      <c r="D498" s="225">
        <v>15.5</v>
      </c>
      <c r="E498" s="226">
        <v>17.5</v>
      </c>
      <c r="F498" s="217">
        <v>20.7</v>
      </c>
    </row>
    <row r="499" spans="1:6" outlineLevel="1">
      <c r="A499" s="250">
        <v>600</v>
      </c>
      <c r="B499" s="215">
        <v>4.9000000000000004</v>
      </c>
      <c r="C499" s="215">
        <v>7.3</v>
      </c>
      <c r="D499" s="215">
        <v>10</v>
      </c>
      <c r="E499" s="217">
        <v>11.5</v>
      </c>
      <c r="F499" s="217">
        <v>13.9</v>
      </c>
    </row>
    <row r="500" spans="1:6" outlineLevel="1">
      <c r="A500" s="250">
        <v>800</v>
      </c>
      <c r="B500" s="216">
        <v>2.7</v>
      </c>
      <c r="C500" s="215">
        <v>4.3</v>
      </c>
      <c r="D500" s="216">
        <v>6.1</v>
      </c>
      <c r="E500" s="217">
        <v>7.2</v>
      </c>
      <c r="F500" s="218">
        <v>8.8000000000000007</v>
      </c>
    </row>
    <row r="501" spans="1:6" outlineLevel="1">
      <c r="A501" s="249">
        <v>1000</v>
      </c>
      <c r="B501" s="215">
        <v>1.5</v>
      </c>
      <c r="C501" s="216">
        <v>2.7</v>
      </c>
      <c r="D501" s="216">
        <v>3.8</v>
      </c>
      <c r="E501" s="217">
        <v>4.5</v>
      </c>
      <c r="F501" s="218">
        <v>5.4</v>
      </c>
    </row>
    <row r="502" spans="1:6" outlineLevel="1">
      <c r="A502" s="249">
        <v>1200</v>
      </c>
      <c r="B502" s="225">
        <v>1</v>
      </c>
      <c r="C502" s="225">
        <v>1.8</v>
      </c>
      <c r="D502" s="216">
        <v>2.6</v>
      </c>
      <c r="E502" s="218">
        <v>3.1</v>
      </c>
      <c r="F502" s="218">
        <v>3.8</v>
      </c>
    </row>
    <row r="503" spans="1:6" outlineLevel="1">
      <c r="A503" s="256">
        <v>1400</v>
      </c>
      <c r="B503" s="216">
        <v>0.7</v>
      </c>
      <c r="C503" s="215">
        <v>1.2</v>
      </c>
      <c r="D503" s="215">
        <v>1.7</v>
      </c>
      <c r="E503" s="217">
        <v>2</v>
      </c>
      <c r="F503" s="217">
        <v>2.4</v>
      </c>
    </row>
    <row r="504" spans="1:6" outlineLevel="1">
      <c r="A504" s="251">
        <v>1600</v>
      </c>
      <c r="B504" s="219">
        <v>0.6</v>
      </c>
      <c r="C504" s="219">
        <v>0.9</v>
      </c>
      <c r="D504" s="220">
        <v>1.2</v>
      </c>
      <c r="E504" s="223">
        <v>1.3</v>
      </c>
      <c r="F504" s="223">
        <v>1.5</v>
      </c>
    </row>
    <row r="505" spans="1:6" outlineLevel="1">
      <c r="A505" s="247" t="s">
        <v>249</v>
      </c>
      <c r="B505" s="222"/>
      <c r="C505" s="222"/>
      <c r="D505" s="222"/>
      <c r="E505" s="222"/>
      <c r="F505" s="222"/>
    </row>
    <row r="506" spans="1:6" outlineLevel="1">
      <c r="A506" s="248" t="s">
        <v>248</v>
      </c>
      <c r="B506" s="221">
        <v>5</v>
      </c>
      <c r="C506" s="213">
        <v>10.4</v>
      </c>
      <c r="D506" s="213">
        <v>22.4</v>
      </c>
      <c r="E506" s="224">
        <v>26.3</v>
      </c>
      <c r="F506" s="214">
        <v>36.1</v>
      </c>
    </row>
    <row r="507" spans="1:6" outlineLevel="1">
      <c r="A507" s="249">
        <v>200</v>
      </c>
      <c r="B507" s="216">
        <v>9.6</v>
      </c>
      <c r="C507" s="215">
        <v>16.7</v>
      </c>
      <c r="D507" s="215">
        <v>26.8</v>
      </c>
      <c r="E507" s="218">
        <v>31</v>
      </c>
      <c r="F507" s="218">
        <v>39.6</v>
      </c>
    </row>
    <row r="508" spans="1:6" outlineLevel="1">
      <c r="A508" s="249">
        <v>400</v>
      </c>
      <c r="B508" s="215">
        <v>7.9</v>
      </c>
      <c r="C508" s="215">
        <v>11.6</v>
      </c>
      <c r="D508" s="215">
        <v>16.2</v>
      </c>
      <c r="E508" s="217">
        <v>19</v>
      </c>
      <c r="F508" s="218">
        <v>23.4</v>
      </c>
    </row>
    <row r="509" spans="1:6" outlineLevel="1">
      <c r="A509" s="250">
        <v>600</v>
      </c>
      <c r="B509" s="215">
        <v>4.7</v>
      </c>
      <c r="C509" s="216">
        <v>7.1</v>
      </c>
      <c r="D509" s="215">
        <v>10.4</v>
      </c>
      <c r="E509" s="217">
        <v>12.4</v>
      </c>
      <c r="F509" s="217">
        <v>15.6</v>
      </c>
    </row>
    <row r="510" spans="1:6" outlineLevel="1">
      <c r="A510" s="250">
        <v>800</v>
      </c>
      <c r="B510" s="216">
        <v>2.5</v>
      </c>
      <c r="C510" s="215">
        <v>4.2</v>
      </c>
      <c r="D510" s="216">
        <v>6.3</v>
      </c>
      <c r="E510" s="218">
        <v>7.7</v>
      </c>
      <c r="F510" s="218">
        <v>9.8000000000000007</v>
      </c>
    </row>
    <row r="511" spans="1:6" outlineLevel="1">
      <c r="A511" s="249">
        <v>1000</v>
      </c>
      <c r="B511" s="215">
        <v>1.3</v>
      </c>
      <c r="C511" s="215">
        <v>2.6</v>
      </c>
      <c r="D511" s="216">
        <v>3.8</v>
      </c>
      <c r="E511" s="217">
        <v>4.7</v>
      </c>
      <c r="F511" s="218">
        <v>5.9</v>
      </c>
    </row>
    <row r="512" spans="1:6" outlineLevel="1">
      <c r="A512" s="249">
        <v>1200</v>
      </c>
      <c r="B512" s="216">
        <v>0.9</v>
      </c>
      <c r="C512" s="215">
        <v>1.7</v>
      </c>
      <c r="D512" s="215">
        <v>2.6</v>
      </c>
      <c r="E512" s="218">
        <v>3.2</v>
      </c>
      <c r="F512" s="217">
        <v>4.0999999999999996</v>
      </c>
    </row>
    <row r="513" spans="1:9" outlineLevel="1">
      <c r="A513" s="249">
        <v>1400</v>
      </c>
      <c r="B513" s="216">
        <v>0.6</v>
      </c>
      <c r="C513" s="215">
        <v>1.1000000000000001</v>
      </c>
      <c r="D513" s="215">
        <v>1.7</v>
      </c>
      <c r="E513" s="218">
        <v>2.1</v>
      </c>
      <c r="F513" s="218">
        <v>2.6</v>
      </c>
    </row>
    <row r="514" spans="1:9" outlineLevel="1">
      <c r="A514" s="251">
        <v>1600</v>
      </c>
      <c r="B514" s="219">
        <v>0.5</v>
      </c>
      <c r="C514" s="219">
        <v>0.9</v>
      </c>
      <c r="D514" s="220">
        <v>1.2</v>
      </c>
      <c r="E514" s="223">
        <v>1.3</v>
      </c>
      <c r="F514" s="223">
        <v>1.6</v>
      </c>
    </row>
    <row r="515" spans="1:9" outlineLevel="1">
      <c r="A515" s="247" t="s">
        <v>250</v>
      </c>
      <c r="B515" s="222"/>
      <c r="C515" s="222"/>
      <c r="D515" s="222"/>
      <c r="E515" s="222"/>
      <c r="F515" s="222"/>
    </row>
    <row r="516" spans="1:9" outlineLevel="1">
      <c r="A516" s="248" t="s">
        <v>248</v>
      </c>
      <c r="B516" s="221">
        <v>3.7</v>
      </c>
      <c r="C516" s="221">
        <v>8.5</v>
      </c>
      <c r="D516" s="213">
        <v>23.2</v>
      </c>
      <c r="E516" s="224">
        <v>28.2</v>
      </c>
      <c r="F516" s="224">
        <v>41.6</v>
      </c>
    </row>
    <row r="517" spans="1:9" outlineLevel="1">
      <c r="A517" s="250">
        <v>200</v>
      </c>
      <c r="B517" s="216">
        <v>8.6999999999999993</v>
      </c>
      <c r="C517" s="215">
        <v>16</v>
      </c>
      <c r="D517" s="216">
        <v>28.2</v>
      </c>
      <c r="E517" s="218">
        <v>33.6</v>
      </c>
      <c r="F517" s="217">
        <v>45.2</v>
      </c>
    </row>
    <row r="518" spans="1:9" outlineLevel="1">
      <c r="A518" s="249">
        <v>400</v>
      </c>
      <c r="B518" s="216">
        <v>7.5</v>
      </c>
      <c r="C518" s="215">
        <v>11.4</v>
      </c>
      <c r="D518" s="215">
        <v>16.899999999999999</v>
      </c>
      <c r="E518" s="218">
        <v>20.7</v>
      </c>
      <c r="F518" s="218">
        <v>26.4</v>
      </c>
    </row>
    <row r="519" spans="1:9" outlineLevel="1">
      <c r="A519" s="250">
        <v>600</v>
      </c>
      <c r="B519" s="215">
        <v>4.5</v>
      </c>
      <c r="C519" s="216">
        <v>6.9</v>
      </c>
      <c r="D519" s="215">
        <v>10.8</v>
      </c>
      <c r="E519" s="226">
        <v>13.4</v>
      </c>
      <c r="F519" s="217">
        <v>17.600000000000001</v>
      </c>
    </row>
    <row r="520" spans="1:9" outlineLevel="1">
      <c r="A520" s="250">
        <v>800</v>
      </c>
      <c r="B520" s="215">
        <v>2.2999999999999998</v>
      </c>
      <c r="C520" s="215">
        <v>4.0999999999999996</v>
      </c>
      <c r="D520" s="216">
        <v>6.5</v>
      </c>
      <c r="E520" s="218">
        <v>8.1999999999999993</v>
      </c>
      <c r="F520" s="217">
        <v>11</v>
      </c>
    </row>
    <row r="521" spans="1:9" outlineLevel="1">
      <c r="A521" s="249">
        <v>1000</v>
      </c>
      <c r="B521" s="215">
        <v>1.2</v>
      </c>
      <c r="C521" s="216">
        <v>2.5</v>
      </c>
      <c r="D521" s="216">
        <v>3.8</v>
      </c>
      <c r="E521" s="217">
        <v>4.9000000000000004</v>
      </c>
      <c r="F521" s="218">
        <v>6.4</v>
      </c>
    </row>
    <row r="522" spans="1:9" outlineLevel="1">
      <c r="A522" s="249">
        <v>1200</v>
      </c>
      <c r="B522" s="216">
        <v>0.8</v>
      </c>
      <c r="C522" s="215">
        <v>1.6</v>
      </c>
      <c r="D522" s="216">
        <v>2.6</v>
      </c>
      <c r="E522" s="218">
        <v>3.3</v>
      </c>
      <c r="F522" s="217">
        <v>4.5</v>
      </c>
    </row>
    <row r="523" spans="1:9" outlineLevel="1">
      <c r="A523" s="249">
        <v>1400</v>
      </c>
      <c r="B523" s="216">
        <v>0.5</v>
      </c>
      <c r="C523" s="215">
        <v>1</v>
      </c>
      <c r="D523" s="215">
        <v>1.7</v>
      </c>
      <c r="E523" s="218">
        <v>2.2000000000000002</v>
      </c>
      <c r="F523" s="218">
        <v>2.8</v>
      </c>
    </row>
    <row r="524" spans="1:9" outlineLevel="1">
      <c r="A524" s="257">
        <v>1600</v>
      </c>
      <c r="B524" s="219">
        <v>0.4</v>
      </c>
      <c r="C524" s="219">
        <v>0.9</v>
      </c>
      <c r="D524" s="227">
        <v>1.2</v>
      </c>
      <c r="E524" s="223">
        <v>1.3</v>
      </c>
      <c r="F524" s="223">
        <v>1.7</v>
      </c>
    </row>
    <row r="525" spans="1:9" outlineLevel="1">
      <c r="A525" s="233"/>
    </row>
    <row r="526" spans="1:9" outlineLevel="1">
      <c r="A526" s="237" t="s">
        <v>252</v>
      </c>
      <c r="E526" s="2"/>
      <c r="G526" s="3"/>
      <c r="H526" s="3"/>
      <c r="I526" s="3"/>
    </row>
    <row r="527" spans="1:9" outlineLevel="1">
      <c r="A527" s="613" t="s">
        <v>241</v>
      </c>
      <c r="B527" s="229"/>
      <c r="C527" s="230"/>
      <c r="E527" s="2"/>
      <c r="G527" s="3"/>
      <c r="H527" s="3"/>
      <c r="I527" s="3"/>
    </row>
    <row r="528" spans="1:9" outlineLevel="1">
      <c r="A528" s="614"/>
      <c r="B528" s="231" t="s">
        <v>253</v>
      </c>
      <c r="C528" s="209" t="s">
        <v>254</v>
      </c>
      <c r="E528" s="2"/>
      <c r="G528" s="3"/>
      <c r="H528" s="3"/>
      <c r="I528" s="3"/>
    </row>
    <row r="529" spans="1:20" outlineLevel="1">
      <c r="A529" s="250">
        <v>200</v>
      </c>
      <c r="B529" s="232">
        <f>-1*D529/1000</f>
        <v>-1.2999999999999999E-2</v>
      </c>
      <c r="C529" s="232">
        <f>E529/1000</f>
        <v>0.66800000000000004</v>
      </c>
      <c r="D529" s="2">
        <v>13</v>
      </c>
      <c r="E529" s="2">
        <v>668</v>
      </c>
      <c r="G529" s="3"/>
      <c r="H529" s="3"/>
      <c r="I529" s="3"/>
    </row>
    <row r="530" spans="1:20" outlineLevel="1">
      <c r="A530" s="249">
        <v>400</v>
      </c>
      <c r="B530" s="232">
        <f t="shared" ref="B530:B536" si="17">-1*D530/1000</f>
        <v>-5.7000000000000002E-2</v>
      </c>
      <c r="C530" s="232">
        <f t="shared" ref="C530:C536" si="18">E530/1000</f>
        <v>0.47899999999999998</v>
      </c>
      <c r="D530" s="2">
        <v>57</v>
      </c>
      <c r="E530" s="2">
        <v>479</v>
      </c>
      <c r="G530" s="3"/>
      <c r="H530" s="3"/>
      <c r="I530" s="3"/>
    </row>
    <row r="531" spans="1:20" outlineLevel="1">
      <c r="A531" s="250">
        <v>600</v>
      </c>
      <c r="B531" s="232">
        <f t="shared" si="17"/>
        <v>-0.1</v>
      </c>
      <c r="C531" s="232">
        <f t="shared" si="18"/>
        <v>0.41299999999999998</v>
      </c>
      <c r="D531" s="2">
        <v>100</v>
      </c>
      <c r="E531" s="2">
        <v>413</v>
      </c>
      <c r="G531" s="3"/>
      <c r="H531" s="3"/>
      <c r="I531" s="3"/>
    </row>
    <row r="532" spans="1:20" outlineLevel="1">
      <c r="A532" s="250">
        <v>800</v>
      </c>
      <c r="B532" s="232">
        <f t="shared" si="17"/>
        <v>-0.17299999999999999</v>
      </c>
      <c r="C532" s="232">
        <f t="shared" si="18"/>
        <v>0.34899999999999998</v>
      </c>
      <c r="D532" s="2">
        <v>173</v>
      </c>
      <c r="E532" s="2">
        <v>349</v>
      </c>
      <c r="G532" s="3"/>
      <c r="H532" s="3"/>
      <c r="I532" s="3"/>
    </row>
    <row r="533" spans="1:20" outlineLevel="1">
      <c r="A533" s="249">
        <v>1000</v>
      </c>
      <c r="B533" s="232">
        <f t="shared" si="17"/>
        <v>-0.32</v>
      </c>
      <c r="C533" s="232">
        <f t="shared" si="18"/>
        <v>0.27600000000000002</v>
      </c>
      <c r="D533" s="2">
        <v>320</v>
      </c>
      <c r="E533" s="2">
        <v>276</v>
      </c>
      <c r="G533" s="3"/>
      <c r="H533" s="3"/>
      <c r="I533" s="3"/>
    </row>
    <row r="534" spans="1:20" outlineLevel="1">
      <c r="A534" s="249">
        <v>1200</v>
      </c>
      <c r="B534" s="232">
        <f t="shared" si="17"/>
        <v>-0.43</v>
      </c>
      <c r="C534" s="232">
        <f t="shared" si="18"/>
        <v>0.24199999999999999</v>
      </c>
      <c r="D534" s="2">
        <v>430</v>
      </c>
      <c r="E534" s="2">
        <v>242</v>
      </c>
      <c r="G534" s="3"/>
      <c r="H534" s="3"/>
      <c r="I534" s="3"/>
    </row>
    <row r="535" spans="1:20" outlineLevel="1">
      <c r="A535" s="249">
        <v>1400</v>
      </c>
      <c r="B535" s="232">
        <f t="shared" si="17"/>
        <v>-0.52200000000000002</v>
      </c>
      <c r="C535" s="232">
        <f t="shared" si="18"/>
        <v>0.22500000000000001</v>
      </c>
      <c r="D535" s="2">
        <v>522</v>
      </c>
      <c r="E535" s="2">
        <v>225</v>
      </c>
      <c r="G535" s="3"/>
      <c r="H535" s="3"/>
      <c r="I535" s="3"/>
    </row>
    <row r="536" spans="1:20" outlineLevel="1">
      <c r="A536" s="257">
        <v>1600</v>
      </c>
      <c r="B536" s="232">
        <f t="shared" si="17"/>
        <v>-0.66500000000000004</v>
      </c>
      <c r="C536" s="232">
        <f t="shared" si="18"/>
        <v>0.19900000000000001</v>
      </c>
      <c r="D536" s="2">
        <v>665</v>
      </c>
      <c r="E536" s="2">
        <v>199</v>
      </c>
      <c r="G536" s="3"/>
      <c r="H536" s="3"/>
      <c r="I536" s="3"/>
    </row>
    <row r="537" spans="1:20" outlineLevel="1"/>
    <row r="538" spans="1:20">
      <c r="A538" s="62" t="s">
        <v>391</v>
      </c>
      <c r="B538" s="62"/>
      <c r="C538" s="62"/>
      <c r="D538" s="62"/>
      <c r="E538" s="62"/>
      <c r="F538" s="62"/>
      <c r="G538" s="62"/>
      <c r="H538" s="62"/>
      <c r="I538" s="62"/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T538" s="59"/>
    </row>
    <row r="539" spans="1:20" outlineLevel="1"/>
    <row r="540" spans="1:20" ht="19.5" customHeight="1" outlineLevel="1">
      <c r="A540" s="1" t="s">
        <v>274</v>
      </c>
      <c r="B540" s="1" t="s">
        <v>275</v>
      </c>
      <c r="C540" s="1" t="s">
        <v>276</v>
      </c>
      <c r="D540" s="1"/>
      <c r="F540" s="1"/>
      <c r="G540" s="1"/>
      <c r="H540" s="1"/>
      <c r="I540" s="1"/>
      <c r="J540" s="281"/>
      <c r="K540" s="281"/>
      <c r="L540" s="281"/>
    </row>
    <row r="541" spans="1:20" outlineLevel="1">
      <c r="A541" s="1"/>
      <c r="B541" s="289">
        <v>3</v>
      </c>
      <c r="C541" s="1">
        <v>10.6</v>
      </c>
      <c r="D541" s="1"/>
      <c r="F541" s="1"/>
      <c r="G541" s="1"/>
      <c r="H541" s="1"/>
      <c r="I541" s="1"/>
      <c r="J541" s="281"/>
      <c r="K541" s="281"/>
      <c r="L541" s="281"/>
    </row>
    <row r="542" spans="1:20" outlineLevel="1">
      <c r="A542" s="1"/>
      <c r="B542" s="289">
        <v>3.1</v>
      </c>
      <c r="C542" s="1">
        <v>8.1</v>
      </c>
      <c r="D542" s="1"/>
      <c r="F542" s="1"/>
      <c r="G542" s="1"/>
      <c r="H542" s="1"/>
      <c r="I542" s="1"/>
      <c r="J542" s="281"/>
      <c r="K542" s="281"/>
      <c r="L542" s="281"/>
    </row>
    <row r="543" spans="1:20" outlineLevel="1">
      <c r="A543" s="1"/>
      <c r="B543" s="289">
        <v>3.2</v>
      </c>
      <c r="C543" s="1">
        <v>5.6</v>
      </c>
      <c r="D543" s="1"/>
      <c r="F543" s="1"/>
      <c r="G543" s="1"/>
      <c r="H543" s="1"/>
      <c r="I543" s="1"/>
      <c r="J543" s="281"/>
      <c r="K543" s="281"/>
      <c r="L543" s="281"/>
    </row>
    <row r="544" spans="1:20" outlineLevel="1">
      <c r="A544" s="1"/>
      <c r="B544" s="289">
        <v>3.3</v>
      </c>
      <c r="C544" s="1">
        <v>3.1</v>
      </c>
      <c r="D544" s="1"/>
      <c r="F544" s="1"/>
      <c r="G544" s="1"/>
      <c r="H544" s="1"/>
      <c r="I544" s="1"/>
      <c r="J544" s="281"/>
      <c r="K544" s="281"/>
      <c r="L544" s="281"/>
    </row>
    <row r="545" spans="1:12" outlineLevel="1">
      <c r="A545" s="1"/>
      <c r="B545" s="289">
        <v>3.4</v>
      </c>
      <c r="C545" s="1">
        <v>2.1</v>
      </c>
      <c r="D545" s="1"/>
      <c r="F545" s="1"/>
      <c r="G545" s="1"/>
      <c r="H545" s="1"/>
      <c r="I545" s="1"/>
      <c r="J545" s="281"/>
      <c r="K545" s="281"/>
      <c r="L545" s="281"/>
    </row>
    <row r="546" spans="1:12" outlineLevel="1">
      <c r="A546" s="1"/>
      <c r="B546" s="289">
        <v>3.5</v>
      </c>
      <c r="C546" s="1">
        <v>1</v>
      </c>
      <c r="D546" s="1"/>
      <c r="F546" s="1"/>
      <c r="G546" s="1"/>
      <c r="H546" s="1"/>
      <c r="I546" s="1"/>
      <c r="J546" s="281"/>
      <c r="K546" s="281"/>
      <c r="L546" s="281"/>
    </row>
    <row r="547" spans="1:12" outlineLevel="1">
      <c r="A547" s="1"/>
      <c r="B547" s="289">
        <v>3.6</v>
      </c>
      <c r="C547" s="1">
        <v>0</v>
      </c>
      <c r="D547" s="1"/>
      <c r="F547" s="1"/>
      <c r="G547" s="1"/>
      <c r="H547" s="1"/>
      <c r="I547" s="1"/>
      <c r="J547" s="281"/>
      <c r="K547" s="281"/>
      <c r="L547" s="281"/>
    </row>
    <row r="548" spans="1:12" outlineLevel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281"/>
    </row>
    <row r="549" spans="1:12" ht="14.25" customHeight="1" outlineLevel="1">
      <c r="A549" s="1" t="s">
        <v>277</v>
      </c>
      <c r="B549" s="282" t="s">
        <v>278</v>
      </c>
      <c r="C549" s="1">
        <v>4</v>
      </c>
      <c r="D549" s="1">
        <v>6</v>
      </c>
      <c r="E549" s="1"/>
      <c r="I549" s="1"/>
      <c r="J549" s="1"/>
      <c r="K549" s="1"/>
      <c r="L549" s="281"/>
    </row>
    <row r="550" spans="1:12" ht="25.5" outlineLevel="1">
      <c r="A550" s="1"/>
      <c r="B550" s="477" t="s">
        <v>279</v>
      </c>
      <c r="C550" s="477" t="s">
        <v>280</v>
      </c>
      <c r="D550" s="477" t="s">
        <v>281</v>
      </c>
      <c r="E550" s="1"/>
      <c r="I550" s="1"/>
      <c r="J550" s="1"/>
      <c r="K550" s="1"/>
      <c r="L550" s="281"/>
    </row>
    <row r="551" spans="1:12" ht="12.75" customHeight="1" outlineLevel="1">
      <c r="A551" s="1"/>
      <c r="B551" s="283">
        <v>3.6</v>
      </c>
      <c r="C551" s="283">
        <v>0</v>
      </c>
      <c r="D551" s="283">
        <v>0</v>
      </c>
      <c r="E551" s="1"/>
      <c r="I551" s="1"/>
      <c r="J551" s="1"/>
      <c r="K551" s="1"/>
      <c r="L551" s="281"/>
    </row>
    <row r="552" spans="1:12" ht="12.75" customHeight="1" outlineLevel="1">
      <c r="A552" s="1"/>
      <c r="B552" s="1">
        <v>3.5</v>
      </c>
      <c r="C552" s="1">
        <f t="shared" ref="C552:C562" si="19">$C$551+(B552-$B$551)*($C$563-$C$551)/($B$563-$B$551)</f>
        <v>0.12500000000000008</v>
      </c>
      <c r="D552" s="1">
        <f t="shared" ref="D552:D562" si="20">$D$551+(B552-$B$551)*($D$563-$D$551)/($B$563-$B$551)</f>
        <v>0.12500000000000008</v>
      </c>
      <c r="E552" s="612" t="s">
        <v>282</v>
      </c>
      <c r="I552" s="1"/>
      <c r="J552" s="1"/>
      <c r="K552" s="1"/>
      <c r="L552" s="281"/>
    </row>
    <row r="553" spans="1:12" ht="12.75" customHeight="1" outlineLevel="1">
      <c r="A553" s="1"/>
      <c r="B553" s="1">
        <v>3.4</v>
      </c>
      <c r="C553" s="1">
        <f t="shared" si="19"/>
        <v>0.25000000000000017</v>
      </c>
      <c r="D553" s="1">
        <f t="shared" si="20"/>
        <v>0.25000000000000017</v>
      </c>
      <c r="E553" s="612"/>
      <c r="I553" s="1"/>
      <c r="J553" s="1"/>
      <c r="K553" s="1"/>
      <c r="L553" s="281"/>
    </row>
    <row r="554" spans="1:12" ht="12.75" customHeight="1" outlineLevel="1">
      <c r="A554" s="1"/>
      <c r="B554" s="1">
        <v>3.3</v>
      </c>
      <c r="C554" s="1">
        <f t="shared" si="19"/>
        <v>0.37500000000000028</v>
      </c>
      <c r="D554" s="1">
        <f t="shared" si="20"/>
        <v>0.37500000000000028</v>
      </c>
      <c r="E554" s="612"/>
      <c r="I554" s="1"/>
      <c r="J554" s="1"/>
      <c r="K554" s="1"/>
      <c r="L554" s="281"/>
    </row>
    <row r="555" spans="1:12" ht="12.75" customHeight="1" outlineLevel="1">
      <c r="A555" s="1"/>
      <c r="B555" s="1">
        <v>3.2</v>
      </c>
      <c r="C555" s="1">
        <f t="shared" si="19"/>
        <v>0.49999999999999983</v>
      </c>
      <c r="D555" s="1">
        <f t="shared" si="20"/>
        <v>0.49999999999999983</v>
      </c>
      <c r="E555" s="612"/>
      <c r="I555" s="1"/>
      <c r="J555" s="1"/>
      <c r="K555" s="1"/>
      <c r="L555" s="281"/>
    </row>
    <row r="556" spans="1:12" ht="12.75" customHeight="1" outlineLevel="1">
      <c r="A556" s="1"/>
      <c r="B556" s="1">
        <v>3.1</v>
      </c>
      <c r="C556" s="1">
        <f t="shared" si="19"/>
        <v>0.62499999999999989</v>
      </c>
      <c r="D556" s="1">
        <f t="shared" si="20"/>
        <v>0.62499999999999989</v>
      </c>
      <c r="E556" s="612"/>
      <c r="I556" s="1"/>
      <c r="J556" s="1"/>
      <c r="K556" s="1"/>
      <c r="L556" s="281"/>
    </row>
    <row r="557" spans="1:12" ht="12.75" customHeight="1" outlineLevel="1">
      <c r="A557" s="1"/>
      <c r="B557" s="1">
        <v>3</v>
      </c>
      <c r="C557" s="1">
        <f t="shared" si="19"/>
        <v>0.75</v>
      </c>
      <c r="D557" s="1">
        <f t="shared" si="20"/>
        <v>0.75</v>
      </c>
      <c r="E557" s="612"/>
      <c r="I557" s="1"/>
      <c r="J557" s="1"/>
      <c r="K557" s="1"/>
      <c r="L557" s="281"/>
    </row>
    <row r="558" spans="1:12" ht="12.75" customHeight="1" outlineLevel="1">
      <c r="A558" s="1"/>
      <c r="B558" s="1">
        <v>2.9</v>
      </c>
      <c r="C558" s="1">
        <f t="shared" si="19"/>
        <v>0.87500000000000011</v>
      </c>
      <c r="D558" s="1">
        <f t="shared" si="20"/>
        <v>0.87500000000000011</v>
      </c>
      <c r="E558" s="612"/>
      <c r="I558" s="1"/>
      <c r="J558" s="1"/>
      <c r="K558" s="1"/>
      <c r="L558" s="281"/>
    </row>
    <row r="559" spans="1:12" ht="12.75" customHeight="1" outlineLevel="1">
      <c r="A559" s="1"/>
      <c r="B559" s="1">
        <v>2.8</v>
      </c>
      <c r="C559" s="1">
        <f t="shared" si="19"/>
        <v>1.0000000000000002</v>
      </c>
      <c r="D559" s="1">
        <f t="shared" si="20"/>
        <v>1.0000000000000002</v>
      </c>
      <c r="E559" s="612"/>
      <c r="I559" s="1"/>
      <c r="J559" s="1"/>
      <c r="K559" s="1"/>
      <c r="L559" s="281"/>
    </row>
    <row r="560" spans="1:12" ht="12.75" customHeight="1" outlineLevel="1">
      <c r="A560" s="1"/>
      <c r="B560" s="1">
        <v>2.7</v>
      </c>
      <c r="C560" s="1">
        <f t="shared" si="19"/>
        <v>1.1249999999999998</v>
      </c>
      <c r="D560" s="1">
        <f t="shared" si="20"/>
        <v>1.1249999999999998</v>
      </c>
      <c r="E560" s="612"/>
      <c r="I560" s="1"/>
      <c r="J560" s="1"/>
      <c r="K560" s="1"/>
      <c r="L560" s="281"/>
    </row>
    <row r="561" spans="1:12" ht="12.75" customHeight="1" outlineLevel="1">
      <c r="A561" s="1"/>
      <c r="B561" s="1">
        <v>2.6</v>
      </c>
      <c r="C561" s="1">
        <f t="shared" si="19"/>
        <v>1.2499999999999998</v>
      </c>
      <c r="D561" s="1">
        <f t="shared" si="20"/>
        <v>1.2499999999999998</v>
      </c>
      <c r="E561" s="612"/>
      <c r="I561" s="1"/>
      <c r="J561" s="1"/>
      <c r="K561" s="1"/>
      <c r="L561" s="281"/>
    </row>
    <row r="562" spans="1:12" ht="12.75" customHeight="1" outlineLevel="1">
      <c r="A562" s="1"/>
      <c r="B562" s="1">
        <v>2.5</v>
      </c>
      <c r="C562" s="1">
        <f t="shared" si="19"/>
        <v>1.375</v>
      </c>
      <c r="D562" s="1">
        <f t="shared" si="20"/>
        <v>1.375</v>
      </c>
      <c r="E562" s="612"/>
      <c r="I562" s="1"/>
      <c r="J562" s="1"/>
      <c r="K562" s="1"/>
      <c r="L562" s="281"/>
    </row>
    <row r="563" spans="1:12" outlineLevel="1">
      <c r="A563" s="1"/>
      <c r="B563" s="283">
        <v>2.4</v>
      </c>
      <c r="C563" s="283">
        <v>1.5</v>
      </c>
      <c r="D563" s="283">
        <v>1.5</v>
      </c>
      <c r="E563" s="1"/>
      <c r="I563" s="1"/>
      <c r="J563" s="1"/>
      <c r="K563" s="1"/>
      <c r="L563" s="281"/>
    </row>
    <row r="564" spans="1:12" outlineLevel="1">
      <c r="A564" s="1"/>
      <c r="B564" s="1">
        <v>2.2999999999999998</v>
      </c>
      <c r="C564" s="1">
        <f>$C$563+(B564-$B$563)*($C$569-$C$563)/($B$569-$B$563)</f>
        <v>1.6</v>
      </c>
      <c r="D564" s="1">
        <f>$D$563+(B564-$B$563)*($D$569-$D$563)/($B$569-$B$563)</f>
        <v>1.6</v>
      </c>
      <c r="E564" s="612" t="s">
        <v>282</v>
      </c>
      <c r="I564" s="1"/>
      <c r="J564" s="1"/>
      <c r="K564" s="1"/>
      <c r="L564" s="281"/>
    </row>
    <row r="565" spans="1:12" outlineLevel="1">
      <c r="A565" s="1"/>
      <c r="B565" s="1">
        <v>2.2000000000000002</v>
      </c>
      <c r="C565" s="1">
        <f>$C$563+(B565-$B$563)*($C$569-$C$563)/($B$569-$B$563)</f>
        <v>1.6999999999999997</v>
      </c>
      <c r="D565" s="1">
        <f>$D$563+(B565-$B$563)*($D$569-$D$563)/($B$569-$B$563)</f>
        <v>1.6999999999999997</v>
      </c>
      <c r="E565" s="612"/>
      <c r="I565" s="1"/>
      <c r="J565" s="1"/>
      <c r="K565" s="1"/>
      <c r="L565" s="281"/>
    </row>
    <row r="566" spans="1:12" outlineLevel="1">
      <c r="A566" s="1"/>
      <c r="B566" s="1">
        <v>2.1</v>
      </c>
      <c r="C566" s="1">
        <f>$C$563+(B566-$B$563)*($C$569-$C$563)/($B$569-$B$563)</f>
        <v>1.7999999999999998</v>
      </c>
      <c r="D566" s="1">
        <f>$D$563+(B566-$B$563)*($D$569-$D$563)/($B$569-$B$563)</f>
        <v>1.7999999999999998</v>
      </c>
      <c r="E566" s="612"/>
      <c r="I566" s="1"/>
      <c r="J566" s="1"/>
      <c r="K566" s="1"/>
      <c r="L566" s="281"/>
    </row>
    <row r="567" spans="1:12" outlineLevel="1">
      <c r="A567" s="1"/>
      <c r="B567" s="1">
        <v>2</v>
      </c>
      <c r="C567" s="1">
        <f>$C$563+(B567-$B$563)*($C$569-$C$563)/($B$569-$B$563)</f>
        <v>1.9000000000000001</v>
      </c>
      <c r="D567" s="1">
        <f>$D$563+(B567-$B$563)*($D$569-$D$563)/($B$569-$B$563)</f>
        <v>1.9000000000000001</v>
      </c>
      <c r="E567" s="612"/>
      <c r="I567" s="1"/>
      <c r="J567" s="1"/>
      <c r="K567" s="1"/>
      <c r="L567" s="281"/>
    </row>
    <row r="568" spans="1:12" outlineLevel="1">
      <c r="A568" s="1"/>
      <c r="B568" s="1">
        <v>1.9</v>
      </c>
      <c r="C568" s="1">
        <f>$C$563+(B568-$B$563)*($C$569-$C$563)/($B$569-$B$563)</f>
        <v>2</v>
      </c>
      <c r="D568" s="1">
        <f>$D$563+(B568-$B$563)*($D$569-$D$563)/($B$569-$B$563)</f>
        <v>2</v>
      </c>
      <c r="E568" s="612"/>
      <c r="I568" s="1"/>
      <c r="J568" s="1"/>
      <c r="K568" s="1"/>
      <c r="L568" s="281"/>
    </row>
    <row r="569" spans="1:12" outlineLevel="1">
      <c r="A569" s="1"/>
      <c r="B569" s="283">
        <v>1.8</v>
      </c>
      <c r="C569" s="283">
        <v>2.1</v>
      </c>
      <c r="D569" s="283">
        <v>2.1</v>
      </c>
      <c r="E569" s="1"/>
      <c r="I569" s="1"/>
      <c r="J569" s="1"/>
      <c r="K569" s="1"/>
      <c r="L569" s="281"/>
    </row>
    <row r="570" spans="1:12" outlineLevel="1">
      <c r="A570" s="1"/>
      <c r="B570" s="1">
        <v>1.7</v>
      </c>
      <c r="C570" s="1">
        <f>$C$569+(B570-$B$569)*($C$575-$C$569)/($B$575-$B$569)</f>
        <v>2.25</v>
      </c>
      <c r="D570" s="1">
        <f>$D$569+(B570-$B$569)*($D$575-$D$569)/($B$575-$B$569)</f>
        <v>2.2000000000000002</v>
      </c>
      <c r="E570" s="612" t="s">
        <v>282</v>
      </c>
      <c r="I570" s="1"/>
      <c r="J570" s="1"/>
      <c r="K570" s="1"/>
      <c r="L570" s="281"/>
    </row>
    <row r="571" spans="1:12" outlineLevel="1">
      <c r="A571" s="1"/>
      <c r="B571" s="1">
        <v>1.6</v>
      </c>
      <c r="C571" s="1">
        <f>$C$569+(B571-$B$569)*($C$575-$C$569)/($B$575-$B$569)</f>
        <v>2.4</v>
      </c>
      <c r="D571" s="1">
        <f>$D$569+(B571-$B$569)*($D$575-$D$569)/($B$575-$B$569)</f>
        <v>2.2999999999999998</v>
      </c>
      <c r="E571" s="612"/>
      <c r="I571" s="1"/>
      <c r="J571" s="1"/>
      <c r="K571" s="1"/>
      <c r="L571" s="281"/>
    </row>
    <row r="572" spans="1:12" outlineLevel="1">
      <c r="A572" s="1"/>
      <c r="B572" s="1">
        <v>1.5</v>
      </c>
      <c r="C572" s="1">
        <f>$C$569+(B572-$B$569)*($C$575-$C$569)/($B$575-$B$569)</f>
        <v>2.5499999999999998</v>
      </c>
      <c r="D572" s="1">
        <f>$D$569+(B572-$B$569)*($D$575-$D$569)/($B$575-$B$569)</f>
        <v>2.4000000000000004</v>
      </c>
      <c r="E572" s="612"/>
      <c r="I572" s="1"/>
      <c r="J572" s="1"/>
      <c r="K572" s="1"/>
      <c r="L572" s="281"/>
    </row>
    <row r="573" spans="1:12" outlineLevel="1">
      <c r="A573" s="1"/>
      <c r="B573" s="1">
        <v>1.4</v>
      </c>
      <c r="C573" s="1">
        <f>$C$569+(B573-$B$569)*($C$575-$C$569)/($B$575-$B$569)</f>
        <v>2.7</v>
      </c>
      <c r="D573" s="1">
        <f>$D$569+(B573-$B$569)*($D$575-$D$569)/($B$575-$B$569)</f>
        <v>2.5</v>
      </c>
      <c r="E573" s="612"/>
      <c r="I573" s="1"/>
      <c r="J573" s="1"/>
      <c r="K573" s="1"/>
      <c r="L573" s="281"/>
    </row>
    <row r="574" spans="1:12" outlineLevel="1">
      <c r="A574" s="1"/>
      <c r="B574" s="1">
        <v>1.3</v>
      </c>
      <c r="C574" s="1">
        <f>$C$569+(B574-$B$569)*($C$575-$C$569)/($B$575-$B$569)</f>
        <v>2.8499999999999996</v>
      </c>
      <c r="D574" s="1">
        <f>$D$569+(B574-$B$569)*($D$575-$D$569)/($B$575-$B$569)</f>
        <v>2.6</v>
      </c>
      <c r="E574" s="612"/>
      <c r="I574" s="1"/>
      <c r="J574" s="1"/>
      <c r="K574" s="1"/>
      <c r="L574" s="281"/>
    </row>
    <row r="575" spans="1:12" outlineLevel="1">
      <c r="A575" s="1"/>
      <c r="B575" s="283">
        <v>1.2</v>
      </c>
      <c r="C575" s="283">
        <v>3</v>
      </c>
      <c r="D575" s="283">
        <v>2.7</v>
      </c>
      <c r="E575" s="1"/>
      <c r="I575" s="1"/>
      <c r="J575" s="1"/>
      <c r="K575" s="1"/>
      <c r="L575" s="281"/>
    </row>
    <row r="576" spans="1:12" outlineLevel="1">
      <c r="A576" s="1"/>
      <c r="B576" s="284">
        <v>1.1000000000000001</v>
      </c>
      <c r="C576" s="1">
        <f>$C$575+(B576-$B$575)*($C$581-$C$575)/($B$581-$B$575)</f>
        <v>3.4666666666666659</v>
      </c>
      <c r="D576" s="1">
        <f>$D$575+(B576-$B$575)*($D$581-$D$575)/($B$581-$B$575)</f>
        <v>3</v>
      </c>
      <c r="E576" s="612" t="s">
        <v>282</v>
      </c>
      <c r="I576" s="1"/>
      <c r="J576" s="1"/>
      <c r="K576" s="1"/>
      <c r="L576" s="281"/>
    </row>
    <row r="577" spans="1:12" outlineLevel="1">
      <c r="A577" s="1"/>
      <c r="B577" s="284">
        <v>1</v>
      </c>
      <c r="C577" s="1">
        <f>$C$575+(B577-$B$575)*($C$581-$C$575)/($B$581-$B$575)</f>
        <v>3.9333333333333331</v>
      </c>
      <c r="D577" s="1">
        <f>$D$575+(B577-$B$575)*($D$581-$D$575)/($B$581-$B$575)</f>
        <v>3.3</v>
      </c>
      <c r="E577" s="612"/>
      <c r="I577" s="1"/>
      <c r="J577" s="1"/>
      <c r="K577" s="1"/>
      <c r="L577" s="281"/>
    </row>
    <row r="578" spans="1:12" outlineLevel="1">
      <c r="A578" s="1"/>
      <c r="B578" s="284">
        <v>0.9</v>
      </c>
      <c r="C578" s="1">
        <f>$C$575+(B578-$B$575)*($C$581-$C$575)/($B$581-$B$575)</f>
        <v>4.3999999999999995</v>
      </c>
      <c r="D578" s="1">
        <f>$D$575+(B578-$B$575)*($D$581-$D$575)/($B$581-$B$575)</f>
        <v>3.5999999999999996</v>
      </c>
      <c r="E578" s="612"/>
      <c r="I578" s="1"/>
      <c r="J578" s="1"/>
      <c r="K578" s="1"/>
      <c r="L578" s="281"/>
    </row>
    <row r="579" spans="1:12" outlineLevel="1">
      <c r="A579" s="1"/>
      <c r="B579" s="284">
        <v>0.8</v>
      </c>
      <c r="C579" s="1">
        <f>$C$575+(B579-$B$575)*($C$581-$C$575)/($B$581-$B$575)</f>
        <v>4.8666666666666663</v>
      </c>
      <c r="D579" s="1">
        <f>$D$575+(B579-$B$575)*($D$581-$D$575)/($B$581-$B$575)</f>
        <v>3.9</v>
      </c>
      <c r="E579" s="612"/>
      <c r="I579" s="1"/>
      <c r="J579" s="1"/>
      <c r="K579" s="1"/>
      <c r="L579" s="281"/>
    </row>
    <row r="580" spans="1:12" outlineLevel="1">
      <c r="A580" s="1"/>
      <c r="B580" s="284">
        <v>0.7</v>
      </c>
      <c r="C580" s="1">
        <f>$C$575+(B580-$B$575)*($C$581-$C$575)/($B$581-$B$575)</f>
        <v>5.3333333333333339</v>
      </c>
      <c r="D580" s="1">
        <f>$D$575+(B580-$B$575)*($D$581-$D$575)/($B$581-$B$575)</f>
        <v>4.2</v>
      </c>
      <c r="E580" s="612"/>
      <c r="I580" s="1"/>
      <c r="J580" s="1"/>
      <c r="K580" s="1"/>
      <c r="L580" s="281"/>
    </row>
    <row r="581" spans="1:12" outlineLevel="1">
      <c r="A581" s="1"/>
      <c r="B581" s="283">
        <v>0.6</v>
      </c>
      <c r="C581" s="283">
        <v>5.8</v>
      </c>
      <c r="D581" s="283">
        <v>4.5</v>
      </c>
      <c r="E581" s="1"/>
      <c r="I581" s="1"/>
      <c r="J581" s="1"/>
      <c r="K581" s="1"/>
      <c r="L581" s="281"/>
    </row>
    <row r="582" spans="1:12" outlineLevel="1">
      <c r="A582" s="1"/>
      <c r="B582" s="284">
        <v>0.5</v>
      </c>
      <c r="C582" s="1">
        <f>$C$581+(B582-$B$581)*($C$587-$C$581)/($B$587-$B$581)</f>
        <v>6.2833333333333332</v>
      </c>
      <c r="D582" s="1">
        <f>$D$581+(B582-$B$581)*($D$587-$D$581)/($B$587-$B$581)</f>
        <v>4.8</v>
      </c>
      <c r="E582" s="612" t="s">
        <v>282</v>
      </c>
      <c r="I582" s="1"/>
      <c r="J582" s="1"/>
      <c r="K582" s="1"/>
      <c r="L582" s="281"/>
    </row>
    <row r="583" spans="1:12" outlineLevel="1">
      <c r="A583" s="1"/>
      <c r="B583" s="284">
        <v>0.4</v>
      </c>
      <c r="C583" s="1">
        <f>$C$581+(B583-$B$581)*($C$587-$C$581)/($B$587-$B$581)</f>
        <v>6.7666666666666657</v>
      </c>
      <c r="D583" s="1">
        <f>$D$581+(B583-$B$581)*($D$587-$D$581)/($B$587-$B$581)</f>
        <v>5.0999999999999996</v>
      </c>
      <c r="E583" s="612"/>
      <c r="I583" s="1"/>
      <c r="J583" s="1"/>
      <c r="K583" s="1"/>
      <c r="L583" s="281"/>
    </row>
    <row r="584" spans="1:12" outlineLevel="1">
      <c r="A584" s="1"/>
      <c r="B584" s="284">
        <v>0.3</v>
      </c>
      <c r="C584" s="1">
        <f>$C$581+(B584-$B$581)*($C$587-$C$581)/($B$587-$B$581)</f>
        <v>7.25</v>
      </c>
      <c r="D584" s="1">
        <f>$D$581+(B584-$B$581)*($D$587-$D$581)/($B$587-$B$581)</f>
        <v>5.4</v>
      </c>
      <c r="E584" s="612"/>
      <c r="I584" s="1"/>
      <c r="J584" s="1"/>
      <c r="K584" s="1"/>
      <c r="L584" s="281"/>
    </row>
    <row r="585" spans="1:12" outlineLevel="1">
      <c r="A585" s="1"/>
      <c r="B585" s="284">
        <v>0.2</v>
      </c>
      <c r="C585" s="1">
        <f>$C$581+(B585-$B$581)*($C$587-$C$581)/($B$587-$B$581)</f>
        <v>7.7333333333333325</v>
      </c>
      <c r="D585" s="1">
        <f>$D$581+(B585-$B$581)*($D$587-$D$581)/($B$587-$B$581)</f>
        <v>5.6999999999999993</v>
      </c>
      <c r="E585" s="612"/>
      <c r="I585" s="1"/>
      <c r="J585" s="1"/>
      <c r="K585" s="1"/>
      <c r="L585" s="281"/>
    </row>
    <row r="586" spans="1:12" outlineLevel="1">
      <c r="A586" s="1"/>
      <c r="B586" s="284">
        <v>0.1</v>
      </c>
      <c r="C586" s="1">
        <f>$C$581+(B586-$B$581)*($C$587-$C$581)/($B$587-$B$581)</f>
        <v>8.2166666666666668</v>
      </c>
      <c r="D586" s="1">
        <f>$D$581+(B586-$B$581)*($D$587-$D$581)/($B$587-$B$581)</f>
        <v>6</v>
      </c>
      <c r="E586" s="612"/>
      <c r="I586" s="1"/>
      <c r="J586" s="1"/>
      <c r="K586" s="1"/>
      <c r="L586" s="281"/>
    </row>
    <row r="587" spans="1:12" outlineLevel="1">
      <c r="A587" s="1"/>
      <c r="B587" s="283">
        <v>0</v>
      </c>
      <c r="C587" s="283">
        <v>8.6999999999999993</v>
      </c>
      <c r="D587" s="283">
        <v>6.3</v>
      </c>
      <c r="E587" s="1"/>
      <c r="I587" s="1"/>
      <c r="J587" s="1"/>
      <c r="K587" s="1"/>
      <c r="L587" s="281"/>
    </row>
    <row r="588" spans="1:12" outlineLevel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281"/>
    </row>
    <row r="589" spans="1:12" ht="25.5" outlineLevel="1">
      <c r="A589" s="1" t="s">
        <v>283</v>
      </c>
      <c r="B589" s="1" t="s">
        <v>284</v>
      </c>
      <c r="C589" s="1" t="s">
        <v>285</v>
      </c>
      <c r="D589" s="1"/>
      <c r="E589" s="1"/>
      <c r="F589" s="1"/>
      <c r="G589" s="1"/>
      <c r="H589" s="1"/>
      <c r="I589" s="1"/>
      <c r="J589" s="1"/>
      <c r="K589" s="1"/>
      <c r="L589" s="281"/>
    </row>
    <row r="590" spans="1:12" ht="25.5" outlineLevel="1">
      <c r="A590" s="1"/>
      <c r="B590" s="1" t="s">
        <v>286</v>
      </c>
      <c r="C590" s="1">
        <v>2.6</v>
      </c>
      <c r="D590" s="1"/>
      <c r="E590" s="1"/>
      <c r="F590" s="1"/>
      <c r="G590" s="1"/>
      <c r="H590" s="1"/>
      <c r="I590" s="1"/>
      <c r="J590" s="1"/>
      <c r="K590" s="1"/>
      <c r="L590" s="281"/>
    </row>
    <row r="591" spans="1:12" ht="25.5" outlineLevel="1">
      <c r="A591" s="1"/>
      <c r="B591" s="1" t="s">
        <v>287</v>
      </c>
      <c r="C591" s="1">
        <v>0</v>
      </c>
      <c r="D591" s="1"/>
      <c r="E591" s="1"/>
      <c r="F591" s="1"/>
      <c r="G591" s="1"/>
      <c r="H591" s="1"/>
      <c r="I591" s="1"/>
      <c r="J591" s="1"/>
      <c r="K591" s="1"/>
      <c r="L591" s="281"/>
    </row>
    <row r="592" spans="1:12" outlineLevel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281"/>
    </row>
    <row r="593" spans="1:12" ht="38.25" outlineLevel="1">
      <c r="A593" s="1" t="s">
        <v>288</v>
      </c>
      <c r="B593" s="1" t="s">
        <v>45</v>
      </c>
      <c r="C593" s="1" t="s">
        <v>46</v>
      </c>
      <c r="D593" s="1"/>
      <c r="E593" s="1"/>
      <c r="F593" s="1"/>
      <c r="G593" s="1"/>
      <c r="H593" s="1"/>
      <c r="I593" s="1"/>
      <c r="J593" s="1"/>
      <c r="K593" s="1"/>
      <c r="L593" s="281"/>
    </row>
    <row r="594" spans="1:12" outlineLevel="1">
      <c r="A594" s="1"/>
      <c r="B594" s="1">
        <v>0</v>
      </c>
      <c r="C594" s="1">
        <v>0</v>
      </c>
      <c r="D594" s="1"/>
      <c r="E594" s="1"/>
      <c r="F594" s="1"/>
      <c r="G594" s="1"/>
      <c r="H594" s="1"/>
      <c r="I594" s="1"/>
      <c r="J594" s="1"/>
      <c r="K594" s="1"/>
      <c r="L594" s="281"/>
    </row>
    <row r="595" spans="1:12" outlineLevel="1">
      <c r="A595" s="1"/>
      <c r="B595" s="1">
        <v>6</v>
      </c>
      <c r="C595" s="1">
        <v>4</v>
      </c>
      <c r="D595" s="1"/>
      <c r="E595" s="1"/>
      <c r="F595" s="1"/>
      <c r="G595" s="1"/>
      <c r="H595" s="1"/>
      <c r="I595" s="1"/>
      <c r="J595" s="1"/>
      <c r="K595" s="1"/>
      <c r="L595" s="281"/>
    </row>
    <row r="596" spans="1:12" outlineLevel="1">
      <c r="A596" s="1"/>
      <c r="B596" s="1">
        <v>12</v>
      </c>
      <c r="C596" s="1">
        <v>8</v>
      </c>
      <c r="D596" s="1"/>
      <c r="E596" s="1"/>
      <c r="F596" s="1"/>
      <c r="G596" s="1"/>
      <c r="H596" s="1"/>
      <c r="I596" s="1"/>
      <c r="J596" s="1"/>
      <c r="K596" s="1"/>
      <c r="L596" s="281"/>
    </row>
    <row r="597" spans="1:12" outlineLevel="1">
      <c r="A597" s="1"/>
      <c r="B597" s="1">
        <v>18</v>
      </c>
      <c r="C597" s="1">
        <v>12</v>
      </c>
      <c r="D597" s="1"/>
      <c r="E597" s="1"/>
      <c r="F597" s="1"/>
      <c r="G597" s="1"/>
      <c r="H597" s="1"/>
      <c r="I597" s="1"/>
      <c r="J597" s="1"/>
      <c r="K597" s="1"/>
      <c r="L597" s="281"/>
    </row>
    <row r="598" spans="1:12" outlineLevel="1">
      <c r="A598" s="1"/>
      <c r="B598" s="1" t="s">
        <v>47</v>
      </c>
      <c r="C598" s="1">
        <v>16</v>
      </c>
      <c r="D598" s="1"/>
      <c r="E598" s="1"/>
      <c r="F598" s="1"/>
      <c r="G598" s="1"/>
      <c r="H598" s="1"/>
      <c r="I598" s="1"/>
      <c r="J598" s="1"/>
      <c r="K598" s="1"/>
      <c r="L598" s="281"/>
    </row>
    <row r="599" spans="1:12" outlineLevel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281"/>
    </row>
    <row r="600" spans="1:12" ht="25.5" outlineLevel="1">
      <c r="A600" s="1" t="s">
        <v>289</v>
      </c>
      <c r="B600" s="1" t="s">
        <v>290</v>
      </c>
      <c r="C600" s="1"/>
      <c r="D600" s="1"/>
      <c r="E600" s="1"/>
      <c r="F600" s="1"/>
      <c r="G600" s="1"/>
      <c r="H600" s="1"/>
      <c r="I600" s="1"/>
      <c r="J600" s="1"/>
      <c r="K600" s="1"/>
      <c r="L600" s="281"/>
    </row>
    <row r="601" spans="1:12" outlineLevel="1">
      <c r="A601" s="1"/>
      <c r="B601" s="1" t="s">
        <v>291</v>
      </c>
      <c r="C601" s="1" t="s">
        <v>292</v>
      </c>
      <c r="D601" s="1" t="s">
        <v>293</v>
      </c>
      <c r="E601" s="1" t="s">
        <v>294</v>
      </c>
      <c r="F601" s="1"/>
      <c r="G601" s="1"/>
      <c r="H601" s="1"/>
      <c r="I601" s="1"/>
      <c r="J601" s="1"/>
      <c r="K601" s="1"/>
      <c r="L601" s="281"/>
    </row>
    <row r="602" spans="1:12" ht="25.5" outlineLevel="1">
      <c r="A602" s="1"/>
      <c r="B602" s="1" t="s">
        <v>295</v>
      </c>
      <c r="C602" s="1">
        <v>1.5</v>
      </c>
      <c r="D602" s="1">
        <v>2.5</v>
      </c>
      <c r="E602" s="1">
        <v>4.5</v>
      </c>
      <c r="F602" s="1"/>
      <c r="G602" s="1"/>
      <c r="H602" s="1"/>
      <c r="I602" s="1"/>
      <c r="J602" s="1"/>
      <c r="K602" s="1"/>
      <c r="L602" s="281"/>
    </row>
    <row r="603" spans="1:12" ht="25.5" outlineLevel="1">
      <c r="A603" s="1"/>
      <c r="B603" s="1" t="s">
        <v>296</v>
      </c>
      <c r="C603" s="1">
        <v>1.2</v>
      </c>
      <c r="D603" s="1">
        <v>2</v>
      </c>
      <c r="E603" s="1">
        <v>4</v>
      </c>
      <c r="F603" s="1"/>
      <c r="G603" s="1"/>
      <c r="H603" s="1"/>
      <c r="I603" s="1"/>
      <c r="J603" s="1"/>
      <c r="K603" s="1"/>
      <c r="L603" s="281"/>
    </row>
    <row r="604" spans="1:12" outlineLevel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281"/>
    </row>
    <row r="605" spans="1:12" ht="25.5" outlineLevel="1">
      <c r="A605" s="1"/>
      <c r="B605" s="1" t="s">
        <v>291</v>
      </c>
      <c r="C605" s="1" t="s">
        <v>295</v>
      </c>
      <c r="D605" s="3"/>
      <c r="E605" s="1" t="s">
        <v>291</v>
      </c>
      <c r="F605" s="1" t="s">
        <v>296</v>
      </c>
      <c r="G605" s="1"/>
      <c r="H605" s="1"/>
      <c r="I605" s="1"/>
      <c r="J605" s="1"/>
      <c r="K605" s="1"/>
      <c r="L605" s="281"/>
    </row>
    <row r="606" spans="1:12" outlineLevel="1">
      <c r="A606" s="1"/>
      <c r="B606" s="1" t="s">
        <v>292</v>
      </c>
      <c r="C606" s="1">
        <v>1.5</v>
      </c>
      <c r="D606" s="3"/>
      <c r="E606" s="1" t="s">
        <v>292</v>
      </c>
      <c r="F606" s="1">
        <v>1.2</v>
      </c>
      <c r="G606" s="1"/>
      <c r="H606" s="1"/>
      <c r="I606" s="1"/>
      <c r="J606" s="1"/>
      <c r="K606" s="1"/>
      <c r="L606" s="281"/>
    </row>
    <row r="607" spans="1:12" outlineLevel="1">
      <c r="A607" s="1"/>
      <c r="B607" s="1" t="s">
        <v>293</v>
      </c>
      <c r="C607" s="1">
        <v>2.5</v>
      </c>
      <c r="D607" s="3"/>
      <c r="E607" s="1" t="s">
        <v>293</v>
      </c>
      <c r="F607" s="1">
        <v>2</v>
      </c>
      <c r="G607" s="1"/>
      <c r="H607" s="1"/>
      <c r="I607" s="1"/>
      <c r="J607" s="1"/>
      <c r="K607" s="1"/>
      <c r="L607" s="281"/>
    </row>
    <row r="608" spans="1:12" outlineLevel="1">
      <c r="A608" s="1"/>
      <c r="B608" s="1" t="s">
        <v>294</v>
      </c>
      <c r="C608" s="1">
        <v>4.5</v>
      </c>
      <c r="D608" s="3"/>
      <c r="E608" s="1" t="s">
        <v>294</v>
      </c>
      <c r="F608" s="1">
        <v>4</v>
      </c>
      <c r="G608" s="1"/>
      <c r="H608" s="1"/>
      <c r="I608" s="1"/>
      <c r="J608" s="1"/>
      <c r="K608" s="1"/>
      <c r="L608" s="281"/>
    </row>
    <row r="609" spans="1:17" outlineLevel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281"/>
    </row>
    <row r="610" spans="1:17" s="365" customFormat="1" ht="51" outlineLevel="1">
      <c r="A610" s="366" t="s">
        <v>297</v>
      </c>
      <c r="B610" s="366"/>
      <c r="C610" s="366" t="s">
        <v>298</v>
      </c>
      <c r="D610" s="366" t="s">
        <v>299</v>
      </c>
      <c r="E610" s="366" t="s">
        <v>300</v>
      </c>
      <c r="F610" s="366"/>
      <c r="G610" s="366"/>
      <c r="H610" s="366"/>
      <c r="I610" s="366"/>
      <c r="J610" s="366">
        <v>3</v>
      </c>
      <c r="K610" s="366"/>
      <c r="L610" s="366"/>
      <c r="M610" s="369"/>
    </row>
    <row r="611" spans="1:17" s="365" customFormat="1" ht="25.5" outlineLevel="1">
      <c r="A611" s="366" t="s">
        <v>301</v>
      </c>
      <c r="B611" s="366"/>
      <c r="C611" s="367" t="s">
        <v>403</v>
      </c>
      <c r="D611" s="367" t="s">
        <v>404</v>
      </c>
      <c r="E611" s="367">
        <v>2</v>
      </c>
      <c r="F611" s="367">
        <v>4</v>
      </c>
      <c r="G611" s="367">
        <v>5</v>
      </c>
      <c r="H611" s="367">
        <v>6</v>
      </c>
      <c r="I611" s="367">
        <v>8</v>
      </c>
      <c r="J611" s="367">
        <v>10</v>
      </c>
      <c r="K611" s="367">
        <v>15</v>
      </c>
      <c r="L611" s="367">
        <v>20</v>
      </c>
      <c r="M611" s="368">
        <v>25</v>
      </c>
    </row>
    <row r="612" spans="1:17" s="374" customFormat="1" outlineLevel="1">
      <c r="A612" s="370">
        <v>2</v>
      </c>
      <c r="B612" s="371" t="s">
        <v>302</v>
      </c>
      <c r="C612" s="372">
        <v>2</v>
      </c>
      <c r="D612" s="372" t="s">
        <v>402</v>
      </c>
      <c r="E612" s="371">
        <v>1.5</v>
      </c>
      <c r="F612" s="371">
        <v>1.5</v>
      </c>
      <c r="G612" s="371">
        <v>1.5</v>
      </c>
      <c r="H612" s="371">
        <v>1.5</v>
      </c>
      <c r="I612" s="371">
        <v>1.5</v>
      </c>
      <c r="J612" s="371">
        <v>1.5</v>
      </c>
      <c r="K612" s="371">
        <v>1.5</v>
      </c>
      <c r="L612" s="371">
        <v>1.5</v>
      </c>
      <c r="M612" s="373">
        <v>1.5</v>
      </c>
    </row>
    <row r="613" spans="1:17" outlineLevel="1">
      <c r="A613" s="477" t="s">
        <v>303</v>
      </c>
      <c r="B613" s="356" t="s">
        <v>304</v>
      </c>
      <c r="C613" s="292">
        <v>3</v>
      </c>
      <c r="D613" s="292">
        <v>0.4</v>
      </c>
      <c r="E613" s="356">
        <v>1.5</v>
      </c>
      <c r="F613" s="356">
        <v>1.5</v>
      </c>
      <c r="G613" s="356">
        <v>1.5</v>
      </c>
      <c r="H613" s="356">
        <v>1.5</v>
      </c>
      <c r="I613" s="356">
        <v>1.5</v>
      </c>
      <c r="J613" s="356">
        <v>1.5</v>
      </c>
      <c r="K613" s="356">
        <v>1.5</v>
      </c>
      <c r="L613" s="357">
        <v>1.5</v>
      </c>
      <c r="M613" s="358">
        <v>1.5</v>
      </c>
      <c r="N613" s="273"/>
    </row>
    <row r="614" spans="1:17" outlineLevel="1">
      <c r="A614" s="477"/>
      <c r="B614" s="356" t="s">
        <v>305</v>
      </c>
      <c r="C614" s="292">
        <v>3</v>
      </c>
      <c r="D614" s="292">
        <v>0.8</v>
      </c>
      <c r="E614" s="356">
        <v>1.5</v>
      </c>
      <c r="F614" s="356">
        <v>1.5</v>
      </c>
      <c r="G614" s="356">
        <v>1.5</v>
      </c>
      <c r="H614" s="356">
        <v>1.5</v>
      </c>
      <c r="I614" s="356">
        <v>1.5</v>
      </c>
      <c r="J614" s="356">
        <v>1.5</v>
      </c>
      <c r="K614" s="356">
        <v>1.5</v>
      </c>
      <c r="L614" s="357">
        <v>1.5</v>
      </c>
      <c r="M614" s="358">
        <v>1.5</v>
      </c>
      <c r="N614" s="273"/>
    </row>
    <row r="615" spans="1:17" outlineLevel="1">
      <c r="A615" s="477"/>
      <c r="B615" s="356" t="s">
        <v>306</v>
      </c>
      <c r="C615" s="292">
        <v>3</v>
      </c>
      <c r="D615" s="292">
        <v>1.2000000000000002</v>
      </c>
      <c r="E615" s="356">
        <v>1.5</v>
      </c>
      <c r="F615" s="356">
        <v>1.5</v>
      </c>
      <c r="G615" s="356">
        <v>1.5</v>
      </c>
      <c r="H615" s="356">
        <v>1.5</v>
      </c>
      <c r="I615" s="356">
        <v>1.5</v>
      </c>
      <c r="J615" s="356">
        <v>1.5</v>
      </c>
      <c r="K615" s="356">
        <v>1.5</v>
      </c>
      <c r="L615" s="357">
        <v>1.5</v>
      </c>
      <c r="M615" s="357">
        <v>1.5</v>
      </c>
      <c r="N615" s="273"/>
    </row>
    <row r="616" spans="1:17" outlineLevel="1">
      <c r="A616" s="477"/>
      <c r="B616" s="356" t="s">
        <v>307</v>
      </c>
      <c r="C616" s="292">
        <v>3</v>
      </c>
      <c r="D616" s="292">
        <v>1.6</v>
      </c>
      <c r="E616" s="356">
        <v>2</v>
      </c>
      <c r="F616" s="356">
        <v>2</v>
      </c>
      <c r="G616" s="356">
        <v>2</v>
      </c>
      <c r="H616" s="356">
        <v>2</v>
      </c>
      <c r="I616" s="356">
        <v>1.5</v>
      </c>
      <c r="J616" s="356">
        <v>1.5</v>
      </c>
      <c r="K616" s="356">
        <v>1.5</v>
      </c>
      <c r="L616" s="357">
        <v>1.5</v>
      </c>
      <c r="M616" s="357">
        <v>1.5</v>
      </c>
      <c r="N616" s="273"/>
    </row>
    <row r="617" spans="1:17" outlineLevel="1">
      <c r="A617" s="477"/>
      <c r="B617" s="356" t="s">
        <v>308</v>
      </c>
      <c r="C617" s="292">
        <v>3</v>
      </c>
      <c r="D617" s="292">
        <v>2.4</v>
      </c>
      <c r="E617" s="356">
        <v>2.5</v>
      </c>
      <c r="F617" s="356">
        <v>2</v>
      </c>
      <c r="G617" s="356">
        <v>2.5</v>
      </c>
      <c r="H617" s="356">
        <v>2.5</v>
      </c>
      <c r="I617" s="356">
        <v>2</v>
      </c>
      <c r="J617" s="356">
        <v>2</v>
      </c>
      <c r="K617" s="356">
        <v>2</v>
      </c>
      <c r="L617" s="357">
        <v>2</v>
      </c>
      <c r="M617" s="358">
        <v>2</v>
      </c>
      <c r="N617" s="273"/>
    </row>
    <row r="618" spans="1:17" s="365" customFormat="1" outlineLevel="1">
      <c r="A618" s="361"/>
      <c r="B618" s="362" t="s">
        <v>309</v>
      </c>
      <c r="C618" s="363">
        <v>3</v>
      </c>
      <c r="D618" s="363">
        <v>2.8</v>
      </c>
      <c r="E618" s="362">
        <v>3</v>
      </c>
      <c r="F618" s="362">
        <v>3</v>
      </c>
      <c r="G618" s="362">
        <v>2.5</v>
      </c>
      <c r="H618" s="362">
        <v>2.5</v>
      </c>
      <c r="I618" s="362">
        <v>2</v>
      </c>
      <c r="J618" s="362">
        <v>2</v>
      </c>
      <c r="K618" s="362">
        <v>2</v>
      </c>
      <c r="L618" s="362">
        <v>2</v>
      </c>
      <c r="M618" s="364">
        <v>2</v>
      </c>
    </row>
    <row r="619" spans="1:17" outlineLevel="1">
      <c r="A619" s="477" t="s">
        <v>310</v>
      </c>
      <c r="B619" s="356" t="s">
        <v>304</v>
      </c>
      <c r="C619" s="292">
        <v>4</v>
      </c>
      <c r="D619" s="292">
        <v>0.4</v>
      </c>
      <c r="E619" s="356">
        <v>1.5</v>
      </c>
      <c r="F619" s="356">
        <v>1.5</v>
      </c>
      <c r="G619" s="356">
        <v>1.5</v>
      </c>
      <c r="H619" s="356">
        <v>1.5</v>
      </c>
      <c r="I619" s="356">
        <v>1.5</v>
      </c>
      <c r="J619" s="356">
        <v>1.5</v>
      </c>
      <c r="K619" s="356">
        <v>1.5</v>
      </c>
      <c r="L619" s="357">
        <v>1.5</v>
      </c>
      <c r="M619" s="358">
        <v>1.5</v>
      </c>
      <c r="N619" s="273"/>
      <c r="O619" s="359" t="s">
        <v>230</v>
      </c>
      <c r="P619" s="359">
        <v>14</v>
      </c>
    </row>
    <row r="620" spans="1:17" outlineLevel="1">
      <c r="A620" s="477"/>
      <c r="B620" s="356" t="s">
        <v>305</v>
      </c>
      <c r="C620" s="292">
        <v>4</v>
      </c>
      <c r="D620" s="292">
        <v>0.8</v>
      </c>
      <c r="E620" s="356">
        <v>2</v>
      </c>
      <c r="F620" s="356">
        <v>2</v>
      </c>
      <c r="G620" s="356">
        <v>2</v>
      </c>
      <c r="H620" s="356">
        <v>2</v>
      </c>
      <c r="I620" s="356">
        <v>2</v>
      </c>
      <c r="J620" s="356">
        <v>2</v>
      </c>
      <c r="K620" s="356">
        <v>2</v>
      </c>
      <c r="L620" s="357">
        <v>2</v>
      </c>
      <c r="M620" s="358">
        <v>2</v>
      </c>
      <c r="N620" s="273"/>
      <c r="O620" s="359" t="s">
        <v>400</v>
      </c>
      <c r="P620" s="360">
        <v>3.5</v>
      </c>
    </row>
    <row r="621" spans="1:17" outlineLevel="1">
      <c r="A621" s="477"/>
      <c r="B621" s="356" t="s">
        <v>311</v>
      </c>
      <c r="C621" s="292">
        <v>4</v>
      </c>
      <c r="D621" s="292">
        <v>1.2000000000000002</v>
      </c>
      <c r="E621" s="356">
        <v>2.5</v>
      </c>
      <c r="F621" s="356">
        <v>2.5</v>
      </c>
      <c r="G621" s="356">
        <v>2</v>
      </c>
      <c r="H621" s="356">
        <v>2</v>
      </c>
      <c r="I621" s="356">
        <v>2</v>
      </c>
      <c r="J621" s="356">
        <v>2</v>
      </c>
      <c r="K621" s="356">
        <v>2</v>
      </c>
      <c r="L621" s="357">
        <v>2</v>
      </c>
      <c r="M621" s="357">
        <v>2</v>
      </c>
      <c r="N621" s="273"/>
      <c r="O621" s="359" t="s">
        <v>405</v>
      </c>
      <c r="P621" s="360">
        <v>1.7</v>
      </c>
    </row>
    <row r="622" spans="1:17" outlineLevel="1">
      <c r="A622" s="477"/>
      <c r="B622" s="356" t="s">
        <v>307</v>
      </c>
      <c r="C622" s="292">
        <v>4</v>
      </c>
      <c r="D622" s="292">
        <v>1.6</v>
      </c>
      <c r="E622" s="356">
        <v>3</v>
      </c>
      <c r="F622" s="356">
        <v>3</v>
      </c>
      <c r="G622" s="356">
        <v>2.5</v>
      </c>
      <c r="H622" s="356">
        <v>2.5</v>
      </c>
      <c r="I622" s="356">
        <v>2.5</v>
      </c>
      <c r="J622" s="356">
        <v>2.5</v>
      </c>
      <c r="K622" s="356">
        <v>2.5</v>
      </c>
      <c r="L622" s="357">
        <v>2.5</v>
      </c>
      <c r="M622" s="358">
        <v>2.5</v>
      </c>
      <c r="N622" s="273"/>
      <c r="Q622" s="380" t="e">
        <f>'Análise_SAVED '!CY14+'Análise_SAVED '!#REF!-1</f>
        <v>#REF!</v>
      </c>
    </row>
    <row r="623" spans="1:17" outlineLevel="1">
      <c r="A623" s="477"/>
      <c r="B623" s="356" t="s">
        <v>312</v>
      </c>
      <c r="C623" s="292">
        <v>4</v>
      </c>
      <c r="D623" s="292">
        <v>2.4</v>
      </c>
      <c r="E623" s="356">
        <v>3.5</v>
      </c>
      <c r="F623" s="356">
        <v>3.5</v>
      </c>
      <c r="G623" s="356">
        <v>3</v>
      </c>
      <c r="H623" s="356">
        <v>3</v>
      </c>
      <c r="I623" s="356">
        <v>3</v>
      </c>
      <c r="J623" s="356">
        <v>3</v>
      </c>
      <c r="K623" s="356">
        <v>3</v>
      </c>
      <c r="L623" s="357">
        <v>3</v>
      </c>
      <c r="M623" s="358">
        <v>3</v>
      </c>
      <c r="N623" s="273"/>
    </row>
    <row r="624" spans="1:17" s="365" customFormat="1" outlineLevel="1">
      <c r="A624" s="361"/>
      <c r="B624" s="362" t="s">
        <v>309</v>
      </c>
      <c r="C624" s="363">
        <v>4</v>
      </c>
      <c r="D624" s="363">
        <v>2.8</v>
      </c>
      <c r="E624" s="362">
        <v>4</v>
      </c>
      <c r="F624" s="362">
        <v>3.5</v>
      </c>
      <c r="G624" s="362">
        <v>3</v>
      </c>
      <c r="H624" s="362">
        <v>3</v>
      </c>
      <c r="I624" s="362">
        <v>3</v>
      </c>
      <c r="J624" s="362">
        <v>3</v>
      </c>
      <c r="K624" s="362">
        <v>3</v>
      </c>
      <c r="L624" s="362">
        <v>3</v>
      </c>
      <c r="M624" s="364">
        <v>3</v>
      </c>
    </row>
    <row r="625" spans="1:14" outlineLevel="1">
      <c r="A625" s="477" t="s">
        <v>313</v>
      </c>
      <c r="B625" s="356" t="s">
        <v>304</v>
      </c>
      <c r="C625" s="292">
        <v>5</v>
      </c>
      <c r="D625" s="292">
        <v>0.4</v>
      </c>
      <c r="E625" s="356">
        <v>1.5</v>
      </c>
      <c r="F625" s="356">
        <v>1.5</v>
      </c>
      <c r="G625" s="356">
        <v>1.5</v>
      </c>
      <c r="H625" s="356">
        <v>1.5</v>
      </c>
      <c r="I625" s="356">
        <v>1.5</v>
      </c>
      <c r="J625" s="356">
        <v>1.5</v>
      </c>
      <c r="K625" s="356">
        <v>1.5</v>
      </c>
      <c r="L625" s="357">
        <v>1.5</v>
      </c>
      <c r="M625" s="358">
        <v>1.5</v>
      </c>
      <c r="N625" s="273"/>
    </row>
    <row r="626" spans="1:14" outlineLevel="1">
      <c r="A626" s="477"/>
      <c r="B626" s="356" t="s">
        <v>305</v>
      </c>
      <c r="C626" s="292">
        <v>5</v>
      </c>
      <c r="D626" s="292">
        <v>0.8</v>
      </c>
      <c r="E626" s="356">
        <v>3</v>
      </c>
      <c r="F626" s="356">
        <v>2.5</v>
      </c>
      <c r="G626" s="356">
        <v>2.5</v>
      </c>
      <c r="H626" s="356">
        <v>2.5</v>
      </c>
      <c r="I626" s="356">
        <v>2</v>
      </c>
      <c r="J626" s="356">
        <v>2</v>
      </c>
      <c r="K626" s="356">
        <v>2</v>
      </c>
      <c r="L626" s="357">
        <v>2</v>
      </c>
      <c r="M626" s="358">
        <v>2</v>
      </c>
      <c r="N626" s="273"/>
    </row>
    <row r="627" spans="1:14" outlineLevel="1">
      <c r="A627" s="477"/>
      <c r="B627" s="356" t="s">
        <v>314</v>
      </c>
      <c r="C627" s="292">
        <v>5</v>
      </c>
      <c r="D627" s="292">
        <v>1.2000000000000002</v>
      </c>
      <c r="E627" s="356">
        <v>3.5</v>
      </c>
      <c r="F627" s="356">
        <v>3</v>
      </c>
      <c r="G627" s="356">
        <v>3</v>
      </c>
      <c r="H627" s="356">
        <v>3</v>
      </c>
      <c r="I627" s="356">
        <v>2.5</v>
      </c>
      <c r="J627" s="356">
        <v>2.5</v>
      </c>
      <c r="K627" s="356">
        <v>2.5</v>
      </c>
      <c r="L627" s="357">
        <v>2.5</v>
      </c>
      <c r="M627" s="358">
        <v>2.5</v>
      </c>
      <c r="N627" s="273"/>
    </row>
    <row r="628" spans="1:14" outlineLevel="1">
      <c r="A628" s="477"/>
      <c r="B628" s="356" t="s">
        <v>315</v>
      </c>
      <c r="C628" s="292">
        <v>5</v>
      </c>
      <c r="D628" s="292">
        <v>1.6</v>
      </c>
      <c r="E628" s="356">
        <v>4</v>
      </c>
      <c r="F628" s="356">
        <v>3.5</v>
      </c>
      <c r="G628" s="356">
        <v>3.5</v>
      </c>
      <c r="H628" s="356">
        <v>3.5</v>
      </c>
      <c r="I628" s="356">
        <v>3</v>
      </c>
      <c r="J628" s="356">
        <v>3</v>
      </c>
      <c r="K628" s="356">
        <v>3</v>
      </c>
      <c r="L628" s="357">
        <v>3</v>
      </c>
      <c r="M628" s="358">
        <v>3</v>
      </c>
      <c r="N628" s="273"/>
    </row>
    <row r="629" spans="1:14" outlineLevel="1">
      <c r="A629" s="477"/>
      <c r="B629" s="356" t="s">
        <v>409</v>
      </c>
      <c r="C629" s="292">
        <v>5</v>
      </c>
      <c r="D629" s="292">
        <v>2.4</v>
      </c>
      <c r="E629" s="375">
        <v>5</v>
      </c>
      <c r="F629" s="375">
        <v>4</v>
      </c>
      <c r="G629" s="375">
        <v>4</v>
      </c>
      <c r="H629" s="375">
        <v>4</v>
      </c>
      <c r="I629" s="375">
        <v>3.5</v>
      </c>
      <c r="J629" s="375">
        <v>3.5</v>
      </c>
      <c r="K629" s="375">
        <v>3</v>
      </c>
      <c r="L629" s="376">
        <v>3</v>
      </c>
      <c r="M629" s="377">
        <v>3</v>
      </c>
      <c r="N629" s="273"/>
    </row>
    <row r="630" spans="1:14" s="365" customFormat="1" outlineLevel="1">
      <c r="A630" s="361"/>
      <c r="B630" s="362" t="s">
        <v>316</v>
      </c>
      <c r="C630" s="363">
        <v>5</v>
      </c>
      <c r="D630" s="363">
        <v>2.8</v>
      </c>
      <c r="E630" s="362">
        <v>5</v>
      </c>
      <c r="F630" s="362">
        <v>4</v>
      </c>
      <c r="G630" s="362">
        <v>4</v>
      </c>
      <c r="H630" s="362">
        <v>4</v>
      </c>
      <c r="I630" s="362">
        <v>3.5</v>
      </c>
      <c r="J630" s="362">
        <v>3.5</v>
      </c>
      <c r="K630" s="362">
        <v>3</v>
      </c>
      <c r="L630" s="362">
        <v>3</v>
      </c>
      <c r="M630" s="364">
        <v>3</v>
      </c>
    </row>
    <row r="631" spans="1:14" outlineLevel="1">
      <c r="A631" s="477" t="s">
        <v>317</v>
      </c>
      <c r="B631" s="356" t="s">
        <v>304</v>
      </c>
      <c r="C631" s="292">
        <v>6</v>
      </c>
      <c r="D631" s="292">
        <v>0.4</v>
      </c>
      <c r="E631" s="356">
        <v>2</v>
      </c>
      <c r="F631" s="356">
        <v>2</v>
      </c>
      <c r="G631" s="356">
        <v>1.5</v>
      </c>
      <c r="H631" s="356">
        <v>1.5</v>
      </c>
      <c r="I631" s="356">
        <v>1.5</v>
      </c>
      <c r="J631" s="356">
        <v>1.5</v>
      </c>
      <c r="K631" s="356">
        <v>1.5</v>
      </c>
      <c r="L631" s="357">
        <v>1.5</v>
      </c>
      <c r="M631" s="358">
        <v>1.5</v>
      </c>
      <c r="N631" s="273"/>
    </row>
    <row r="632" spans="1:14" outlineLevel="1">
      <c r="A632" s="477"/>
      <c r="B632" s="356" t="s">
        <v>408</v>
      </c>
      <c r="C632" s="292">
        <v>6</v>
      </c>
      <c r="D632" s="292">
        <v>0.5</v>
      </c>
      <c r="E632" s="356">
        <v>4</v>
      </c>
      <c r="F632" s="356">
        <v>3</v>
      </c>
      <c r="G632" s="356">
        <v>2.5</v>
      </c>
      <c r="H632" s="356">
        <v>2.5</v>
      </c>
      <c r="I632" s="356">
        <v>2</v>
      </c>
      <c r="J632" s="356">
        <v>2</v>
      </c>
      <c r="K632" s="356">
        <v>2</v>
      </c>
      <c r="L632" s="357">
        <v>2</v>
      </c>
      <c r="M632" s="358">
        <v>2</v>
      </c>
      <c r="N632" s="273"/>
    </row>
    <row r="633" spans="1:14" outlineLevel="1">
      <c r="A633" s="477"/>
      <c r="B633" s="356" t="s">
        <v>407</v>
      </c>
      <c r="C633" s="292">
        <v>6</v>
      </c>
      <c r="D633" s="292">
        <v>0.8</v>
      </c>
      <c r="E633" s="356">
        <v>4.5</v>
      </c>
      <c r="F633" s="356">
        <v>4</v>
      </c>
      <c r="G633" s="356">
        <v>3.5</v>
      </c>
      <c r="H633" s="356">
        <v>3</v>
      </c>
      <c r="I633" s="356">
        <v>2.5</v>
      </c>
      <c r="J633" s="356">
        <v>2.5</v>
      </c>
      <c r="K633" s="356">
        <v>2.5</v>
      </c>
      <c r="L633" s="357">
        <v>2.5</v>
      </c>
      <c r="M633" s="358">
        <v>2.5</v>
      </c>
      <c r="N633" s="273"/>
    </row>
    <row r="634" spans="1:14" outlineLevel="1">
      <c r="A634" s="477"/>
      <c r="B634" s="356" t="s">
        <v>311</v>
      </c>
      <c r="C634" s="292">
        <v>6</v>
      </c>
      <c r="D634" s="292">
        <v>1.2000000000000002</v>
      </c>
      <c r="E634" s="356">
        <v>5</v>
      </c>
      <c r="F634" s="356">
        <v>4.5</v>
      </c>
      <c r="G634" s="356">
        <v>4</v>
      </c>
      <c r="H634" s="356">
        <v>3.5</v>
      </c>
      <c r="I634" s="356">
        <v>3</v>
      </c>
      <c r="J634" s="356">
        <v>3</v>
      </c>
      <c r="K634" s="356">
        <v>3</v>
      </c>
      <c r="L634" s="357">
        <v>3</v>
      </c>
      <c r="M634" s="358">
        <v>3</v>
      </c>
      <c r="N634" s="273"/>
    </row>
    <row r="635" spans="1:14" outlineLevel="1">
      <c r="A635" s="477"/>
      <c r="B635" s="356" t="s">
        <v>307</v>
      </c>
      <c r="C635" s="292">
        <v>6</v>
      </c>
      <c r="D635" s="292">
        <v>1.6</v>
      </c>
      <c r="E635" s="356">
        <v>5.5</v>
      </c>
      <c r="F635" s="356">
        <v>5</v>
      </c>
      <c r="G635" s="356">
        <v>4.5</v>
      </c>
      <c r="H635" s="356">
        <v>4</v>
      </c>
      <c r="I635" s="356">
        <v>3</v>
      </c>
      <c r="J635" s="356">
        <v>3</v>
      </c>
      <c r="K635" s="356">
        <v>3</v>
      </c>
      <c r="L635" s="357">
        <v>3</v>
      </c>
      <c r="M635" s="358">
        <v>3</v>
      </c>
      <c r="N635" s="273"/>
    </row>
    <row r="636" spans="1:14" s="365" customFormat="1" outlineLevel="1">
      <c r="A636" s="361"/>
      <c r="B636" s="362" t="s">
        <v>406</v>
      </c>
      <c r="C636" s="363">
        <v>6</v>
      </c>
      <c r="D636" s="363">
        <v>2.4</v>
      </c>
      <c r="E636" s="362">
        <v>6</v>
      </c>
      <c r="F636" s="362">
        <v>5</v>
      </c>
      <c r="G636" s="362">
        <v>5</v>
      </c>
      <c r="H636" s="362">
        <v>4.5</v>
      </c>
      <c r="I636" s="362">
        <v>3.5</v>
      </c>
      <c r="J636" s="362">
        <v>3.5</v>
      </c>
      <c r="K636" s="362">
        <v>3.5</v>
      </c>
      <c r="L636" s="362">
        <v>3.5</v>
      </c>
      <c r="M636" s="364">
        <v>3.5</v>
      </c>
    </row>
    <row r="637" spans="1:14" outlineLevel="1">
      <c r="A637" s="477" t="s">
        <v>318</v>
      </c>
      <c r="B637" s="356" t="s">
        <v>304</v>
      </c>
      <c r="C637" s="378">
        <v>20</v>
      </c>
      <c r="D637" s="292">
        <v>0.4</v>
      </c>
      <c r="E637" s="356">
        <v>4</v>
      </c>
      <c r="F637" s="356">
        <v>3</v>
      </c>
      <c r="G637" s="356">
        <v>2.5</v>
      </c>
      <c r="H637" s="356">
        <v>2.5</v>
      </c>
      <c r="I637" s="356">
        <v>2.5</v>
      </c>
      <c r="J637" s="356">
        <v>2.5</v>
      </c>
      <c r="K637" s="356">
        <v>2</v>
      </c>
      <c r="L637" s="357">
        <v>2</v>
      </c>
      <c r="M637" s="358">
        <v>2</v>
      </c>
      <c r="N637" s="273"/>
    </row>
    <row r="638" spans="1:14" outlineLevel="1">
      <c r="A638" s="477"/>
      <c r="B638" s="356" t="s">
        <v>305</v>
      </c>
      <c r="C638" s="378">
        <v>20</v>
      </c>
      <c r="D638" s="292">
        <v>0.8</v>
      </c>
      <c r="E638" s="356">
        <v>4.5</v>
      </c>
      <c r="F638" s="356">
        <v>4</v>
      </c>
      <c r="G638" s="356">
        <v>3.5</v>
      </c>
      <c r="H638" s="356">
        <v>3.5</v>
      </c>
      <c r="I638" s="356">
        <v>3.5</v>
      </c>
      <c r="J638" s="356">
        <v>3</v>
      </c>
      <c r="K638" s="356">
        <v>2.5</v>
      </c>
      <c r="L638" s="357">
        <v>2.5</v>
      </c>
      <c r="M638" s="358">
        <v>2.5</v>
      </c>
      <c r="N638" s="273"/>
    </row>
    <row r="639" spans="1:14" outlineLevel="1">
      <c r="A639" s="477"/>
      <c r="B639" s="356" t="s">
        <v>311</v>
      </c>
      <c r="C639" s="378">
        <v>20</v>
      </c>
      <c r="D639" s="292">
        <v>1.2000000000000002</v>
      </c>
      <c r="E639" s="356">
        <v>5</v>
      </c>
      <c r="F639" s="356">
        <v>4.5</v>
      </c>
      <c r="G639" s="356">
        <v>4</v>
      </c>
      <c r="H639" s="356">
        <v>4</v>
      </c>
      <c r="I639" s="356">
        <v>3.5</v>
      </c>
      <c r="J639" s="356">
        <v>3</v>
      </c>
      <c r="K639" s="356">
        <v>2.5</v>
      </c>
      <c r="L639" s="357">
        <v>2.5</v>
      </c>
      <c r="M639" s="358">
        <v>2.5</v>
      </c>
      <c r="N639" s="273"/>
    </row>
    <row r="640" spans="1:14" outlineLevel="1">
      <c r="A640" s="477"/>
      <c r="B640" s="356" t="s">
        <v>307</v>
      </c>
      <c r="C640" s="378">
        <v>20</v>
      </c>
      <c r="D640" s="292">
        <v>1.6</v>
      </c>
      <c r="E640" s="356">
        <v>5.5</v>
      </c>
      <c r="F640" s="356">
        <v>5</v>
      </c>
      <c r="G640" s="356">
        <v>4.5</v>
      </c>
      <c r="H640" s="356">
        <v>4.5</v>
      </c>
      <c r="I640" s="356">
        <v>4</v>
      </c>
      <c r="J640" s="356">
        <v>3.5</v>
      </c>
      <c r="K640" s="356">
        <v>3</v>
      </c>
      <c r="L640" s="357">
        <v>3</v>
      </c>
      <c r="M640" s="358">
        <v>3</v>
      </c>
      <c r="N640" s="273"/>
    </row>
    <row r="641" spans="1:19" outlineLevel="1">
      <c r="A641" s="477"/>
      <c r="B641" s="356" t="s">
        <v>308</v>
      </c>
      <c r="C641" s="378">
        <v>20</v>
      </c>
      <c r="D641" s="292">
        <v>2.4</v>
      </c>
      <c r="E641" s="356">
        <v>6</v>
      </c>
      <c r="F641" s="356">
        <v>5.5</v>
      </c>
      <c r="G641" s="356">
        <v>5</v>
      </c>
      <c r="H641" s="356">
        <v>5</v>
      </c>
      <c r="I641" s="356">
        <v>4.5</v>
      </c>
      <c r="J641" s="356">
        <v>4</v>
      </c>
      <c r="K641" s="356">
        <v>3.5</v>
      </c>
      <c r="L641" s="357">
        <v>3.5</v>
      </c>
      <c r="M641" s="358">
        <v>3.5</v>
      </c>
      <c r="N641" s="273"/>
    </row>
    <row r="642" spans="1:19" s="365" customFormat="1" outlineLevel="1">
      <c r="A642" s="361"/>
      <c r="B642" s="362" t="s">
        <v>309</v>
      </c>
      <c r="C642" s="379">
        <v>20</v>
      </c>
      <c r="D642" s="363">
        <v>2.8</v>
      </c>
      <c r="E642" s="362">
        <v>7</v>
      </c>
      <c r="F642" s="362">
        <v>6</v>
      </c>
      <c r="G642" s="362">
        <v>5.5</v>
      </c>
      <c r="H642" s="362">
        <v>5.5</v>
      </c>
      <c r="I642" s="362">
        <v>5</v>
      </c>
      <c r="J642" s="362">
        <v>4.5</v>
      </c>
      <c r="K642" s="362">
        <v>4</v>
      </c>
      <c r="L642" s="362">
        <v>4</v>
      </c>
      <c r="M642" s="364">
        <v>4</v>
      </c>
    </row>
    <row r="643" spans="1:19" outlineLevel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306"/>
      <c r="M643" s="273"/>
      <c r="N643" s="273"/>
    </row>
    <row r="644" spans="1:19" ht="28.5" outlineLevel="1">
      <c r="A644" s="1" t="s">
        <v>319</v>
      </c>
      <c r="B644" s="286" t="s">
        <v>320</v>
      </c>
      <c r="C644" s="286" t="s">
        <v>321</v>
      </c>
      <c r="D644" s="286" t="s">
        <v>322</v>
      </c>
      <c r="E644" s="286"/>
      <c r="F644" s="286"/>
      <c r="G644" s="286"/>
      <c r="H644" s="286"/>
      <c r="I644" s="1"/>
      <c r="J644" s="1"/>
      <c r="K644" s="1"/>
      <c r="L644" s="306"/>
      <c r="M644" s="273"/>
      <c r="N644" s="273"/>
    </row>
    <row r="645" spans="1:19" ht="14.25" outlineLevel="1">
      <c r="A645" s="1" t="s">
        <v>323</v>
      </c>
      <c r="B645" s="286" t="s">
        <v>324</v>
      </c>
      <c r="C645" s="286" t="s">
        <v>325</v>
      </c>
      <c r="D645" s="286">
        <v>5</v>
      </c>
      <c r="E645" s="286">
        <v>10</v>
      </c>
      <c r="F645" s="286">
        <v>15</v>
      </c>
      <c r="G645" s="286">
        <v>20</v>
      </c>
      <c r="H645" s="286"/>
      <c r="I645" s="1"/>
      <c r="J645" s="1"/>
      <c r="K645" s="1"/>
      <c r="L645" s="281"/>
    </row>
    <row r="646" spans="1:19" ht="15" outlineLevel="1">
      <c r="A646" s="1"/>
      <c r="B646" s="286" t="s">
        <v>326</v>
      </c>
      <c r="C646" s="286" t="s">
        <v>327</v>
      </c>
      <c r="D646" s="286">
        <v>1.5</v>
      </c>
      <c r="E646" s="286">
        <v>1.5</v>
      </c>
      <c r="F646" s="286">
        <v>1.5</v>
      </c>
      <c r="G646" s="286">
        <v>1.5</v>
      </c>
      <c r="H646" s="286"/>
      <c r="I646" s="1"/>
      <c r="J646" s="1"/>
      <c r="K646" s="1"/>
      <c r="L646" s="281"/>
    </row>
    <row r="647" spans="1:19" ht="15" outlineLevel="1">
      <c r="A647" s="1"/>
      <c r="B647" s="286" t="s">
        <v>328</v>
      </c>
      <c r="C647" s="286" t="s">
        <v>329</v>
      </c>
      <c r="D647" s="286">
        <v>1.5</v>
      </c>
      <c r="E647" s="286">
        <v>1.5</v>
      </c>
      <c r="F647" s="286">
        <v>1.5</v>
      </c>
      <c r="G647" s="286">
        <v>1.5</v>
      </c>
      <c r="H647" s="286"/>
      <c r="I647" s="1"/>
      <c r="J647" s="1"/>
      <c r="K647" s="1"/>
      <c r="L647" s="281"/>
    </row>
    <row r="648" spans="1:19" ht="15" outlineLevel="1">
      <c r="A648" s="1"/>
      <c r="B648" s="286" t="s">
        <v>328</v>
      </c>
      <c r="C648" s="286" t="s">
        <v>330</v>
      </c>
      <c r="D648" s="286">
        <v>2</v>
      </c>
      <c r="E648" s="286">
        <v>2</v>
      </c>
      <c r="F648" s="286">
        <v>2</v>
      </c>
      <c r="G648" s="286">
        <v>1.5</v>
      </c>
      <c r="H648" s="286"/>
      <c r="I648" s="1"/>
      <c r="J648" s="1"/>
      <c r="K648" s="1"/>
      <c r="L648" s="281"/>
    </row>
    <row r="649" spans="1:19" ht="15" outlineLevel="1">
      <c r="A649" s="1"/>
      <c r="B649" s="286" t="s">
        <v>331</v>
      </c>
      <c r="C649" s="286" t="s">
        <v>329</v>
      </c>
      <c r="D649" s="286">
        <v>1.5</v>
      </c>
      <c r="E649" s="286">
        <v>1.5</v>
      </c>
      <c r="F649" s="286">
        <v>1.5</v>
      </c>
      <c r="G649" s="286">
        <v>1.5</v>
      </c>
      <c r="H649" s="286"/>
      <c r="I649" s="1"/>
      <c r="J649" s="1"/>
      <c r="K649" s="1"/>
      <c r="L649" s="281"/>
    </row>
    <row r="650" spans="1:19" ht="15" outlineLevel="1">
      <c r="A650" s="1"/>
      <c r="B650" s="286" t="s">
        <v>332</v>
      </c>
      <c r="C650" s="286" t="s">
        <v>330</v>
      </c>
      <c r="D650" s="286">
        <v>5.5</v>
      </c>
      <c r="E650" s="286">
        <v>4</v>
      </c>
      <c r="F650" s="286">
        <v>4</v>
      </c>
      <c r="G650" s="286">
        <v>3</v>
      </c>
      <c r="H650" s="286"/>
      <c r="I650" s="1"/>
      <c r="J650" s="1"/>
      <c r="K650" s="1"/>
      <c r="L650" s="281"/>
    </row>
    <row r="651" spans="1:19" ht="15" outlineLevel="1">
      <c r="A651" s="1"/>
      <c r="B651" s="286" t="s">
        <v>333</v>
      </c>
      <c r="C651" s="286" t="s">
        <v>329</v>
      </c>
      <c r="D651" s="286">
        <v>1.5</v>
      </c>
      <c r="E651" s="286">
        <v>1.5</v>
      </c>
      <c r="F651" s="286">
        <v>1.5</v>
      </c>
      <c r="G651" s="286">
        <v>1.5</v>
      </c>
      <c r="H651" s="286"/>
      <c r="I651" s="1"/>
      <c r="J651" s="1"/>
      <c r="K651" s="1"/>
      <c r="L651" s="281"/>
    </row>
    <row r="652" spans="1:19" ht="15" outlineLevel="1">
      <c r="A652" s="1"/>
      <c r="B652" s="286" t="s">
        <v>333</v>
      </c>
      <c r="C652" s="286" t="s">
        <v>330</v>
      </c>
      <c r="D652" s="286">
        <v>7.5</v>
      </c>
      <c r="E652" s="286">
        <v>6</v>
      </c>
      <c r="F652" s="286">
        <v>5.5</v>
      </c>
      <c r="G652" s="286">
        <v>4.5</v>
      </c>
      <c r="H652" s="286"/>
      <c r="I652" s="1"/>
      <c r="J652" s="1"/>
      <c r="K652" s="1"/>
      <c r="L652" s="281"/>
    </row>
    <row r="653" spans="1:19" outlineLevel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281"/>
    </row>
    <row r="654" spans="1:19" ht="25.5" outlineLevel="1">
      <c r="A654" s="1" t="s">
        <v>334</v>
      </c>
      <c r="B654" s="1" t="s">
        <v>335</v>
      </c>
      <c r="C654" s="1" t="s">
        <v>336</v>
      </c>
      <c r="D654" s="1" t="s">
        <v>337</v>
      </c>
      <c r="E654" s="1"/>
      <c r="F654" s="1"/>
      <c r="G654" s="1"/>
      <c r="H654" s="1"/>
      <c r="I654" s="1"/>
      <c r="J654" s="1"/>
      <c r="K654" s="1"/>
      <c r="L654" s="281"/>
    </row>
    <row r="655" spans="1:19" ht="25.5" outlineLevel="1">
      <c r="A655" s="1" t="s">
        <v>338</v>
      </c>
      <c r="B655" s="1"/>
      <c r="C655" s="1"/>
      <c r="D655" s="1" t="s">
        <v>339</v>
      </c>
      <c r="E655" s="1" t="s">
        <v>340</v>
      </c>
      <c r="F655" s="287" t="s">
        <v>64</v>
      </c>
      <c r="G655" s="287" t="s">
        <v>106</v>
      </c>
      <c r="H655" s="1" t="s">
        <v>342</v>
      </c>
      <c r="I655" s="1"/>
      <c r="J655" s="1"/>
      <c r="K655" s="1"/>
      <c r="L655" s="1" t="s">
        <v>342</v>
      </c>
      <c r="M655" s="1" t="s">
        <v>341</v>
      </c>
      <c r="N655" s="287" t="s">
        <v>64</v>
      </c>
      <c r="O655" s="1" t="s">
        <v>340</v>
      </c>
      <c r="P655" s="1" t="s">
        <v>339</v>
      </c>
      <c r="R655" s="3">
        <v>1</v>
      </c>
      <c r="S655" s="3" t="s">
        <v>65</v>
      </c>
    </row>
    <row r="656" spans="1:19" ht="38.25" outlineLevel="1">
      <c r="A656" s="1"/>
      <c r="B656" s="1" t="s">
        <v>343</v>
      </c>
      <c r="C656" s="1" t="s">
        <v>344</v>
      </c>
      <c r="D656" s="285">
        <v>7</v>
      </c>
      <c r="E656" s="285">
        <v>11</v>
      </c>
      <c r="F656" s="285">
        <v>16</v>
      </c>
      <c r="G656" s="285">
        <v>22</v>
      </c>
      <c r="H656" s="285">
        <v>25</v>
      </c>
      <c r="I656" s="1"/>
      <c r="J656" s="1" t="s">
        <v>343</v>
      </c>
      <c r="K656" s="1" t="s">
        <v>344</v>
      </c>
      <c r="L656" s="285">
        <v>25</v>
      </c>
      <c r="M656" s="285">
        <v>22</v>
      </c>
      <c r="N656" s="285">
        <v>16</v>
      </c>
      <c r="O656" s="285">
        <v>11</v>
      </c>
      <c r="P656" s="285">
        <v>7</v>
      </c>
      <c r="R656" s="3">
        <v>2</v>
      </c>
      <c r="S656" s="3" t="s">
        <v>106</v>
      </c>
    </row>
    <row r="657" spans="1:19" ht="25.5" outlineLevel="1">
      <c r="A657" s="1"/>
      <c r="B657" s="1"/>
      <c r="C657" s="1" t="s">
        <v>345</v>
      </c>
      <c r="D657" s="285">
        <v>100</v>
      </c>
      <c r="E657" s="285">
        <v>100</v>
      </c>
      <c r="F657" s="288">
        <v>98.4</v>
      </c>
      <c r="G657" s="285">
        <v>91.5</v>
      </c>
      <c r="H657" s="285">
        <v>88</v>
      </c>
      <c r="I657" s="1"/>
      <c r="J657" s="1"/>
      <c r="K657" s="1" t="s">
        <v>345</v>
      </c>
      <c r="L657" s="285">
        <v>88</v>
      </c>
      <c r="M657" s="285">
        <v>91.5</v>
      </c>
      <c r="N657" s="288">
        <v>98.4</v>
      </c>
      <c r="O657" s="285">
        <v>100</v>
      </c>
      <c r="P657" s="285">
        <v>100</v>
      </c>
      <c r="R657" s="3">
        <v>3</v>
      </c>
      <c r="S657" s="3" t="s">
        <v>64</v>
      </c>
    </row>
    <row r="658" spans="1:19" ht="38.25" outlineLevel="1">
      <c r="A658" s="1"/>
      <c r="B658" s="1"/>
      <c r="C658" s="1" t="s">
        <v>346</v>
      </c>
      <c r="D658" s="285">
        <v>0.32</v>
      </c>
      <c r="E658" s="285">
        <v>0.5</v>
      </c>
      <c r="F658" s="285">
        <v>0.72</v>
      </c>
      <c r="G658" s="285">
        <v>0.92</v>
      </c>
      <c r="H658" s="285">
        <v>1</v>
      </c>
      <c r="I658" s="1"/>
      <c r="J658" s="1"/>
      <c r="K658" s="1" t="s">
        <v>346</v>
      </c>
      <c r="L658" s="285">
        <v>1</v>
      </c>
      <c r="M658" s="285">
        <v>0.92</v>
      </c>
      <c r="N658" s="285">
        <v>0.72</v>
      </c>
      <c r="O658" s="285">
        <v>0.5</v>
      </c>
      <c r="P658" s="285">
        <v>0.32</v>
      </c>
      <c r="R658" s="3">
        <v>4</v>
      </c>
      <c r="S658" s="3" t="s">
        <v>105</v>
      </c>
    </row>
    <row r="659" spans="1:19" ht="25.5" outlineLevel="1">
      <c r="A659" s="1"/>
      <c r="B659" s="1"/>
      <c r="C659" s="1" t="s">
        <v>347</v>
      </c>
      <c r="D659" s="285">
        <v>700</v>
      </c>
      <c r="E659" s="285">
        <v>1100</v>
      </c>
      <c r="F659" s="285">
        <v>1575</v>
      </c>
      <c r="G659" s="285">
        <v>2015</v>
      </c>
      <c r="H659" s="285">
        <v>2200</v>
      </c>
      <c r="I659" s="1"/>
      <c r="J659" s="1"/>
      <c r="K659" s="1" t="s">
        <v>347</v>
      </c>
      <c r="L659" s="285">
        <v>2200</v>
      </c>
      <c r="M659" s="285">
        <v>2015</v>
      </c>
      <c r="N659" s="285">
        <v>1575</v>
      </c>
      <c r="O659" s="285">
        <v>1100</v>
      </c>
      <c r="P659" s="285">
        <v>700</v>
      </c>
      <c r="R659" s="3">
        <v>5</v>
      </c>
      <c r="S659" s="3" t="s">
        <v>104</v>
      </c>
    </row>
    <row r="660" spans="1:19" ht="38.25" outlineLevel="1">
      <c r="A660" s="1"/>
      <c r="B660" s="1" t="s">
        <v>348</v>
      </c>
      <c r="C660" s="1" t="s">
        <v>349</v>
      </c>
      <c r="D660" s="285">
        <v>7</v>
      </c>
      <c r="E660" s="285">
        <v>11</v>
      </c>
      <c r="F660" s="285">
        <v>16</v>
      </c>
      <c r="G660" s="285">
        <v>22</v>
      </c>
      <c r="H660" s="285">
        <v>26</v>
      </c>
      <c r="I660" s="1"/>
      <c r="J660" s="1" t="s">
        <v>348</v>
      </c>
      <c r="K660" s="1" t="s">
        <v>349</v>
      </c>
      <c r="L660" s="285">
        <v>26</v>
      </c>
      <c r="M660" s="285">
        <v>22</v>
      </c>
      <c r="N660" s="285">
        <v>16</v>
      </c>
      <c r="O660" s="285">
        <v>11</v>
      </c>
      <c r="P660" s="285">
        <v>7</v>
      </c>
    </row>
    <row r="661" spans="1:19" ht="25.5" outlineLevel="1">
      <c r="A661" s="1"/>
      <c r="B661" s="1"/>
      <c r="C661" s="1" t="s">
        <v>345</v>
      </c>
      <c r="D661" s="285">
        <v>90</v>
      </c>
      <c r="E661" s="285">
        <v>90</v>
      </c>
      <c r="F661" s="285">
        <v>89.8</v>
      </c>
      <c r="G661" s="285">
        <v>84.7</v>
      </c>
      <c r="H661" s="285">
        <v>80.8</v>
      </c>
      <c r="I661" s="1"/>
      <c r="J661" s="1"/>
      <c r="K661" s="1" t="s">
        <v>345</v>
      </c>
      <c r="L661" s="285">
        <v>80.8</v>
      </c>
      <c r="M661" s="285">
        <v>84.7</v>
      </c>
      <c r="N661" s="285">
        <v>89.8</v>
      </c>
      <c r="O661" s="285">
        <v>90</v>
      </c>
      <c r="P661" s="285">
        <v>90</v>
      </c>
    </row>
    <row r="662" spans="1:19" outlineLevel="1">
      <c r="A662" s="1"/>
      <c r="B662" s="1"/>
      <c r="C662" s="1" t="s">
        <v>350</v>
      </c>
      <c r="D662" s="285">
        <v>0.3</v>
      </c>
      <c r="E662" s="285">
        <v>0.47</v>
      </c>
      <c r="F662" s="285">
        <v>0.68</v>
      </c>
      <c r="G662" s="285">
        <v>0.89</v>
      </c>
      <c r="H662" s="285">
        <v>1</v>
      </c>
      <c r="I662" s="1"/>
      <c r="J662" s="1"/>
      <c r="K662" s="1" t="s">
        <v>350</v>
      </c>
      <c r="L662" s="285">
        <v>1</v>
      </c>
      <c r="M662" s="285">
        <v>0.89</v>
      </c>
      <c r="N662" s="285">
        <v>0.68</v>
      </c>
      <c r="O662" s="285">
        <v>0.47</v>
      </c>
      <c r="P662" s="285">
        <v>0.3</v>
      </c>
    </row>
    <row r="663" spans="1:19" ht="25.5" outlineLevel="1">
      <c r="A663" s="1"/>
      <c r="B663" s="1"/>
      <c r="C663" s="1" t="s">
        <v>351</v>
      </c>
      <c r="D663" s="285"/>
      <c r="E663" s="285"/>
      <c r="F663" s="285"/>
      <c r="G663" s="285"/>
      <c r="H663" s="285"/>
      <c r="I663" s="1"/>
      <c r="J663" s="1"/>
      <c r="K663" s="1" t="s">
        <v>351</v>
      </c>
      <c r="L663" s="285"/>
      <c r="M663" s="285"/>
      <c r="N663" s="285"/>
      <c r="O663" s="285"/>
      <c r="P663" s="285"/>
    </row>
    <row r="664" spans="1:19" ht="25.5" outlineLevel="1">
      <c r="A664" s="1"/>
      <c r="B664" s="1"/>
      <c r="C664" s="1" t="s">
        <v>352</v>
      </c>
      <c r="D664" s="285">
        <v>630</v>
      </c>
      <c r="E664" s="285">
        <v>990</v>
      </c>
      <c r="F664" s="285">
        <v>1435</v>
      </c>
      <c r="G664" s="285">
        <v>1860</v>
      </c>
      <c r="H664" s="285">
        <v>2100</v>
      </c>
      <c r="I664" s="1"/>
      <c r="J664" s="1"/>
      <c r="K664" s="1" t="s">
        <v>352</v>
      </c>
      <c r="L664" s="285">
        <v>2100</v>
      </c>
      <c r="M664" s="285">
        <v>1860</v>
      </c>
      <c r="N664" s="285">
        <v>1435</v>
      </c>
      <c r="O664" s="285">
        <v>990</v>
      </c>
      <c r="P664" s="285">
        <v>630</v>
      </c>
    </row>
    <row r="665" spans="1:19" ht="38.25" outlineLevel="1">
      <c r="A665" s="1"/>
      <c r="B665" s="1" t="s">
        <v>353</v>
      </c>
      <c r="C665" s="1" t="s">
        <v>349</v>
      </c>
      <c r="D665" s="285">
        <v>7</v>
      </c>
      <c r="E665" s="285">
        <v>11</v>
      </c>
      <c r="F665" s="285">
        <v>16</v>
      </c>
      <c r="G665" s="285">
        <v>22</v>
      </c>
      <c r="H665" s="285">
        <v>27</v>
      </c>
      <c r="I665" s="1"/>
      <c r="J665" s="1" t="s">
        <v>353</v>
      </c>
      <c r="K665" s="1" t="s">
        <v>349</v>
      </c>
      <c r="L665" s="285">
        <v>27</v>
      </c>
      <c r="M665" s="285">
        <v>22</v>
      </c>
      <c r="N665" s="285">
        <v>16</v>
      </c>
      <c r="O665" s="285">
        <v>11</v>
      </c>
      <c r="P665" s="285">
        <v>7</v>
      </c>
    </row>
    <row r="666" spans="1:19" ht="25.5" outlineLevel="1">
      <c r="A666" s="1"/>
      <c r="B666" s="1"/>
      <c r="C666" s="1" t="s">
        <v>345</v>
      </c>
      <c r="D666" s="285">
        <v>80</v>
      </c>
      <c r="E666" s="285">
        <v>80</v>
      </c>
      <c r="F666" s="285">
        <v>80</v>
      </c>
      <c r="G666" s="285">
        <v>77.599999999999994</v>
      </c>
      <c r="H666" s="285">
        <v>74.099999999999994</v>
      </c>
      <c r="I666" s="1"/>
      <c r="J666" s="1"/>
      <c r="K666" s="1" t="s">
        <v>345</v>
      </c>
      <c r="L666" s="285">
        <v>74.099999999999994</v>
      </c>
      <c r="M666" s="285">
        <v>77.599999999999994</v>
      </c>
      <c r="N666" s="285">
        <v>80</v>
      </c>
      <c r="O666" s="285">
        <v>80</v>
      </c>
      <c r="P666" s="285">
        <v>80</v>
      </c>
    </row>
    <row r="667" spans="1:19" outlineLevel="1">
      <c r="A667" s="1"/>
      <c r="B667" s="1"/>
      <c r="C667" s="1" t="s">
        <v>354</v>
      </c>
      <c r="D667" s="285">
        <v>0.28000000000000003</v>
      </c>
      <c r="E667" s="285">
        <v>0.44</v>
      </c>
      <c r="F667" s="285">
        <v>0.64</v>
      </c>
      <c r="G667" s="285">
        <v>0.85</v>
      </c>
      <c r="H667" s="285">
        <v>1</v>
      </c>
      <c r="I667" s="1"/>
      <c r="J667" s="1"/>
      <c r="K667" s="1" t="s">
        <v>354</v>
      </c>
      <c r="L667" s="285">
        <v>1</v>
      </c>
      <c r="M667" s="285">
        <v>0.85</v>
      </c>
      <c r="N667" s="285">
        <v>0.64</v>
      </c>
      <c r="O667" s="285">
        <v>0.44</v>
      </c>
      <c r="P667" s="285">
        <v>0.28000000000000003</v>
      </c>
    </row>
    <row r="668" spans="1:19" ht="25.5" outlineLevel="1">
      <c r="A668" s="1"/>
      <c r="B668" s="1"/>
      <c r="C668" s="1" t="s">
        <v>355</v>
      </c>
      <c r="D668" s="285"/>
      <c r="E668" s="285"/>
      <c r="F668" s="285"/>
      <c r="G668" s="285"/>
      <c r="H668" s="285"/>
      <c r="I668" s="1"/>
      <c r="J668" s="1"/>
      <c r="K668" s="1" t="s">
        <v>355</v>
      </c>
      <c r="L668" s="285"/>
      <c r="M668" s="285"/>
      <c r="N668" s="285"/>
      <c r="O668" s="285"/>
      <c r="P668" s="285"/>
    </row>
    <row r="669" spans="1:19" ht="25.5" outlineLevel="1">
      <c r="A669" s="1"/>
      <c r="B669" s="1"/>
      <c r="C669" s="1" t="s">
        <v>352</v>
      </c>
      <c r="D669" s="285">
        <v>560</v>
      </c>
      <c r="E669" s="285">
        <v>880</v>
      </c>
      <c r="F669" s="285">
        <v>1280</v>
      </c>
      <c r="G669" s="285">
        <v>1705</v>
      </c>
      <c r="H669" s="285">
        <v>2000</v>
      </c>
      <c r="I669" s="1"/>
      <c r="J669" s="1"/>
      <c r="K669" s="1" t="s">
        <v>352</v>
      </c>
      <c r="L669" s="285">
        <v>2000</v>
      </c>
      <c r="M669" s="285">
        <v>1705</v>
      </c>
      <c r="N669" s="285">
        <v>1280</v>
      </c>
      <c r="O669" s="285">
        <v>880</v>
      </c>
      <c r="P669" s="285">
        <v>560</v>
      </c>
    </row>
    <row r="670" spans="1:19" ht="38.25" outlineLevel="1">
      <c r="A670" s="1"/>
      <c r="B670" s="1" t="s">
        <v>356</v>
      </c>
      <c r="C670" s="1" t="s">
        <v>349</v>
      </c>
      <c r="D670" s="285">
        <v>7</v>
      </c>
      <c r="E670" s="285">
        <v>11</v>
      </c>
      <c r="F670" s="285">
        <v>16</v>
      </c>
      <c r="G670" s="285">
        <v>22</v>
      </c>
      <c r="H670" s="285">
        <v>28</v>
      </c>
      <c r="I670" s="1"/>
      <c r="J670" s="1" t="s">
        <v>356</v>
      </c>
      <c r="K670" s="1" t="s">
        <v>349</v>
      </c>
      <c r="L670" s="285">
        <v>28</v>
      </c>
      <c r="M670" s="285">
        <v>22</v>
      </c>
      <c r="N670" s="285">
        <v>16</v>
      </c>
      <c r="O670" s="285">
        <v>11</v>
      </c>
      <c r="P670" s="285">
        <v>7</v>
      </c>
    </row>
    <row r="671" spans="1:19" ht="25.5" outlineLevel="1">
      <c r="A671" s="1"/>
      <c r="B671" s="1"/>
      <c r="C671" s="1" t="s">
        <v>345</v>
      </c>
      <c r="D671" s="285">
        <v>70</v>
      </c>
      <c r="E671" s="285">
        <v>70</v>
      </c>
      <c r="F671" s="285">
        <v>70</v>
      </c>
      <c r="G671" s="285">
        <v>69.599999999999994</v>
      </c>
      <c r="H671" s="285">
        <v>67.900000000000006</v>
      </c>
      <c r="I671" s="1"/>
      <c r="J671" s="1"/>
      <c r="K671" s="1" t="s">
        <v>345</v>
      </c>
      <c r="L671" s="285">
        <v>67.900000000000006</v>
      </c>
      <c r="M671" s="285">
        <v>69.599999999999994</v>
      </c>
      <c r="N671" s="285">
        <v>70</v>
      </c>
      <c r="O671" s="285">
        <v>70</v>
      </c>
      <c r="P671" s="285">
        <v>70</v>
      </c>
    </row>
    <row r="672" spans="1:19" outlineLevel="1">
      <c r="A672" s="1"/>
      <c r="B672" s="1"/>
      <c r="C672" s="1" t="s">
        <v>354</v>
      </c>
      <c r="D672" s="285">
        <v>0.26</v>
      </c>
      <c r="E672" s="285">
        <v>0.41</v>
      </c>
      <c r="F672" s="285">
        <v>0.59</v>
      </c>
      <c r="G672" s="285">
        <v>0.81</v>
      </c>
      <c r="H672" s="285">
        <v>1</v>
      </c>
      <c r="I672" s="1"/>
      <c r="J672" s="1"/>
      <c r="K672" s="1" t="s">
        <v>354</v>
      </c>
      <c r="L672" s="285">
        <v>1</v>
      </c>
      <c r="M672" s="285">
        <v>0.81</v>
      </c>
      <c r="N672" s="285">
        <v>0.59</v>
      </c>
      <c r="O672" s="285">
        <v>0.41</v>
      </c>
      <c r="P672" s="285">
        <v>0.26</v>
      </c>
    </row>
    <row r="673" spans="1:16" ht="25.5" outlineLevel="1">
      <c r="A673" s="1"/>
      <c r="B673" s="1"/>
      <c r="C673" s="1" t="s">
        <v>355</v>
      </c>
      <c r="D673" s="285"/>
      <c r="E673" s="285"/>
      <c r="F673" s="285"/>
      <c r="G673" s="285"/>
      <c r="H673" s="285"/>
      <c r="I673" s="1"/>
      <c r="J673" s="1"/>
      <c r="K673" s="1" t="s">
        <v>355</v>
      </c>
      <c r="L673" s="285"/>
      <c r="M673" s="285"/>
      <c r="N673" s="285"/>
      <c r="O673" s="285"/>
      <c r="P673" s="285"/>
    </row>
    <row r="674" spans="1:16" ht="25.5" outlineLevel="1">
      <c r="A674" s="1"/>
      <c r="B674" s="1"/>
      <c r="C674" s="1" t="s">
        <v>352</v>
      </c>
      <c r="D674" s="285">
        <v>490</v>
      </c>
      <c r="E674" s="285">
        <v>770</v>
      </c>
      <c r="F674" s="285">
        <v>1120</v>
      </c>
      <c r="G674" s="285">
        <v>1530</v>
      </c>
      <c r="H674" s="285">
        <v>1900</v>
      </c>
      <c r="I674" s="1"/>
      <c r="J674" s="1"/>
      <c r="K674" s="1" t="s">
        <v>352</v>
      </c>
      <c r="L674" s="285">
        <v>1900</v>
      </c>
      <c r="M674" s="285">
        <v>1530</v>
      </c>
      <c r="N674" s="285">
        <v>1120</v>
      </c>
      <c r="O674" s="285">
        <v>770</v>
      </c>
      <c r="P674" s="285">
        <v>490</v>
      </c>
    </row>
    <row r="675" spans="1:16" outlineLevel="1">
      <c r="A675" s="2"/>
      <c r="E675" s="2"/>
    </row>
    <row r="676" spans="1:16" ht="25.5" outlineLevel="1">
      <c r="A676" s="2" t="s">
        <v>24</v>
      </c>
      <c r="B676" s="7" t="s">
        <v>25</v>
      </c>
      <c r="C676" s="2" t="s">
        <v>30</v>
      </c>
    </row>
    <row r="677" spans="1:16" outlineLevel="1"/>
    <row r="678" spans="1:16" ht="25.5" outlineLevel="1">
      <c r="A678" s="2" t="s">
        <v>48</v>
      </c>
      <c r="B678" s="7" t="s">
        <v>49</v>
      </c>
    </row>
    <row r="679" spans="1:16" outlineLevel="1"/>
    <row r="680" spans="1:16" ht="25.5" outlineLevel="1">
      <c r="A680" s="2" t="s">
        <v>55</v>
      </c>
      <c r="B680" s="7" t="s">
        <v>56</v>
      </c>
    </row>
    <row r="681" spans="1:16" outlineLevel="1"/>
    <row r="682" spans="1:16" ht="25.5" outlineLevel="1">
      <c r="A682" s="3" t="s">
        <v>59</v>
      </c>
      <c r="B682" s="7" t="s">
        <v>60</v>
      </c>
    </row>
    <row r="683" spans="1:16" outlineLevel="1">
      <c r="A683" s="3" t="s">
        <v>62</v>
      </c>
      <c r="B683" s="2" t="s">
        <v>63</v>
      </c>
    </row>
    <row r="684" spans="1:16" outlineLevel="1"/>
    <row r="685" spans="1:16" outlineLevel="1"/>
    <row r="686" spans="1:16" collapsed="1"/>
  </sheetData>
  <mergeCells count="94">
    <mergeCell ref="B27:B29"/>
    <mergeCell ref="B13:B14"/>
    <mergeCell ref="C13:C14"/>
    <mergeCell ref="D13:D14"/>
    <mergeCell ref="F13:G13"/>
    <mergeCell ref="B15:B17"/>
    <mergeCell ref="B18:B20"/>
    <mergeCell ref="B22:B23"/>
    <mergeCell ref="C22:C23"/>
    <mergeCell ref="D22:D23"/>
    <mergeCell ref="F22:G22"/>
    <mergeCell ref="B24:B26"/>
    <mergeCell ref="C32:C33"/>
    <mergeCell ref="D32:D33"/>
    <mergeCell ref="F32:G32"/>
    <mergeCell ref="C38:C39"/>
    <mergeCell ref="D38:D39"/>
    <mergeCell ref="F38:G38"/>
    <mergeCell ref="B48:B50"/>
    <mergeCell ref="C48:F48"/>
    <mergeCell ref="C49:F49"/>
    <mergeCell ref="B65:B67"/>
    <mergeCell ref="C65:H65"/>
    <mergeCell ref="A159:A161"/>
    <mergeCell ref="C159:C161"/>
    <mergeCell ref="D159:F159"/>
    <mergeCell ref="D160:F160"/>
    <mergeCell ref="L65:O65"/>
    <mergeCell ref="C66:H66"/>
    <mergeCell ref="L66:O66"/>
    <mergeCell ref="B86:B87"/>
    <mergeCell ref="C86:H86"/>
    <mergeCell ref="J86:O86"/>
    <mergeCell ref="K65:K67"/>
    <mergeCell ref="B106:B107"/>
    <mergeCell ref="C106:H106"/>
    <mergeCell ref="J106:O106"/>
    <mergeCell ref="B132:B133"/>
    <mergeCell ref="C132:N132"/>
    <mergeCell ref="A228:A235"/>
    <mergeCell ref="A162:A169"/>
    <mergeCell ref="A170:A177"/>
    <mergeCell ref="A178:A185"/>
    <mergeCell ref="A186:A193"/>
    <mergeCell ref="A194:A201"/>
    <mergeCell ref="A209:A211"/>
    <mergeCell ref="C209:C211"/>
    <mergeCell ref="D209:F209"/>
    <mergeCell ref="D210:F210"/>
    <mergeCell ref="A212:A219"/>
    <mergeCell ref="A220:A227"/>
    <mergeCell ref="A236:A243"/>
    <mergeCell ref="A244:A251"/>
    <mergeCell ref="A259:A261"/>
    <mergeCell ref="C259:C261"/>
    <mergeCell ref="D259:F259"/>
    <mergeCell ref="D260:F260"/>
    <mergeCell ref="A312:A319"/>
    <mergeCell ref="A320:A327"/>
    <mergeCell ref="A262:A269"/>
    <mergeCell ref="A270:A277"/>
    <mergeCell ref="A278:A285"/>
    <mergeCell ref="A286:A293"/>
    <mergeCell ref="A294:A301"/>
    <mergeCell ref="A309:A311"/>
    <mergeCell ref="D359:F359"/>
    <mergeCell ref="D360:F360"/>
    <mergeCell ref="C309:C311"/>
    <mergeCell ref="D309:F309"/>
    <mergeCell ref="G309:G311"/>
    <mergeCell ref="D310:F310"/>
    <mergeCell ref="A328:A335"/>
    <mergeCell ref="A336:A343"/>
    <mergeCell ref="A344:A351"/>
    <mergeCell ref="A359:A361"/>
    <mergeCell ref="C359:C361"/>
    <mergeCell ref="A362:A369"/>
    <mergeCell ref="A370:A377"/>
    <mergeCell ref="A378:A385"/>
    <mergeCell ref="A386:A393"/>
    <mergeCell ref="A394:A401"/>
    <mergeCell ref="E582:E586"/>
    <mergeCell ref="C404:F404"/>
    <mergeCell ref="C405:F405"/>
    <mergeCell ref="A413:A414"/>
    <mergeCell ref="B413:F413"/>
    <mergeCell ref="A473:A474"/>
    <mergeCell ref="B473:F473"/>
    <mergeCell ref="B404:B406"/>
    <mergeCell ref="A527:A528"/>
    <mergeCell ref="E552:E562"/>
    <mergeCell ref="E564:E568"/>
    <mergeCell ref="E570:E574"/>
    <mergeCell ref="E576:E580"/>
  </mergeCells>
  <conditionalFormatting sqref="E612:M6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>
    <tabColor rgb="FF002060"/>
  </sheetPr>
  <dimension ref="A1:AU37"/>
  <sheetViews>
    <sheetView workbookViewId="0">
      <selection activeCell="T7" sqref="T7"/>
    </sheetView>
  </sheetViews>
  <sheetFormatPr defaultRowHeight="12.75"/>
  <cols>
    <col min="1" max="10" width="9.140625" style="443"/>
    <col min="11" max="11" width="9.140625" style="444"/>
    <col min="12" max="12" width="9.5703125" style="444" bestFit="1" customWidth="1"/>
    <col min="13" max="18" width="9.28515625" style="444" bestFit="1" customWidth="1"/>
    <col min="19" max="16384" width="9.140625" style="444"/>
  </cols>
  <sheetData>
    <row r="1" spans="1:47" s="443" customFormat="1">
      <c r="A1" s="443" t="s">
        <v>79</v>
      </c>
    </row>
    <row r="2" spans="1:47" ht="15">
      <c r="B2" s="445" t="s">
        <v>421</v>
      </c>
      <c r="C2" s="445"/>
      <c r="D2" s="445"/>
      <c r="E2" s="446" t="s">
        <v>422</v>
      </c>
      <c r="F2" s="446" t="s">
        <v>423</v>
      </c>
      <c r="G2" s="445" t="s">
        <v>424</v>
      </c>
      <c r="H2" s="445"/>
      <c r="I2" s="445"/>
      <c r="K2" s="447" t="s">
        <v>425</v>
      </c>
      <c r="L2" s="447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  <c r="X2" s="445"/>
      <c r="Y2" s="445"/>
      <c r="Z2" s="445"/>
      <c r="AA2" s="445"/>
      <c r="AB2" s="445"/>
      <c r="AC2" s="445"/>
      <c r="AD2" s="445"/>
      <c r="AE2" s="445"/>
      <c r="AF2" s="445"/>
      <c r="AG2" s="445"/>
      <c r="AH2" s="445"/>
      <c r="AI2" s="445"/>
      <c r="AJ2" s="445"/>
      <c r="AK2" s="445"/>
      <c r="AL2" s="445"/>
      <c r="AM2" s="445"/>
      <c r="AN2" s="445"/>
      <c r="AO2" s="445"/>
      <c r="AP2" s="445"/>
      <c r="AQ2" s="445"/>
      <c r="AR2" s="445"/>
      <c r="AS2" s="445"/>
      <c r="AT2" s="445"/>
      <c r="AU2" s="445"/>
    </row>
    <row r="3" spans="1:47" ht="15">
      <c r="B3" s="443" t="s">
        <v>426</v>
      </c>
      <c r="C3" s="448">
        <v>281.2</v>
      </c>
      <c r="D3" s="449" t="s">
        <v>427</v>
      </c>
      <c r="E3" s="446">
        <f>MIN(x_value)</f>
        <v>0</v>
      </c>
      <c r="F3" s="446">
        <f>MAX(x_value)</f>
        <v>3200</v>
      </c>
      <c r="G3" s="443" t="s">
        <v>428</v>
      </c>
      <c r="H3" s="450">
        <f>SUMPRODUCT(D23:D26,H23:H26)</f>
        <v>3.7846921874999988</v>
      </c>
      <c r="I3" s="449" t="s">
        <v>427</v>
      </c>
      <c r="K3" s="447"/>
      <c r="L3" s="459" t="s">
        <v>429</v>
      </c>
      <c r="M3" s="460">
        <v>0</v>
      </c>
      <c r="N3" s="460">
        <v>0.2</v>
      </c>
      <c r="O3" s="460">
        <v>0.4</v>
      </c>
      <c r="P3" s="460">
        <v>0.6</v>
      </c>
      <c r="Q3" s="460">
        <v>0.8</v>
      </c>
      <c r="R3" s="460">
        <v>1</v>
      </c>
      <c r="S3" s="452"/>
      <c r="T3" s="452"/>
      <c r="U3" s="452"/>
      <c r="V3" s="451"/>
      <c r="W3" s="451"/>
      <c r="X3" s="451"/>
      <c r="Y3" s="451"/>
      <c r="Z3" s="451"/>
      <c r="AA3" s="451"/>
      <c r="AB3" s="451"/>
      <c r="AC3" s="451"/>
      <c r="AD3" s="451"/>
      <c r="AE3" s="451"/>
      <c r="AF3" s="451"/>
      <c r="AG3" s="451"/>
      <c r="AH3" s="451"/>
      <c r="AI3" s="451"/>
      <c r="AJ3" s="451"/>
      <c r="AK3" s="451"/>
      <c r="AL3" s="451"/>
      <c r="AM3" s="451"/>
      <c r="AN3" s="452"/>
      <c r="AO3" s="452"/>
      <c r="AP3" s="452"/>
      <c r="AQ3" s="452"/>
      <c r="AR3" s="452"/>
      <c r="AS3" s="452"/>
      <c r="AT3" s="452"/>
      <c r="AU3" s="452"/>
    </row>
    <row r="4" spans="1:47" ht="15">
      <c r="B4" s="443" t="s">
        <v>430</v>
      </c>
      <c r="C4" s="448">
        <v>0.4921875</v>
      </c>
      <c r="D4" s="449" t="s">
        <v>427</v>
      </c>
      <c r="E4" s="446">
        <f>MIN(y_value)</f>
        <v>0</v>
      </c>
      <c r="F4" s="446">
        <f>MAX(y_value)</f>
        <v>1</v>
      </c>
      <c r="K4" s="445"/>
      <c r="L4" s="460">
        <v>0</v>
      </c>
      <c r="M4" s="461">
        <v>0</v>
      </c>
      <c r="N4" s="461">
        <v>0</v>
      </c>
      <c r="O4" s="461">
        <v>0</v>
      </c>
      <c r="P4" s="461">
        <v>0</v>
      </c>
      <c r="Q4" s="461">
        <v>0</v>
      </c>
      <c r="R4" s="461">
        <v>0</v>
      </c>
      <c r="S4" s="343"/>
      <c r="T4" s="343"/>
      <c r="U4" s="343"/>
      <c r="V4" s="440"/>
      <c r="W4" s="440"/>
      <c r="X4" s="440"/>
      <c r="Y4" s="440"/>
      <c r="Z4" s="440"/>
      <c r="AA4" s="440"/>
      <c r="AB4" s="440"/>
      <c r="AC4" s="440"/>
      <c r="AD4" s="440"/>
      <c r="AE4" s="440"/>
      <c r="AF4" s="440"/>
      <c r="AG4" s="440"/>
      <c r="AH4" s="440"/>
      <c r="AI4" s="440"/>
      <c r="AJ4" s="440"/>
      <c r="AK4" s="440"/>
      <c r="AL4" s="440"/>
      <c r="AM4" s="343"/>
      <c r="AN4" s="343"/>
      <c r="AO4" s="343"/>
      <c r="AP4" s="343"/>
      <c r="AQ4" s="343"/>
      <c r="AR4" s="343"/>
      <c r="AS4" s="343"/>
      <c r="AT4" s="343"/>
      <c r="AU4" s="343"/>
    </row>
    <row r="5" spans="1:47" ht="15">
      <c r="K5" s="445"/>
      <c r="L5" s="460">
        <v>200</v>
      </c>
      <c r="M5" s="461">
        <v>0</v>
      </c>
      <c r="N5" s="461">
        <v>1</v>
      </c>
      <c r="O5" s="461">
        <v>2.2999999999999998</v>
      </c>
      <c r="P5" s="461">
        <v>3.8</v>
      </c>
      <c r="Q5" s="461">
        <v>4.2</v>
      </c>
      <c r="R5" s="461">
        <v>5.6</v>
      </c>
      <c r="S5" s="343"/>
      <c r="T5" s="343"/>
      <c r="U5" s="343"/>
      <c r="V5" s="440"/>
      <c r="W5" s="440"/>
      <c r="X5" s="440"/>
      <c r="Y5" s="440"/>
      <c r="Z5" s="440"/>
      <c r="AA5" s="440"/>
      <c r="AB5" s="440"/>
      <c r="AC5" s="440"/>
      <c r="AD5" s="440"/>
      <c r="AE5" s="440"/>
      <c r="AF5" s="440"/>
      <c r="AG5" s="440"/>
      <c r="AH5" s="440"/>
      <c r="AI5" s="440"/>
      <c r="AJ5" s="440"/>
      <c r="AK5" s="440"/>
      <c r="AL5" s="440"/>
      <c r="AM5" s="343"/>
      <c r="AN5" s="343"/>
      <c r="AO5" s="343"/>
      <c r="AP5" s="343"/>
      <c r="AQ5" s="343"/>
      <c r="AR5" s="343"/>
      <c r="AS5" s="343"/>
      <c r="AT5" s="343"/>
      <c r="AU5" s="343"/>
    </row>
    <row r="6" spans="1:47" ht="15">
      <c r="B6" s="445" t="s">
        <v>431</v>
      </c>
      <c r="C6" s="445"/>
      <c r="D6" s="445"/>
      <c r="F6" s="446" t="s">
        <v>432</v>
      </c>
      <c r="K6" s="445"/>
      <c r="L6" s="460">
        <v>400</v>
      </c>
      <c r="M6" s="461">
        <v>0</v>
      </c>
      <c r="N6" s="461">
        <v>2.7</v>
      </c>
      <c r="O6" s="461">
        <v>4.3</v>
      </c>
      <c r="P6" s="461">
        <v>5.7</v>
      </c>
      <c r="Q6" s="461">
        <v>6.3</v>
      </c>
      <c r="R6" s="461">
        <v>7.3</v>
      </c>
      <c r="S6" s="343"/>
      <c r="T6" s="343"/>
      <c r="U6" s="343"/>
      <c r="V6" s="440"/>
      <c r="W6" s="440"/>
      <c r="X6" s="440"/>
      <c r="Y6" s="440"/>
      <c r="Z6" s="440"/>
      <c r="AA6" s="440"/>
      <c r="AB6" s="440"/>
      <c r="AC6" s="440"/>
      <c r="AD6" s="440"/>
      <c r="AE6" s="440"/>
      <c r="AF6" s="440"/>
      <c r="AG6" s="440"/>
      <c r="AH6" s="440"/>
      <c r="AI6" s="440"/>
      <c r="AJ6" s="440"/>
      <c r="AK6" s="440"/>
      <c r="AL6" s="440"/>
      <c r="AM6" s="343"/>
      <c r="AN6" s="343"/>
      <c r="AO6" s="343"/>
      <c r="AP6" s="343"/>
      <c r="AQ6" s="343"/>
      <c r="AR6" s="343"/>
      <c r="AS6" s="343"/>
      <c r="AT6" s="343"/>
      <c r="AU6" s="343"/>
    </row>
    <row r="7" spans="1:47" ht="15">
      <c r="B7" s="443" t="s">
        <v>433</v>
      </c>
      <c r="C7" s="450">
        <f>INDEX(x_value,MATCH(x,x_value,1))</f>
        <v>200</v>
      </c>
      <c r="D7" s="449" t="s">
        <v>427</v>
      </c>
      <c r="F7" s="446">
        <f>MATCH(x,x_value,1)</f>
        <v>2</v>
      </c>
      <c r="K7" s="445"/>
      <c r="L7" s="460">
        <v>600</v>
      </c>
      <c r="M7" s="461">
        <v>0</v>
      </c>
      <c r="N7" s="461">
        <v>2.5</v>
      </c>
      <c r="O7" s="461">
        <v>3.8</v>
      </c>
      <c r="P7" s="461">
        <v>4.9000000000000004</v>
      </c>
      <c r="Q7" s="461">
        <v>5.5</v>
      </c>
      <c r="R7" s="461">
        <v>6.2</v>
      </c>
      <c r="S7" s="343"/>
      <c r="T7" s="343"/>
      <c r="U7" s="343"/>
      <c r="V7" s="440"/>
      <c r="W7" s="440"/>
      <c r="X7" s="440"/>
      <c r="Y7" s="440"/>
      <c r="Z7" s="440"/>
      <c r="AA7" s="440"/>
      <c r="AB7" s="440"/>
      <c r="AC7" s="440"/>
      <c r="AD7" s="440"/>
      <c r="AE7" s="440"/>
      <c r="AF7" s="440"/>
      <c r="AG7" s="440"/>
      <c r="AH7" s="440"/>
      <c r="AI7" s="440"/>
      <c r="AJ7" s="440"/>
      <c r="AK7" s="440"/>
      <c r="AL7" s="440"/>
      <c r="AM7" s="343"/>
      <c r="AN7" s="343"/>
      <c r="AO7" s="343"/>
      <c r="AP7" s="343"/>
      <c r="AQ7" s="343"/>
      <c r="AR7" s="343"/>
      <c r="AS7" s="343"/>
      <c r="AT7" s="343"/>
      <c r="AU7" s="343"/>
    </row>
    <row r="8" spans="1:47" ht="15">
      <c r="B8" s="443" t="s">
        <v>434</v>
      </c>
      <c r="C8" s="450">
        <f>INDEX(x_value,MATCH(x,x_value,1)+1)</f>
        <v>400</v>
      </c>
      <c r="D8" s="449" t="s">
        <v>427</v>
      </c>
      <c r="F8" s="446">
        <f>MATCH(x,x_value,1)+1</f>
        <v>3</v>
      </c>
      <c r="K8" s="445"/>
      <c r="L8" s="460">
        <v>800</v>
      </c>
      <c r="M8" s="461">
        <v>0</v>
      </c>
      <c r="N8" s="461">
        <v>2.2000000000000002</v>
      </c>
      <c r="O8" s="461">
        <v>3.1</v>
      </c>
      <c r="P8" s="461">
        <v>3.9</v>
      </c>
      <c r="Q8" s="461">
        <v>4.3</v>
      </c>
      <c r="R8" s="461">
        <v>4.9000000000000004</v>
      </c>
      <c r="S8" s="343"/>
      <c r="T8" s="343"/>
      <c r="U8" s="343"/>
      <c r="V8" s="440"/>
      <c r="W8" s="440"/>
      <c r="X8" s="440"/>
      <c r="Y8" s="440"/>
      <c r="Z8" s="440"/>
      <c r="AA8" s="440"/>
      <c r="AB8" s="440"/>
      <c r="AC8" s="440"/>
      <c r="AD8" s="440"/>
      <c r="AE8" s="440"/>
      <c r="AF8" s="440"/>
      <c r="AG8" s="440"/>
      <c r="AH8" s="440"/>
      <c r="AI8" s="440"/>
      <c r="AJ8" s="440"/>
      <c r="AK8" s="440"/>
      <c r="AL8" s="440"/>
      <c r="AM8" s="343"/>
      <c r="AN8" s="343"/>
      <c r="AO8" s="343"/>
      <c r="AP8" s="343"/>
      <c r="AQ8" s="343"/>
      <c r="AR8" s="343"/>
      <c r="AS8" s="343"/>
      <c r="AT8" s="343"/>
      <c r="AU8" s="343"/>
    </row>
    <row r="9" spans="1:47" ht="15">
      <c r="B9" s="443" t="s">
        <v>435</v>
      </c>
      <c r="C9" s="450">
        <f>INDEX(y_value,MATCH(y,y_value,1))</f>
        <v>0.4</v>
      </c>
      <c r="D9" s="449" t="s">
        <v>427</v>
      </c>
      <c r="F9" s="446">
        <f>MATCH(y,y_value,1)</f>
        <v>3</v>
      </c>
      <c r="K9" s="445"/>
      <c r="L9" s="460">
        <v>1000</v>
      </c>
      <c r="M9" s="461">
        <v>0</v>
      </c>
      <c r="N9" s="461">
        <v>1.8</v>
      </c>
      <c r="O9" s="461">
        <v>2.5</v>
      </c>
      <c r="P9" s="461">
        <v>3.2</v>
      </c>
      <c r="Q9" s="461">
        <v>3.6</v>
      </c>
      <c r="R9" s="461">
        <v>4.2</v>
      </c>
      <c r="S9" s="343"/>
      <c r="T9" s="343"/>
      <c r="U9" s="343"/>
      <c r="V9" s="440"/>
      <c r="W9" s="440"/>
      <c r="X9" s="440"/>
      <c r="Y9" s="440"/>
      <c r="Z9" s="440"/>
      <c r="AA9" s="440"/>
      <c r="AB9" s="440"/>
      <c r="AC9" s="440"/>
      <c r="AD9" s="440"/>
      <c r="AE9" s="440"/>
      <c r="AF9" s="440"/>
      <c r="AG9" s="440"/>
      <c r="AH9" s="440"/>
      <c r="AI9" s="440"/>
      <c r="AJ9" s="440"/>
      <c r="AK9" s="440"/>
      <c r="AL9" s="440"/>
      <c r="AM9" s="343"/>
      <c r="AN9" s="343"/>
      <c r="AO9" s="343"/>
      <c r="AP9" s="343"/>
      <c r="AQ9" s="343"/>
      <c r="AR9" s="343"/>
      <c r="AS9" s="343"/>
      <c r="AT9" s="343"/>
      <c r="AU9" s="343"/>
    </row>
    <row r="10" spans="1:47" ht="15">
      <c r="B10" s="443" t="s">
        <v>436</v>
      </c>
      <c r="C10" s="450">
        <f>INDEX(y_value,MATCH(y,y_value,1)+1)</f>
        <v>0.6</v>
      </c>
      <c r="D10" s="449" t="s">
        <v>427</v>
      </c>
      <c r="F10" s="446">
        <f>MATCH(y,y_value,1)+1</f>
        <v>4</v>
      </c>
      <c r="K10" s="445"/>
      <c r="L10" s="460">
        <v>1200</v>
      </c>
      <c r="M10" s="461">
        <v>0</v>
      </c>
      <c r="N10" s="461">
        <v>1.3</v>
      </c>
      <c r="O10" s="461">
        <v>2</v>
      </c>
      <c r="P10" s="461">
        <v>2.6</v>
      </c>
      <c r="Q10" s="461">
        <v>3</v>
      </c>
      <c r="R10" s="461">
        <v>3.4</v>
      </c>
      <c r="S10" s="343"/>
      <c r="T10" s="343"/>
      <c r="U10" s="343"/>
      <c r="V10" s="440"/>
      <c r="W10" s="440"/>
      <c r="X10" s="440"/>
      <c r="Y10" s="440"/>
      <c r="Z10" s="440"/>
      <c r="AA10" s="440"/>
      <c r="AB10" s="440"/>
      <c r="AC10" s="440"/>
      <c r="AD10" s="440"/>
      <c r="AE10" s="440"/>
      <c r="AF10" s="440"/>
      <c r="AG10" s="440"/>
      <c r="AH10" s="440"/>
      <c r="AI10" s="440"/>
      <c r="AJ10" s="440"/>
      <c r="AK10" s="440"/>
      <c r="AL10" s="440"/>
      <c r="AM10" s="343"/>
      <c r="AN10" s="343"/>
      <c r="AO10" s="343"/>
      <c r="AP10" s="343"/>
      <c r="AQ10" s="343"/>
      <c r="AR10" s="343"/>
      <c r="AS10" s="343"/>
      <c r="AT10" s="343"/>
      <c r="AU10" s="343"/>
    </row>
    <row r="11" spans="1:47" ht="15">
      <c r="B11" s="443" t="s">
        <v>437</v>
      </c>
      <c r="C11" s="450">
        <f>INDEX(z_value,MATCH(x_1,x_value,1),MATCH(y_1,y_value,1))</f>
        <v>2.2999999999999998</v>
      </c>
      <c r="D11" s="449" t="s">
        <v>427</v>
      </c>
      <c r="K11" s="445"/>
      <c r="L11" s="460">
        <v>1400</v>
      </c>
      <c r="M11" s="461">
        <v>0</v>
      </c>
      <c r="N11" s="461">
        <v>0.9</v>
      </c>
      <c r="O11" s="461">
        <v>1.4</v>
      </c>
      <c r="P11" s="461">
        <v>1.9</v>
      </c>
      <c r="Q11" s="461">
        <v>2.2999999999999998</v>
      </c>
      <c r="R11" s="461">
        <v>2.7</v>
      </c>
      <c r="S11" s="343"/>
      <c r="T11" s="343"/>
      <c r="U11" s="343"/>
      <c r="V11" s="440"/>
      <c r="W11" s="440"/>
      <c r="X11" s="440"/>
      <c r="Y11" s="440"/>
      <c r="Z11" s="440"/>
      <c r="AA11" s="440"/>
      <c r="AB11" s="440"/>
      <c r="AC11" s="440"/>
      <c r="AD11" s="440"/>
      <c r="AE11" s="440"/>
      <c r="AF11" s="440"/>
      <c r="AG11" s="440"/>
      <c r="AH11" s="440"/>
      <c r="AI11" s="440"/>
      <c r="AJ11" s="440"/>
      <c r="AK11" s="440"/>
      <c r="AL11" s="440"/>
      <c r="AM11" s="343"/>
      <c r="AN11" s="343"/>
      <c r="AO11" s="343"/>
      <c r="AP11" s="343"/>
      <c r="AQ11" s="343"/>
      <c r="AR11" s="343"/>
      <c r="AS11" s="343"/>
      <c r="AT11" s="343"/>
      <c r="AU11" s="343"/>
    </row>
    <row r="12" spans="1:47" ht="15">
      <c r="B12" s="443" t="s">
        <v>438</v>
      </c>
      <c r="C12" s="450">
        <f>INDEX(z_value,MATCH(x_1,x_value,1),MATCH(y_2,y_value,1))</f>
        <v>3.8</v>
      </c>
      <c r="D12" s="449" t="s">
        <v>427</v>
      </c>
      <c r="K12" s="445"/>
      <c r="L12" s="460">
        <v>1600</v>
      </c>
      <c r="M12" s="461">
        <v>0</v>
      </c>
      <c r="N12" s="461">
        <v>0.9</v>
      </c>
      <c r="O12" s="461">
        <v>1.3</v>
      </c>
      <c r="P12" s="461">
        <v>1.7</v>
      </c>
      <c r="Q12" s="461">
        <v>2.1</v>
      </c>
      <c r="R12" s="461">
        <v>2.4</v>
      </c>
      <c r="S12" s="343"/>
      <c r="T12" s="343"/>
      <c r="U12" s="343"/>
      <c r="V12" s="440"/>
      <c r="W12" s="440"/>
      <c r="X12" s="440"/>
      <c r="Y12" s="440"/>
      <c r="Z12" s="440"/>
      <c r="AA12" s="440"/>
      <c r="AB12" s="440"/>
      <c r="AC12" s="440"/>
      <c r="AD12" s="440"/>
      <c r="AE12" s="440"/>
      <c r="AF12" s="440"/>
      <c r="AG12" s="440"/>
      <c r="AH12" s="440"/>
      <c r="AI12" s="440"/>
      <c r="AJ12" s="440"/>
      <c r="AK12" s="440"/>
      <c r="AL12" s="440"/>
      <c r="AM12" s="343"/>
      <c r="AN12" s="343"/>
      <c r="AO12" s="343"/>
      <c r="AP12" s="343"/>
      <c r="AQ12" s="343"/>
      <c r="AR12" s="343"/>
      <c r="AS12" s="343"/>
      <c r="AT12" s="343"/>
      <c r="AU12" s="343"/>
    </row>
    <row r="13" spans="1:47" ht="15" customHeight="1">
      <c r="B13" s="443" t="s">
        <v>439</v>
      </c>
      <c r="C13" s="450">
        <f>INDEX(z_value,MATCH(x_2,x_value,1),MATCH(y_1,y_value,1))</f>
        <v>4.3</v>
      </c>
      <c r="D13" s="449" t="s">
        <v>427</v>
      </c>
      <c r="K13" s="445"/>
      <c r="L13" s="460">
        <v>1800</v>
      </c>
      <c r="M13" s="461">
        <v>0</v>
      </c>
      <c r="N13" s="461">
        <v>0.8</v>
      </c>
      <c r="O13" s="461">
        <v>1.1000000000000001</v>
      </c>
      <c r="P13" s="462">
        <v>1.6</v>
      </c>
      <c r="Q13" s="462">
        <v>1.8</v>
      </c>
      <c r="R13" s="462">
        <v>2.1</v>
      </c>
      <c r="W13" s="440"/>
      <c r="X13" s="440"/>
      <c r="Y13" s="440"/>
      <c r="Z13" s="440"/>
      <c r="AA13" s="440"/>
      <c r="AB13" s="440"/>
      <c r="AC13" s="440"/>
      <c r="AD13" s="440"/>
      <c r="AE13" s="440"/>
      <c r="AF13" s="440"/>
      <c r="AG13" s="440"/>
      <c r="AH13" s="440"/>
      <c r="AI13" s="440"/>
      <c r="AJ13" s="440"/>
      <c r="AK13" s="440"/>
      <c r="AL13" s="440"/>
      <c r="AM13" s="343"/>
      <c r="AN13" s="343"/>
      <c r="AO13" s="343"/>
      <c r="AP13" s="343"/>
      <c r="AQ13" s="343"/>
      <c r="AR13" s="343"/>
      <c r="AS13" s="343"/>
      <c r="AT13" s="343"/>
      <c r="AU13" s="343"/>
    </row>
    <row r="14" spans="1:47" ht="15" customHeight="1">
      <c r="B14" s="443" t="s">
        <v>440</v>
      </c>
      <c r="C14" s="450">
        <f>INDEX(z_value,MATCH(x_2,x_value,1),MATCH(y_2,y_value,1))</f>
        <v>5.7</v>
      </c>
      <c r="D14" s="449" t="s">
        <v>427</v>
      </c>
      <c r="K14" s="445"/>
      <c r="L14" s="460">
        <v>2000</v>
      </c>
      <c r="M14" s="461">
        <v>0</v>
      </c>
      <c r="N14" s="461">
        <v>0.8</v>
      </c>
      <c r="O14" s="461">
        <v>1</v>
      </c>
      <c r="P14" s="462">
        <v>1.4</v>
      </c>
      <c r="Q14" s="462">
        <v>1.6</v>
      </c>
      <c r="R14" s="462">
        <v>1.8</v>
      </c>
      <c r="W14" s="440"/>
      <c r="X14" s="440"/>
      <c r="Y14" s="440"/>
      <c r="Z14" s="440"/>
      <c r="AA14" s="440"/>
      <c r="AB14" s="440"/>
      <c r="AC14" s="440"/>
      <c r="AD14" s="440"/>
      <c r="AE14" s="440"/>
      <c r="AF14" s="440"/>
      <c r="AG14" s="440"/>
      <c r="AH14" s="440"/>
      <c r="AI14" s="440"/>
      <c r="AJ14" s="440"/>
      <c r="AK14" s="440"/>
      <c r="AL14" s="440"/>
      <c r="AM14" s="343"/>
      <c r="AN14" s="343"/>
      <c r="AO14" s="343"/>
      <c r="AP14" s="343"/>
      <c r="AQ14" s="343"/>
      <c r="AR14" s="343"/>
      <c r="AS14" s="343"/>
      <c r="AT14" s="343"/>
      <c r="AU14" s="343"/>
    </row>
    <row r="15" spans="1:47" ht="15">
      <c r="K15" s="445"/>
      <c r="L15" s="460">
        <v>2200</v>
      </c>
      <c r="M15" s="463">
        <v>0</v>
      </c>
      <c r="N15" s="463">
        <v>0.8</v>
      </c>
      <c r="O15" s="463">
        <v>1</v>
      </c>
      <c r="P15" s="462">
        <v>1.4</v>
      </c>
      <c r="Q15" s="462">
        <v>1.5</v>
      </c>
      <c r="R15" s="462">
        <v>1.7</v>
      </c>
      <c r="W15" s="440"/>
      <c r="X15" s="440"/>
      <c r="Y15" s="440"/>
      <c r="Z15" s="440"/>
      <c r="AA15" s="440"/>
      <c r="AB15" s="440"/>
      <c r="AC15" s="440"/>
      <c r="AD15" s="440"/>
      <c r="AE15" s="440"/>
      <c r="AF15" s="440"/>
      <c r="AG15" s="440"/>
      <c r="AH15" s="440"/>
      <c r="AI15" s="440"/>
      <c r="AJ15" s="440"/>
      <c r="AK15" s="440"/>
      <c r="AL15" s="440"/>
      <c r="AM15" s="343"/>
      <c r="AN15" s="440"/>
      <c r="AO15" s="440"/>
      <c r="AP15" s="440"/>
      <c r="AQ15" s="440"/>
      <c r="AR15" s="440"/>
      <c r="AS15" s="440"/>
      <c r="AT15" s="440"/>
      <c r="AU15" s="440"/>
    </row>
    <row r="16" spans="1:47" ht="15">
      <c r="B16" s="445" t="s">
        <v>441</v>
      </c>
      <c r="C16" s="445"/>
      <c r="D16" s="445"/>
      <c r="E16" s="445"/>
      <c r="F16" s="445"/>
      <c r="G16" s="445"/>
      <c r="H16" s="445"/>
      <c r="I16" s="445"/>
      <c r="K16" s="445"/>
      <c r="L16" s="460">
        <v>2400</v>
      </c>
      <c r="M16" s="463">
        <v>0</v>
      </c>
      <c r="N16" s="463">
        <v>0.8</v>
      </c>
      <c r="O16" s="463">
        <v>1</v>
      </c>
      <c r="P16" s="462">
        <v>1.3</v>
      </c>
      <c r="Q16" s="462">
        <v>1.5</v>
      </c>
      <c r="R16" s="462">
        <v>1.7</v>
      </c>
      <c r="W16" s="440"/>
      <c r="X16" s="440"/>
      <c r="Y16" s="440"/>
      <c r="Z16" s="440"/>
      <c r="AA16" s="440"/>
      <c r="AB16" s="440"/>
      <c r="AC16" s="440"/>
      <c r="AD16" s="440"/>
      <c r="AE16" s="440"/>
      <c r="AF16" s="440"/>
      <c r="AG16" s="440"/>
      <c r="AH16" s="440"/>
      <c r="AI16" s="440"/>
      <c r="AJ16" s="440"/>
      <c r="AK16" s="440"/>
      <c r="AL16" s="440"/>
      <c r="AM16" s="343"/>
      <c r="AN16" s="440"/>
      <c r="AO16" s="440"/>
      <c r="AP16" s="440"/>
      <c r="AQ16" s="440"/>
      <c r="AR16" s="440"/>
      <c r="AS16" s="440"/>
      <c r="AT16" s="440"/>
      <c r="AU16" s="440"/>
    </row>
    <row r="17" spans="2:47" ht="15">
      <c r="K17" s="445"/>
      <c r="L17" s="460">
        <v>2600</v>
      </c>
      <c r="M17" s="461">
        <v>0</v>
      </c>
      <c r="N17" s="461">
        <v>0.8</v>
      </c>
      <c r="O17" s="461">
        <v>1</v>
      </c>
      <c r="P17" s="462">
        <v>1.3</v>
      </c>
      <c r="Q17" s="462">
        <v>1.4</v>
      </c>
      <c r="R17" s="462">
        <v>1.6</v>
      </c>
      <c r="W17" s="440"/>
      <c r="X17" s="440"/>
      <c r="Y17" s="440"/>
      <c r="Z17" s="440"/>
      <c r="AA17" s="440"/>
      <c r="AB17" s="440"/>
      <c r="AC17" s="440"/>
      <c r="AD17" s="440"/>
      <c r="AE17" s="440"/>
      <c r="AF17" s="440"/>
      <c r="AG17" s="440"/>
      <c r="AH17" s="440"/>
      <c r="AI17" s="440"/>
      <c r="AJ17" s="440"/>
      <c r="AK17" s="440"/>
      <c r="AL17" s="440"/>
      <c r="AM17" s="343"/>
      <c r="AN17" s="343"/>
      <c r="AO17" s="343"/>
      <c r="AP17" s="343"/>
      <c r="AQ17" s="343"/>
      <c r="AR17" s="343"/>
      <c r="AS17" s="343"/>
      <c r="AT17" s="343"/>
      <c r="AU17" s="343"/>
    </row>
    <row r="18" spans="2:47" ht="15">
      <c r="B18" s="453" t="s">
        <v>442</v>
      </c>
      <c r="C18" s="450"/>
      <c r="D18" s="454">
        <v>1</v>
      </c>
      <c r="E18" s="455">
        <f>x_1</f>
        <v>200</v>
      </c>
      <c r="F18" s="455">
        <f>y_1</f>
        <v>0.4</v>
      </c>
      <c r="G18" s="456">
        <f>E18*F18</f>
        <v>80</v>
      </c>
      <c r="H18" s="457" t="s">
        <v>443</v>
      </c>
      <c r="I18" s="454">
        <f>f_11</f>
        <v>2.2999999999999998</v>
      </c>
      <c r="K18" s="445"/>
      <c r="L18" s="460">
        <v>2800</v>
      </c>
      <c r="M18" s="461">
        <v>0</v>
      </c>
      <c r="N18" s="461">
        <v>0.8</v>
      </c>
      <c r="O18" s="461">
        <v>1</v>
      </c>
      <c r="P18" s="462">
        <v>1.2</v>
      </c>
      <c r="Q18" s="462">
        <v>1.3</v>
      </c>
      <c r="R18" s="462">
        <v>1.4</v>
      </c>
      <c r="W18" s="440"/>
      <c r="X18" s="440"/>
      <c r="Y18" s="440"/>
      <c r="Z18" s="440"/>
      <c r="AA18" s="440"/>
      <c r="AB18" s="440"/>
      <c r="AC18" s="440"/>
      <c r="AD18" s="440"/>
      <c r="AE18" s="440"/>
      <c r="AF18" s="440"/>
      <c r="AG18" s="440"/>
      <c r="AH18" s="440"/>
      <c r="AI18" s="440"/>
      <c r="AJ18" s="440"/>
      <c r="AK18" s="440"/>
      <c r="AL18" s="440"/>
      <c r="AM18" s="343"/>
      <c r="AN18" s="343"/>
      <c r="AO18" s="343"/>
      <c r="AP18" s="343"/>
      <c r="AQ18" s="343"/>
      <c r="AR18" s="343"/>
      <c r="AS18" s="343"/>
      <c r="AT18" s="343"/>
      <c r="AU18" s="343"/>
    </row>
    <row r="19" spans="2:47" ht="15">
      <c r="B19" s="453" t="s">
        <v>444</v>
      </c>
      <c r="C19" s="450"/>
      <c r="D19" s="454">
        <v>1</v>
      </c>
      <c r="E19" s="455">
        <f>x_1</f>
        <v>200</v>
      </c>
      <c r="F19" s="455">
        <f>y_2</f>
        <v>0.6</v>
      </c>
      <c r="G19" s="456">
        <f t="shared" ref="G19:G21" si="0">E19*F19</f>
        <v>120</v>
      </c>
      <c r="H19" s="450"/>
      <c r="I19" s="454">
        <f>f_12</f>
        <v>3.8</v>
      </c>
      <c r="K19" s="445"/>
      <c r="L19" s="459">
        <v>3000</v>
      </c>
      <c r="M19" s="463">
        <v>0</v>
      </c>
      <c r="N19" s="463">
        <v>0.8</v>
      </c>
      <c r="O19" s="463">
        <v>0.9</v>
      </c>
      <c r="P19" s="462">
        <v>1.1000000000000001</v>
      </c>
      <c r="Q19" s="462">
        <v>1.1000000000000001</v>
      </c>
      <c r="R19" s="462">
        <v>1.3</v>
      </c>
      <c r="W19" s="440"/>
      <c r="X19" s="440"/>
      <c r="Y19" s="440"/>
      <c r="Z19" s="440"/>
      <c r="AA19" s="440"/>
      <c r="AB19" s="440"/>
      <c r="AC19" s="440"/>
      <c r="AD19" s="440"/>
      <c r="AE19" s="440"/>
      <c r="AF19" s="440"/>
      <c r="AG19" s="440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440"/>
      <c r="AU19" s="440"/>
    </row>
    <row r="20" spans="2:47" ht="15">
      <c r="B20" s="453" t="s">
        <v>445</v>
      </c>
      <c r="C20" s="450" t="s">
        <v>446</v>
      </c>
      <c r="D20" s="454">
        <v>1</v>
      </c>
      <c r="E20" s="455">
        <f>x_2</f>
        <v>400</v>
      </c>
      <c r="F20" s="455">
        <f>y_1</f>
        <v>0.4</v>
      </c>
      <c r="G20" s="456">
        <f t="shared" si="0"/>
        <v>160</v>
      </c>
      <c r="H20" s="450" t="s">
        <v>447</v>
      </c>
      <c r="I20" s="454">
        <f>f_21</f>
        <v>4.3</v>
      </c>
      <c r="K20" s="445"/>
      <c r="L20" s="459">
        <v>3200</v>
      </c>
      <c r="M20" s="463">
        <v>0</v>
      </c>
      <c r="N20" s="463">
        <v>0.8</v>
      </c>
      <c r="O20" s="463">
        <v>0.9</v>
      </c>
      <c r="P20" s="462">
        <v>1</v>
      </c>
      <c r="Q20" s="462">
        <v>1</v>
      </c>
      <c r="R20" s="462">
        <v>1.1000000000000001</v>
      </c>
      <c r="W20" s="440"/>
      <c r="X20" s="440"/>
      <c r="Y20" s="440"/>
      <c r="Z20" s="440"/>
      <c r="AA20" s="440"/>
      <c r="AB20" s="440"/>
      <c r="AC20" s="440"/>
      <c r="AD20" s="440"/>
      <c r="AE20" s="440"/>
      <c r="AF20" s="440"/>
      <c r="AG20" s="440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40"/>
    </row>
    <row r="21" spans="2:47" ht="15" customHeight="1">
      <c r="B21" s="453" t="s">
        <v>448</v>
      </c>
      <c r="C21" s="450"/>
      <c r="D21" s="454">
        <v>1</v>
      </c>
      <c r="E21" s="455">
        <f>x_2</f>
        <v>400</v>
      </c>
      <c r="F21" s="455">
        <f>y_2</f>
        <v>0.6</v>
      </c>
      <c r="G21" s="456">
        <f t="shared" si="0"/>
        <v>240</v>
      </c>
      <c r="H21" s="450"/>
      <c r="I21" s="454">
        <f>f_22</f>
        <v>5.7</v>
      </c>
      <c r="K21" s="445"/>
      <c r="L21" s="452"/>
      <c r="M21" s="343"/>
      <c r="N21" s="343"/>
      <c r="P21" s="440"/>
      <c r="Q21" s="440"/>
      <c r="R21" s="440"/>
      <c r="S21" s="440"/>
      <c r="T21" s="440"/>
      <c r="U21" s="440"/>
      <c r="V21" s="440"/>
      <c r="W21" s="440"/>
      <c r="X21" s="440"/>
      <c r="Y21" s="440"/>
      <c r="Z21" s="440"/>
      <c r="AA21" s="440"/>
      <c r="AB21" s="440"/>
      <c r="AC21" s="440"/>
      <c r="AD21" s="440"/>
      <c r="AE21" s="440"/>
      <c r="AF21" s="343"/>
      <c r="AG21" s="343"/>
      <c r="AH21" s="343"/>
      <c r="AI21" s="343"/>
      <c r="AJ21" s="343"/>
      <c r="AK21" s="343"/>
      <c r="AL21" s="343"/>
      <c r="AM21" s="343"/>
      <c r="AN21" s="343"/>
    </row>
    <row r="22" spans="2:47" ht="15" customHeight="1">
      <c r="B22" s="458"/>
      <c r="C22" s="450"/>
      <c r="D22" s="450"/>
      <c r="E22" s="450"/>
      <c r="F22" s="450"/>
      <c r="G22" s="450"/>
      <c r="H22" s="450"/>
      <c r="I22" s="450"/>
      <c r="K22" s="445"/>
      <c r="L22" s="452"/>
      <c r="M22" s="343"/>
      <c r="N22" s="343"/>
      <c r="P22" s="440"/>
      <c r="Q22" s="440"/>
      <c r="R22" s="440"/>
      <c r="S22" s="440"/>
      <c r="T22" s="440"/>
      <c r="U22" s="440"/>
      <c r="V22" s="440"/>
      <c r="W22" s="440"/>
      <c r="X22" s="440"/>
      <c r="Y22" s="440"/>
      <c r="Z22" s="440"/>
      <c r="AA22" s="440"/>
      <c r="AB22" s="440"/>
      <c r="AC22" s="440"/>
      <c r="AD22" s="440"/>
      <c r="AE22" s="440"/>
      <c r="AF22" s="343"/>
      <c r="AG22" s="343"/>
      <c r="AH22" s="343"/>
      <c r="AI22" s="343"/>
      <c r="AJ22" s="343"/>
      <c r="AK22" s="343"/>
      <c r="AL22" s="343"/>
      <c r="AM22" s="343"/>
      <c r="AN22" s="343"/>
    </row>
    <row r="23" spans="2:47" ht="15">
      <c r="B23" s="453" t="s">
        <v>442</v>
      </c>
      <c r="C23" s="450"/>
      <c r="D23" s="454">
        <f t="array" ref="D23:D26">MMULT(MINVERSE(D18:G21),I18:I21)</f>
        <v>-2.9000000000000021</v>
      </c>
      <c r="E23" s="450"/>
      <c r="F23" s="454">
        <v>1</v>
      </c>
      <c r="G23" s="450"/>
      <c r="H23" s="454">
        <v>1</v>
      </c>
      <c r="I23" s="450"/>
      <c r="K23" s="445"/>
      <c r="L23" s="452"/>
      <c r="M23" s="343"/>
      <c r="N23" s="343"/>
      <c r="P23" s="440"/>
      <c r="Q23" s="440"/>
      <c r="R23" s="440"/>
      <c r="S23" s="440"/>
      <c r="T23" s="440"/>
      <c r="U23" s="440"/>
      <c r="V23" s="440"/>
      <c r="W23" s="440"/>
      <c r="X23" s="440"/>
      <c r="Y23" s="440"/>
      <c r="Z23" s="440"/>
      <c r="AA23" s="440"/>
      <c r="AB23" s="440"/>
      <c r="AC23" s="440"/>
      <c r="AD23" s="440"/>
      <c r="AE23" s="440"/>
      <c r="AF23" s="343"/>
      <c r="AG23" s="343"/>
      <c r="AH23" s="343"/>
      <c r="AI23" s="343"/>
      <c r="AJ23" s="343"/>
      <c r="AK23" s="343"/>
      <c r="AL23" s="343"/>
      <c r="AM23" s="343"/>
      <c r="AN23" s="343"/>
    </row>
    <row r="24" spans="2:47" ht="15">
      <c r="B24" s="453" t="s">
        <v>444</v>
      </c>
      <c r="C24" s="450"/>
      <c r="D24" s="454">
        <v>1.1000000000000003E-2</v>
      </c>
      <c r="E24" s="450"/>
      <c r="F24" s="454" t="s">
        <v>426</v>
      </c>
      <c r="G24" s="450"/>
      <c r="H24" s="454">
        <f>x</f>
        <v>281.2</v>
      </c>
      <c r="I24" s="450"/>
      <c r="K24" s="445"/>
      <c r="L24" s="452"/>
      <c r="M24" s="343"/>
      <c r="N24" s="343"/>
      <c r="P24" s="440"/>
      <c r="Q24" s="440"/>
      <c r="R24" s="440"/>
      <c r="S24" s="440"/>
      <c r="T24" s="440"/>
      <c r="U24" s="440"/>
      <c r="V24" s="440"/>
      <c r="W24" s="440"/>
      <c r="X24" s="440"/>
      <c r="Y24" s="440"/>
      <c r="Z24" s="440"/>
      <c r="AA24" s="440"/>
      <c r="AB24" s="440"/>
      <c r="AC24" s="440"/>
      <c r="AD24" s="440"/>
      <c r="AE24" s="440"/>
      <c r="AF24" s="343"/>
      <c r="AG24" s="343"/>
      <c r="AH24" s="343"/>
      <c r="AI24" s="343"/>
      <c r="AJ24" s="343"/>
      <c r="AK24" s="343"/>
      <c r="AL24" s="343"/>
      <c r="AM24" s="343"/>
      <c r="AN24" s="343"/>
    </row>
    <row r="25" spans="2:47" ht="15">
      <c r="B25" s="453" t="s">
        <v>445</v>
      </c>
      <c r="C25" s="450" t="s">
        <v>446</v>
      </c>
      <c r="D25" s="454">
        <v>8</v>
      </c>
      <c r="E25" s="450"/>
      <c r="F25" s="454" t="s">
        <v>430</v>
      </c>
      <c r="G25" s="450" t="s">
        <v>446</v>
      </c>
      <c r="H25" s="454">
        <f>y</f>
        <v>0.4921875</v>
      </c>
      <c r="I25" s="450"/>
      <c r="K25" s="445"/>
      <c r="L25" s="452"/>
      <c r="M25" s="343"/>
      <c r="N25" s="343"/>
      <c r="P25" s="440"/>
      <c r="Q25" s="440"/>
      <c r="R25" s="440"/>
      <c r="S25" s="440"/>
      <c r="T25" s="440"/>
      <c r="U25" s="440"/>
      <c r="V25" s="440"/>
      <c r="W25" s="440"/>
      <c r="X25" s="440"/>
      <c r="Y25" s="440"/>
      <c r="Z25" s="440"/>
      <c r="AA25" s="440"/>
      <c r="AB25" s="440"/>
      <c r="AC25" s="440"/>
      <c r="AD25" s="440"/>
      <c r="AE25" s="440"/>
      <c r="AF25" s="343"/>
      <c r="AG25" s="343"/>
      <c r="AH25" s="343"/>
      <c r="AI25" s="343"/>
      <c r="AJ25" s="343"/>
      <c r="AK25" s="343"/>
      <c r="AL25" s="343"/>
      <c r="AM25" s="343"/>
      <c r="AN25" s="343"/>
    </row>
    <row r="26" spans="2:47" ht="15">
      <c r="B26" s="453" t="s">
        <v>448</v>
      </c>
      <c r="C26" s="450"/>
      <c r="D26" s="454">
        <v>-2.5000000000000022E-3</v>
      </c>
      <c r="E26" s="450"/>
      <c r="F26" s="454" t="s">
        <v>449</v>
      </c>
      <c r="G26" s="450"/>
      <c r="H26" s="454">
        <f>H25*H24</f>
        <v>138.40312499999999</v>
      </c>
      <c r="I26" s="450"/>
      <c r="K26" s="445"/>
      <c r="L26" s="452"/>
      <c r="M26" s="343"/>
      <c r="N26" s="343"/>
      <c r="P26" s="440"/>
      <c r="Q26" s="440"/>
      <c r="R26" s="440"/>
      <c r="S26" s="440"/>
      <c r="T26" s="440"/>
      <c r="U26" s="440"/>
      <c r="V26" s="440"/>
      <c r="W26" s="440"/>
      <c r="X26" s="440"/>
      <c r="Y26" s="440"/>
      <c r="Z26" s="440"/>
      <c r="AA26" s="440"/>
      <c r="AB26" s="440"/>
      <c r="AC26" s="440"/>
      <c r="AD26" s="440"/>
      <c r="AE26" s="440"/>
      <c r="AF26" s="343"/>
      <c r="AG26" s="343"/>
      <c r="AH26" s="343"/>
      <c r="AI26" s="343"/>
      <c r="AJ26" s="343"/>
      <c r="AK26" s="343"/>
      <c r="AL26" s="343"/>
      <c r="AM26" s="343"/>
      <c r="AN26" s="343"/>
    </row>
    <row r="27" spans="2:47" ht="15">
      <c r="H27" s="450"/>
      <c r="K27" s="445"/>
      <c r="L27" s="451"/>
      <c r="M27" s="440"/>
      <c r="N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0"/>
      <c r="AC27" s="440"/>
      <c r="AD27" s="440"/>
      <c r="AE27" s="440"/>
      <c r="AF27" s="440"/>
      <c r="AG27" s="440"/>
      <c r="AH27" s="440"/>
      <c r="AI27" s="440"/>
      <c r="AJ27" s="440"/>
      <c r="AK27" s="440"/>
      <c r="AL27" s="440"/>
      <c r="AM27" s="440"/>
      <c r="AN27" s="440"/>
    </row>
    <row r="28" spans="2:47" ht="15">
      <c r="K28" s="445"/>
      <c r="L28" s="451"/>
      <c r="M28" s="343"/>
      <c r="N28" s="343"/>
      <c r="P28" s="440"/>
      <c r="Q28" s="440"/>
      <c r="R28" s="440"/>
      <c r="S28" s="440"/>
      <c r="T28" s="440"/>
      <c r="U28" s="440"/>
      <c r="V28" s="440"/>
      <c r="W28" s="440"/>
      <c r="X28" s="440"/>
      <c r="Y28" s="440"/>
      <c r="Z28" s="440"/>
      <c r="AA28" s="440"/>
      <c r="AB28" s="440"/>
      <c r="AC28" s="440"/>
      <c r="AD28" s="440"/>
      <c r="AE28" s="440"/>
      <c r="AF28" s="440"/>
      <c r="AG28" s="343"/>
      <c r="AH28" s="343"/>
      <c r="AI28" s="343"/>
      <c r="AJ28" s="343"/>
      <c r="AK28" s="343"/>
      <c r="AL28" s="343"/>
      <c r="AM28" s="343"/>
      <c r="AN28" s="343"/>
    </row>
    <row r="29" spans="2:47" ht="15">
      <c r="B29" s="445" t="s">
        <v>450</v>
      </c>
      <c r="C29" s="445"/>
      <c r="D29" s="445"/>
      <c r="E29" s="445"/>
      <c r="F29" s="445"/>
      <c r="G29" s="445"/>
      <c r="H29" s="445"/>
      <c r="I29" s="445"/>
      <c r="K29" s="445"/>
      <c r="L29" s="451"/>
      <c r="M29" s="343"/>
      <c r="N29" s="343"/>
      <c r="P29" s="440"/>
      <c r="Q29" s="440"/>
      <c r="R29" s="440"/>
      <c r="S29" s="440"/>
      <c r="T29" s="440"/>
      <c r="U29" s="440"/>
      <c r="V29" s="440"/>
      <c r="W29" s="440"/>
      <c r="X29" s="440"/>
      <c r="Y29" s="440"/>
      <c r="Z29" s="440"/>
      <c r="AA29" s="440"/>
      <c r="AB29" s="440"/>
      <c r="AC29" s="440"/>
      <c r="AD29" s="440"/>
      <c r="AE29" s="440"/>
      <c r="AF29" s="440"/>
      <c r="AG29" s="343"/>
      <c r="AH29" s="343"/>
      <c r="AI29" s="343"/>
      <c r="AJ29" s="343"/>
      <c r="AK29" s="343"/>
      <c r="AL29" s="343"/>
      <c r="AM29" s="343"/>
      <c r="AN29" s="343"/>
    </row>
    <row r="30" spans="2:47" ht="15">
      <c r="K30" s="445"/>
      <c r="L30" s="451"/>
      <c r="M30" s="343"/>
      <c r="N30" s="343"/>
      <c r="P30" s="440"/>
      <c r="Q30" s="440"/>
      <c r="R30" s="440"/>
      <c r="S30" s="440"/>
      <c r="T30" s="440"/>
      <c r="U30" s="440"/>
      <c r="V30" s="440"/>
      <c r="W30" s="440"/>
      <c r="X30" s="440"/>
      <c r="Y30" s="440"/>
      <c r="Z30" s="440"/>
      <c r="AA30" s="440"/>
      <c r="AB30" s="440"/>
      <c r="AC30" s="440"/>
      <c r="AD30" s="440"/>
      <c r="AE30" s="440"/>
      <c r="AF30" s="440"/>
      <c r="AG30" s="343"/>
      <c r="AH30" s="343"/>
      <c r="AI30" s="343"/>
      <c r="AJ30" s="343"/>
      <c r="AK30" s="343"/>
      <c r="AL30" s="343"/>
      <c r="AM30" s="343"/>
      <c r="AN30" s="343"/>
    </row>
    <row r="31" spans="2:47" ht="15">
      <c r="K31" s="445"/>
      <c r="L31" s="451"/>
      <c r="M31" s="343"/>
      <c r="N31" s="343"/>
      <c r="P31" s="440"/>
      <c r="Q31" s="440"/>
      <c r="R31" s="440"/>
      <c r="S31" s="440"/>
      <c r="T31" s="440"/>
      <c r="U31" s="440"/>
      <c r="V31" s="440"/>
      <c r="W31" s="440"/>
      <c r="X31" s="440"/>
      <c r="Y31" s="440"/>
      <c r="Z31" s="440"/>
      <c r="AA31" s="440"/>
      <c r="AB31" s="440"/>
      <c r="AC31" s="440"/>
      <c r="AD31" s="440"/>
      <c r="AE31" s="440"/>
      <c r="AF31" s="440"/>
      <c r="AG31" s="343"/>
      <c r="AH31" s="343"/>
      <c r="AI31" s="343"/>
      <c r="AJ31" s="343"/>
      <c r="AK31" s="343"/>
      <c r="AL31" s="343"/>
      <c r="AM31" s="343"/>
      <c r="AN31" s="343"/>
    </row>
    <row r="32" spans="2:47" ht="15">
      <c r="K32" s="445"/>
      <c r="L32" s="451"/>
      <c r="M32" s="343"/>
      <c r="N32" s="343"/>
      <c r="P32" s="440"/>
      <c r="Q32" s="440"/>
      <c r="R32" s="440"/>
      <c r="S32" s="440"/>
      <c r="T32" s="440"/>
      <c r="U32" s="440"/>
      <c r="V32" s="440"/>
      <c r="W32" s="440"/>
      <c r="X32" s="440"/>
      <c r="Y32" s="440"/>
      <c r="Z32" s="440"/>
      <c r="AA32" s="440"/>
      <c r="AB32" s="440"/>
      <c r="AC32" s="440"/>
      <c r="AD32" s="440"/>
      <c r="AE32" s="440"/>
      <c r="AF32" s="440"/>
      <c r="AG32" s="343"/>
      <c r="AH32" s="343"/>
      <c r="AI32" s="343"/>
      <c r="AJ32" s="343"/>
      <c r="AK32" s="343"/>
      <c r="AL32" s="343"/>
      <c r="AM32" s="343"/>
      <c r="AN32" s="343"/>
    </row>
    <row r="33" spans="1:40" ht="15">
      <c r="A33" s="444"/>
      <c r="B33" s="444"/>
      <c r="C33" s="444"/>
      <c r="D33" s="444"/>
      <c r="E33" s="444"/>
      <c r="F33" s="444"/>
      <c r="G33" s="444"/>
      <c r="H33" s="444"/>
      <c r="I33" s="444"/>
      <c r="J33" s="444"/>
      <c r="K33" s="445"/>
      <c r="L33" s="451"/>
      <c r="M33" s="343"/>
      <c r="N33" s="343"/>
      <c r="O33" s="440"/>
      <c r="P33" s="440"/>
      <c r="Q33" s="440"/>
      <c r="R33" s="440"/>
      <c r="S33" s="440"/>
      <c r="T33" s="440"/>
      <c r="U33" s="440"/>
      <c r="V33" s="440"/>
      <c r="W33" s="440"/>
      <c r="X33" s="440"/>
      <c r="Y33" s="440"/>
      <c r="Z33" s="440"/>
      <c r="AA33" s="440"/>
      <c r="AB33" s="440"/>
      <c r="AC33" s="440"/>
      <c r="AD33" s="440"/>
      <c r="AE33" s="440"/>
      <c r="AF33" s="440"/>
      <c r="AG33" s="343"/>
      <c r="AH33" s="343"/>
      <c r="AI33" s="343"/>
      <c r="AJ33" s="343"/>
      <c r="AK33" s="343"/>
      <c r="AL33" s="343"/>
      <c r="AM33" s="343"/>
      <c r="AN33" s="343"/>
    </row>
    <row r="34" spans="1:40" ht="15">
      <c r="K34" s="445"/>
      <c r="L34" s="451"/>
      <c r="M34" s="440"/>
      <c r="N34" s="440"/>
      <c r="O34" s="440"/>
      <c r="P34" s="440"/>
      <c r="Q34" s="440"/>
      <c r="R34" s="440"/>
      <c r="S34" s="440"/>
      <c r="T34" s="440"/>
      <c r="U34" s="440"/>
      <c r="V34" s="440"/>
      <c r="W34" s="440"/>
      <c r="X34" s="440"/>
      <c r="Y34" s="440"/>
      <c r="Z34" s="440"/>
      <c r="AA34" s="440"/>
      <c r="AB34" s="440"/>
      <c r="AC34" s="440"/>
      <c r="AD34" s="440"/>
      <c r="AE34" s="440"/>
      <c r="AF34" s="440"/>
      <c r="AG34" s="440"/>
      <c r="AH34" s="440"/>
      <c r="AI34" s="440"/>
      <c r="AJ34" s="440"/>
      <c r="AK34" s="440"/>
      <c r="AL34" s="440"/>
      <c r="AM34" s="440"/>
      <c r="AN34" s="440"/>
    </row>
    <row r="35" spans="1:40" ht="15">
      <c r="K35" s="445"/>
      <c r="L35" s="451"/>
      <c r="M35" s="440"/>
      <c r="N35" s="440"/>
      <c r="O35" s="440"/>
      <c r="P35" s="440"/>
      <c r="Q35" s="440"/>
      <c r="R35" s="440"/>
      <c r="S35" s="440"/>
      <c r="T35" s="440"/>
      <c r="U35" s="440"/>
      <c r="V35" s="440"/>
      <c r="W35" s="440"/>
      <c r="X35" s="440"/>
      <c r="Y35" s="440"/>
      <c r="Z35" s="440"/>
      <c r="AA35" s="440"/>
      <c r="AB35" s="440"/>
      <c r="AC35" s="440"/>
      <c r="AD35" s="440"/>
      <c r="AE35" s="440"/>
      <c r="AF35" s="440"/>
      <c r="AG35" s="440"/>
      <c r="AH35" s="440"/>
      <c r="AI35" s="440"/>
      <c r="AJ35" s="440"/>
      <c r="AK35" s="440"/>
      <c r="AL35" s="440"/>
      <c r="AM35" s="440"/>
      <c r="AN35" s="440"/>
    </row>
    <row r="36" spans="1:40" ht="15">
      <c r="A36" s="444"/>
      <c r="B36" s="444"/>
      <c r="C36" s="444"/>
      <c r="D36" s="444"/>
      <c r="E36" s="444"/>
      <c r="F36" s="444"/>
      <c r="G36" s="444"/>
      <c r="H36" s="444"/>
      <c r="I36" s="444"/>
      <c r="J36" s="444"/>
      <c r="K36" s="445"/>
      <c r="L36" s="451"/>
      <c r="M36" s="440"/>
      <c r="N36" s="440"/>
      <c r="O36" s="440"/>
      <c r="P36" s="440"/>
      <c r="Q36" s="440"/>
      <c r="R36" s="440"/>
      <c r="S36" s="440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  <c r="AG36" s="440"/>
      <c r="AH36" s="440"/>
      <c r="AI36" s="440"/>
      <c r="AJ36" s="440"/>
      <c r="AK36" s="440"/>
      <c r="AL36" s="440"/>
      <c r="AM36" s="440"/>
      <c r="AN36" s="440"/>
    </row>
    <row r="37" spans="1:40" ht="15">
      <c r="K37" s="445"/>
      <c r="L37" s="451"/>
      <c r="M37" s="440"/>
      <c r="N37" s="440"/>
      <c r="O37" s="440"/>
      <c r="P37" s="440"/>
      <c r="Q37" s="440"/>
      <c r="R37" s="440"/>
      <c r="S37" s="440"/>
      <c r="T37" s="440"/>
      <c r="U37" s="440"/>
      <c r="V37" s="440"/>
      <c r="W37" s="440"/>
      <c r="X37" s="440"/>
      <c r="Y37" s="440"/>
      <c r="Z37" s="440"/>
      <c r="AA37" s="440"/>
      <c r="AB37" s="440"/>
      <c r="AC37" s="440"/>
      <c r="AD37" s="440"/>
      <c r="AE37" s="440"/>
      <c r="AF37" s="440"/>
      <c r="AG37" s="440"/>
      <c r="AH37" s="440"/>
      <c r="AI37" s="440"/>
      <c r="AJ37" s="440"/>
      <c r="AK37" s="440"/>
      <c r="AL37" s="440"/>
      <c r="AM37" s="440"/>
      <c r="AN37" s="440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>
    <tabColor rgb="FF002060"/>
  </sheetPr>
  <dimension ref="A1:T1150"/>
  <sheetViews>
    <sheetView workbookViewId="0">
      <selection activeCell="I7" sqref="I7"/>
    </sheetView>
  </sheetViews>
  <sheetFormatPr defaultRowHeight="12.75"/>
  <cols>
    <col min="1" max="4" width="9.140625" style="443"/>
    <col min="5" max="14" width="5.140625" style="458" customWidth="1"/>
    <col min="15" max="15" width="9.140625" style="443"/>
    <col min="16" max="16" width="9.140625" style="444"/>
    <col min="17" max="20" width="9.140625" style="473"/>
    <col min="21" max="16384" width="9.140625" style="444"/>
  </cols>
  <sheetData>
    <row r="1" spans="1:20" s="443" customFormat="1">
      <c r="A1" s="443" t="s">
        <v>61</v>
      </c>
      <c r="E1" s="458"/>
      <c r="F1" s="458"/>
      <c r="G1" s="458"/>
      <c r="H1" s="458"/>
      <c r="I1" s="458"/>
      <c r="J1" s="458"/>
      <c r="K1" s="458"/>
      <c r="L1" s="458"/>
      <c r="M1" s="458"/>
      <c r="N1" s="458"/>
      <c r="Q1" s="450"/>
      <c r="R1" s="450"/>
      <c r="S1" s="450"/>
      <c r="T1" s="450"/>
    </row>
    <row r="2" spans="1:20" ht="15">
      <c r="B2" s="445" t="s">
        <v>421</v>
      </c>
      <c r="C2" s="445"/>
      <c r="D2" s="445"/>
      <c r="F2" s="446" t="s">
        <v>422</v>
      </c>
      <c r="G2" s="446" t="s">
        <v>423</v>
      </c>
      <c r="P2" s="447"/>
      <c r="Q2" s="447" t="s">
        <v>456</v>
      </c>
      <c r="R2" s="447" t="s">
        <v>457</v>
      </c>
      <c r="S2" s="447" t="s">
        <v>425</v>
      </c>
      <c r="T2" s="447" t="s">
        <v>460</v>
      </c>
    </row>
    <row r="3" spans="1:20" ht="15">
      <c r="B3" s="443" t="s">
        <v>426</v>
      </c>
      <c r="C3" s="448">
        <v>0.55000000000000004</v>
      </c>
      <c r="D3" s="449" t="s">
        <v>427</v>
      </c>
      <c r="F3" s="446">
        <f>MIN(XX_value)</f>
        <v>0.5</v>
      </c>
      <c r="G3" s="446">
        <f>MAX(XX_value)</f>
        <v>0.6</v>
      </c>
      <c r="P3" s="447"/>
      <c r="Q3" s="474">
        <v>0.5</v>
      </c>
      <c r="R3" s="474">
        <v>0</v>
      </c>
      <c r="S3" s="474">
        <v>0</v>
      </c>
      <c r="T3" s="474">
        <v>0</v>
      </c>
    </row>
    <row r="4" spans="1:20" ht="15">
      <c r="B4" s="443" t="s">
        <v>430</v>
      </c>
      <c r="C4" s="448">
        <v>211.60000000000002</v>
      </c>
      <c r="D4" s="449" t="s">
        <v>427</v>
      </c>
      <c r="F4" s="446">
        <f>MIN(YY_value)</f>
        <v>0</v>
      </c>
      <c r="G4" s="446">
        <f>MAX(YY_value)</f>
        <v>3200</v>
      </c>
      <c r="P4" s="447"/>
      <c r="Q4" s="474">
        <v>0.5</v>
      </c>
      <c r="R4" s="474">
        <v>0</v>
      </c>
      <c r="S4" s="474">
        <v>0.2</v>
      </c>
      <c r="T4" s="474">
        <v>10.1</v>
      </c>
    </row>
    <row r="5" spans="1:20" ht="15">
      <c r="B5" s="443" t="s">
        <v>390</v>
      </c>
      <c r="C5" s="448">
        <v>0.4921875</v>
      </c>
      <c r="D5" s="449" t="s">
        <v>427</v>
      </c>
      <c r="F5" s="446">
        <f>MIN(ZZ_value)</f>
        <v>0</v>
      </c>
      <c r="G5" s="446">
        <f>MAX(ZZ_value)</f>
        <v>1</v>
      </c>
      <c r="P5" s="447"/>
      <c r="Q5" s="474">
        <v>0.5</v>
      </c>
      <c r="R5" s="474">
        <v>0</v>
      </c>
      <c r="S5" s="474">
        <v>0.4</v>
      </c>
      <c r="T5" s="474">
        <v>17.2</v>
      </c>
    </row>
    <row r="6" spans="1:20" ht="15">
      <c r="G6" s="446"/>
      <c r="P6" s="447"/>
      <c r="Q6" s="474">
        <v>0.5</v>
      </c>
      <c r="R6" s="474">
        <v>0</v>
      </c>
      <c r="S6" s="474">
        <v>0.6</v>
      </c>
      <c r="T6" s="474">
        <v>20.2</v>
      </c>
    </row>
    <row r="7" spans="1:20" ht="15">
      <c r="B7" s="445" t="s">
        <v>424</v>
      </c>
      <c r="C7" s="445"/>
      <c r="D7" s="445"/>
      <c r="P7" s="447"/>
      <c r="Q7" s="474">
        <v>0.5</v>
      </c>
      <c r="R7" s="474">
        <v>0</v>
      </c>
      <c r="S7" s="474">
        <v>0.8</v>
      </c>
      <c r="T7" s="474">
        <v>21</v>
      </c>
    </row>
    <row r="8" spans="1:20" ht="15">
      <c r="B8" s="443" t="s">
        <v>461</v>
      </c>
      <c r="C8" s="468">
        <f>SUMPRODUCT(D37:D44,D46:D53)</f>
        <v>19.563581249999746</v>
      </c>
      <c r="D8" s="449" t="s">
        <v>427</v>
      </c>
      <c r="P8" s="447"/>
      <c r="Q8" s="474">
        <v>0.5</v>
      </c>
      <c r="R8" s="474">
        <v>0</v>
      </c>
      <c r="S8" s="474">
        <v>1</v>
      </c>
      <c r="T8" s="474">
        <v>21.8</v>
      </c>
    </row>
    <row r="9" spans="1:20" ht="15">
      <c r="P9" s="447"/>
      <c r="Q9" s="474">
        <v>0.5</v>
      </c>
      <c r="R9" s="474">
        <v>200</v>
      </c>
      <c r="S9" s="474">
        <v>0</v>
      </c>
      <c r="T9" s="474">
        <v>0</v>
      </c>
    </row>
    <row r="10" spans="1:20" ht="15">
      <c r="B10" s="445" t="s">
        <v>431</v>
      </c>
      <c r="C10" s="445"/>
      <c r="D10" s="445"/>
      <c r="F10" s="446"/>
      <c r="P10" s="447"/>
      <c r="Q10" s="474">
        <v>0.5</v>
      </c>
      <c r="R10" s="474">
        <v>200</v>
      </c>
      <c r="S10" s="474">
        <v>0.2</v>
      </c>
      <c r="T10" s="474">
        <v>10.1</v>
      </c>
    </row>
    <row r="11" spans="1:20" ht="15">
      <c r="B11" s="443" t="s">
        <v>433</v>
      </c>
      <c r="C11" s="450">
        <f>INDEX(XX_value,MATCH(XX,XX_value,1))</f>
        <v>0.55000000000000004</v>
      </c>
      <c r="D11" s="449" t="s">
        <v>427</v>
      </c>
      <c r="F11" s="446"/>
      <c r="P11" s="447"/>
      <c r="Q11" s="474">
        <v>0.5</v>
      </c>
      <c r="R11" s="474">
        <v>200</v>
      </c>
      <c r="S11" s="474">
        <v>0.4</v>
      </c>
      <c r="T11" s="474">
        <v>17.2</v>
      </c>
    </row>
    <row r="12" spans="1:20" ht="15">
      <c r="B12" s="443" t="s">
        <v>434</v>
      </c>
      <c r="C12" s="450">
        <f>INDEX(XX_value,MATCH(XX,XX_value,1)+1)</f>
        <v>0.6</v>
      </c>
      <c r="D12" s="449" t="s">
        <v>427</v>
      </c>
      <c r="F12" s="446"/>
      <c r="P12" s="447"/>
      <c r="Q12" s="474">
        <v>0.5</v>
      </c>
      <c r="R12" s="474">
        <v>200</v>
      </c>
      <c r="S12" s="474">
        <v>0.6</v>
      </c>
      <c r="T12" s="474">
        <v>20.2</v>
      </c>
    </row>
    <row r="13" spans="1:20" ht="15">
      <c r="B13" s="443" t="s">
        <v>435</v>
      </c>
      <c r="C13" s="450">
        <f>INDEX(YY_value,MATCH(YY,YY_value,1))</f>
        <v>200</v>
      </c>
      <c r="D13" s="449" t="s">
        <v>427</v>
      </c>
      <c r="F13" s="446"/>
      <c r="P13" s="447"/>
      <c r="Q13" s="474">
        <v>0.5</v>
      </c>
      <c r="R13" s="474">
        <v>200</v>
      </c>
      <c r="S13" s="474">
        <v>0.8</v>
      </c>
      <c r="T13" s="474">
        <v>21</v>
      </c>
    </row>
    <row r="14" spans="1:20" ht="15">
      <c r="B14" s="443" t="s">
        <v>436</v>
      </c>
      <c r="C14" s="450">
        <f>INDEX(YY_value,MATCH(YY,YY_value,1)+1)</f>
        <v>400</v>
      </c>
      <c r="D14" s="449" t="s">
        <v>427</v>
      </c>
      <c r="F14" s="446"/>
      <c r="P14" s="447"/>
      <c r="Q14" s="474">
        <v>0.5</v>
      </c>
      <c r="R14" s="474">
        <v>200</v>
      </c>
      <c r="S14" s="474">
        <v>1</v>
      </c>
      <c r="T14" s="474">
        <v>21.8</v>
      </c>
    </row>
    <row r="15" spans="1:20" ht="15">
      <c r="B15" s="443" t="s">
        <v>462</v>
      </c>
      <c r="C15" s="450">
        <f>INDEX(ZZ_value,MATCH(ZZ,ZZ_value,1))</f>
        <v>0.4</v>
      </c>
      <c r="D15" s="449" t="s">
        <v>427</v>
      </c>
      <c r="P15" s="447"/>
      <c r="Q15" s="474">
        <v>0.5</v>
      </c>
      <c r="R15" s="474">
        <v>400</v>
      </c>
      <c r="S15" s="474">
        <v>0</v>
      </c>
      <c r="T15" s="474">
        <v>0</v>
      </c>
    </row>
    <row r="16" spans="1:20" ht="15">
      <c r="B16" s="443" t="s">
        <v>463</v>
      </c>
      <c r="C16" s="450">
        <f>INDEX(ZZ_value,MATCH(ZZ,ZZ_value,1)+1)</f>
        <v>0.6</v>
      </c>
      <c r="D16" s="449" t="s">
        <v>427</v>
      </c>
      <c r="F16" s="446" t="s">
        <v>432</v>
      </c>
      <c r="P16" s="447"/>
      <c r="Q16" s="474">
        <v>0.5</v>
      </c>
      <c r="R16" s="474">
        <v>400</v>
      </c>
      <c r="S16" s="474">
        <v>0.2</v>
      </c>
      <c r="T16" s="474">
        <v>12.4</v>
      </c>
    </row>
    <row r="17" spans="2:20" s="444" customFormat="1" ht="15">
      <c r="B17" s="443" t="s">
        <v>464</v>
      </c>
      <c r="C17" s="469">
        <f t="shared" ref="C17" si="0">INDEX(TT_value,F17,0)</f>
        <v>17.2</v>
      </c>
      <c r="D17" s="449" t="s">
        <v>427</v>
      </c>
      <c r="E17" s="458"/>
      <c r="F17" s="446">
        <f t="array" ref="F17">MATCH(1,(XX_value=xx_1)*(YY_value=yy_1)*(ZZ_value=zz_1),0)</f>
        <v>113</v>
      </c>
      <c r="G17" s="458"/>
      <c r="H17" s="458"/>
      <c r="I17" s="458"/>
      <c r="J17" s="458"/>
      <c r="K17" s="458"/>
      <c r="L17" s="458"/>
      <c r="M17" s="458"/>
      <c r="N17" s="458"/>
      <c r="O17" s="443"/>
      <c r="P17" s="447"/>
      <c r="Q17" s="474">
        <v>0.5</v>
      </c>
      <c r="R17" s="474">
        <v>400</v>
      </c>
      <c r="S17" s="474">
        <v>0.4</v>
      </c>
      <c r="T17" s="474">
        <v>19</v>
      </c>
    </row>
    <row r="18" spans="2:20" s="444" customFormat="1" ht="15">
      <c r="B18" s="443" t="s">
        <v>465</v>
      </c>
      <c r="C18" s="469">
        <f t="shared" ref="C18" si="1">INDEX(TT_value,F18,0)</f>
        <v>17.2</v>
      </c>
      <c r="D18" s="449" t="s">
        <v>427</v>
      </c>
      <c r="E18" s="458"/>
      <c r="F18" s="446">
        <f t="array" ref="F18">MATCH(1,(XX_value=xx_2)*(YY_value=yy_1)*(ZZ_value=zz_1),0)</f>
        <v>215</v>
      </c>
      <c r="G18" s="458"/>
      <c r="H18" s="458"/>
      <c r="I18" s="458"/>
      <c r="J18" s="458"/>
      <c r="K18" s="458"/>
      <c r="L18" s="458"/>
      <c r="M18" s="458"/>
      <c r="N18" s="458"/>
      <c r="O18" s="443"/>
      <c r="P18" s="447"/>
      <c r="Q18" s="474">
        <v>0.5</v>
      </c>
      <c r="R18" s="474">
        <v>400</v>
      </c>
      <c r="S18" s="474">
        <v>0.6</v>
      </c>
      <c r="T18" s="474">
        <v>22.7</v>
      </c>
    </row>
    <row r="19" spans="2:20" s="444" customFormat="1" ht="15">
      <c r="B19" s="443" t="s">
        <v>466</v>
      </c>
      <c r="C19" s="469">
        <f t="shared" ref="C19" si="2">INDEX(TT_value,F19,0)</f>
        <v>16.2</v>
      </c>
      <c r="D19" s="449" t="s">
        <v>427</v>
      </c>
      <c r="E19" s="458"/>
      <c r="F19" s="446">
        <f t="array" ref="F19">MATCH(1,(XX_value=xx_1)*(YY_value=yy_2)*(ZZ_value=zz_1),0)</f>
        <v>119</v>
      </c>
      <c r="G19" s="458"/>
      <c r="H19" s="458"/>
      <c r="I19" s="458"/>
      <c r="J19" s="458"/>
      <c r="K19" s="458"/>
      <c r="L19" s="458"/>
      <c r="M19" s="458"/>
      <c r="N19" s="458"/>
      <c r="O19" s="443"/>
      <c r="P19" s="447"/>
      <c r="Q19" s="474">
        <v>0.5</v>
      </c>
      <c r="R19" s="474">
        <v>400</v>
      </c>
      <c r="S19" s="474">
        <v>0.8</v>
      </c>
      <c r="T19" s="474">
        <v>23.8</v>
      </c>
    </row>
    <row r="20" spans="2:20" s="444" customFormat="1" ht="15">
      <c r="B20" s="443" t="s">
        <v>467</v>
      </c>
      <c r="C20" s="469">
        <f t="shared" ref="C20" si="3">INDEX(TT_value,F20,0)</f>
        <v>16.2</v>
      </c>
      <c r="D20" s="449" t="s">
        <v>427</v>
      </c>
      <c r="E20" s="458"/>
      <c r="F20" s="446">
        <f t="array" ref="F20">MATCH(1,(XX_value=xx_2)*(YY_value=yy_2)*(ZZ_value=zz_1),0)</f>
        <v>221</v>
      </c>
      <c r="G20" s="458"/>
      <c r="H20" s="458"/>
      <c r="I20" s="458"/>
      <c r="J20" s="458"/>
      <c r="K20" s="458"/>
      <c r="L20" s="458"/>
      <c r="M20" s="458"/>
      <c r="N20" s="458"/>
      <c r="O20" s="443"/>
      <c r="P20" s="447"/>
      <c r="Q20" s="474">
        <v>0.5</v>
      </c>
      <c r="R20" s="474">
        <v>400</v>
      </c>
      <c r="S20" s="474">
        <v>1</v>
      </c>
      <c r="T20" s="474">
        <v>24.8</v>
      </c>
    </row>
    <row r="21" spans="2:20" s="444" customFormat="1" ht="15">
      <c r="B21" s="443" t="s">
        <v>468</v>
      </c>
      <c r="C21" s="469">
        <f t="shared" ref="C21" si="4">INDEX(TT_value,F21,0)</f>
        <v>22.5</v>
      </c>
      <c r="D21" s="449" t="s">
        <v>427</v>
      </c>
      <c r="E21" s="458"/>
      <c r="F21" s="446">
        <f t="array" ref="F21">MATCH(1,(XX_value=xx_1)*(YY_value=yy_1)*(ZZ_value=zz_2),0)</f>
        <v>114</v>
      </c>
      <c r="G21" s="458"/>
      <c r="H21" s="458"/>
      <c r="I21" s="458"/>
      <c r="J21" s="458"/>
      <c r="K21" s="458"/>
      <c r="L21" s="458"/>
      <c r="M21" s="458"/>
      <c r="N21" s="458"/>
      <c r="O21" s="443"/>
      <c r="P21" s="447"/>
      <c r="Q21" s="474">
        <v>0.5</v>
      </c>
      <c r="R21" s="474">
        <v>600</v>
      </c>
      <c r="S21" s="474">
        <v>0</v>
      </c>
      <c r="T21" s="474">
        <v>0</v>
      </c>
    </row>
    <row r="22" spans="2:20" s="444" customFormat="1" ht="15">
      <c r="B22" s="443" t="s">
        <v>469</v>
      </c>
      <c r="C22" s="469">
        <f t="shared" ref="C22" si="5">INDEX(TT_value,F22,0)</f>
        <v>22.5</v>
      </c>
      <c r="D22" s="449" t="s">
        <v>427</v>
      </c>
      <c r="E22" s="458"/>
      <c r="F22" s="446">
        <f t="array" ref="F22">MATCH(1,(XX_value=xx_2)*(YY_value=yy_1)*(ZZ_value=zz_2),0)</f>
        <v>216</v>
      </c>
      <c r="G22" s="458"/>
      <c r="H22" s="458"/>
      <c r="I22" s="458"/>
      <c r="J22" s="458"/>
      <c r="K22" s="458"/>
      <c r="L22" s="458"/>
      <c r="M22" s="458"/>
      <c r="N22" s="458"/>
      <c r="O22" s="443"/>
      <c r="P22" s="447"/>
      <c r="Q22" s="474">
        <v>0.5</v>
      </c>
      <c r="R22" s="474">
        <v>600</v>
      </c>
      <c r="S22" s="474">
        <v>0.2</v>
      </c>
      <c r="T22" s="474">
        <v>11.2</v>
      </c>
    </row>
    <row r="23" spans="2:20" s="444" customFormat="1" ht="15">
      <c r="B23" s="443" t="s">
        <v>470</v>
      </c>
      <c r="C23" s="469">
        <f t="shared" ref="C23" si="6">INDEX(TT_value,F23,0)</f>
        <v>20.7</v>
      </c>
      <c r="D23" s="449" t="s">
        <v>427</v>
      </c>
      <c r="E23" s="458"/>
      <c r="F23" s="446">
        <f t="array" ref="F23">MATCH(1,(XX_value=xx_1)*(YY_value=yy_2)*(ZZ_value=zz_2),0)</f>
        <v>120</v>
      </c>
      <c r="G23" s="458"/>
      <c r="H23" s="458"/>
      <c r="I23" s="458"/>
      <c r="J23" s="458"/>
      <c r="K23" s="458"/>
      <c r="L23" s="458"/>
      <c r="M23" s="458"/>
      <c r="N23" s="458"/>
      <c r="O23" s="443"/>
      <c r="P23" s="447"/>
      <c r="Q23" s="474">
        <v>0.5</v>
      </c>
      <c r="R23" s="474">
        <v>600</v>
      </c>
      <c r="S23" s="474">
        <v>0.4</v>
      </c>
      <c r="T23" s="474">
        <v>16</v>
      </c>
    </row>
    <row r="24" spans="2:20" s="444" customFormat="1" ht="15">
      <c r="B24" s="443" t="s">
        <v>471</v>
      </c>
      <c r="C24" s="469">
        <f t="shared" ref="C24" si="7">INDEX(TT_value,F24,0)</f>
        <v>20.7</v>
      </c>
      <c r="D24" s="449" t="s">
        <v>427</v>
      </c>
      <c r="E24" s="458"/>
      <c r="F24" s="446">
        <f t="array" ref="F24">MATCH(1,(XX_value=xx_2)*(YY_value=yy_2)*(ZZ_value=zz_2),0)</f>
        <v>222</v>
      </c>
      <c r="G24" s="458"/>
      <c r="H24" s="458"/>
      <c r="I24" s="458"/>
      <c r="J24" s="458"/>
      <c r="K24" s="458"/>
      <c r="L24" s="458"/>
      <c r="M24" s="458"/>
      <c r="N24" s="458"/>
      <c r="O24" s="443"/>
      <c r="P24" s="447"/>
      <c r="Q24" s="474">
        <v>0.5</v>
      </c>
      <c r="R24" s="474">
        <v>600</v>
      </c>
      <c r="S24" s="474">
        <v>0.6</v>
      </c>
      <c r="T24" s="474">
        <v>18.7</v>
      </c>
    </row>
    <row r="25" spans="2:20" s="444" customFormat="1" ht="15">
      <c r="B25" s="443"/>
      <c r="C25" s="443"/>
      <c r="D25" s="449"/>
      <c r="E25" s="458"/>
      <c r="F25" s="458"/>
      <c r="G25" s="458"/>
      <c r="H25" s="458"/>
      <c r="I25" s="458"/>
      <c r="J25" s="458"/>
      <c r="K25" s="458"/>
      <c r="L25" s="458"/>
      <c r="M25" s="458"/>
      <c r="N25" s="458"/>
      <c r="O25" s="443"/>
      <c r="P25" s="447"/>
      <c r="Q25" s="474">
        <v>0.5</v>
      </c>
      <c r="R25" s="474">
        <v>600</v>
      </c>
      <c r="S25" s="474">
        <v>0.8</v>
      </c>
      <c r="T25" s="474">
        <v>19.7</v>
      </c>
    </row>
    <row r="26" spans="2:20" s="444" customFormat="1" ht="15">
      <c r="B26" s="445" t="s">
        <v>441</v>
      </c>
      <c r="C26" s="445"/>
      <c r="D26" s="445"/>
      <c r="E26" s="445"/>
      <c r="F26" s="445"/>
      <c r="G26" s="445"/>
      <c r="H26" s="445"/>
      <c r="I26" s="445"/>
      <c r="J26" s="445"/>
      <c r="K26" s="445"/>
      <c r="L26" s="445"/>
      <c r="M26" s="445"/>
      <c r="N26" s="445"/>
      <c r="O26" s="443"/>
      <c r="P26" s="447"/>
      <c r="Q26" s="474">
        <v>0.5</v>
      </c>
      <c r="R26" s="474">
        <v>600</v>
      </c>
      <c r="S26" s="474">
        <v>1</v>
      </c>
      <c r="T26" s="474">
        <v>20.5</v>
      </c>
    </row>
    <row r="27" spans="2:20" s="444" customFormat="1" ht="15">
      <c r="B27" s="443"/>
      <c r="C27" s="443"/>
      <c r="D27" s="443"/>
      <c r="E27" s="458"/>
      <c r="F27" s="458"/>
      <c r="G27" s="458"/>
      <c r="H27" s="458"/>
      <c r="I27" s="458"/>
      <c r="J27" s="458"/>
      <c r="K27" s="458"/>
      <c r="L27" s="458"/>
      <c r="M27" s="458"/>
      <c r="N27" s="458"/>
      <c r="O27" s="443"/>
      <c r="P27" s="447"/>
      <c r="Q27" s="474">
        <v>0.5</v>
      </c>
      <c r="R27" s="474">
        <v>800</v>
      </c>
      <c r="S27" s="474">
        <v>0</v>
      </c>
      <c r="T27" s="474">
        <v>0</v>
      </c>
    </row>
    <row r="28" spans="2:20" s="444" customFormat="1" ht="15">
      <c r="B28" s="453" t="s">
        <v>442</v>
      </c>
      <c r="C28" s="443"/>
      <c r="D28" s="443"/>
      <c r="E28" s="453">
        <v>1</v>
      </c>
      <c r="F28" s="458">
        <f>xx_1</f>
        <v>0.55000000000000004</v>
      </c>
      <c r="G28" s="458">
        <f>yy_1</f>
        <v>200</v>
      </c>
      <c r="H28" s="458">
        <f>zz_1</f>
        <v>0.4</v>
      </c>
      <c r="I28" s="458">
        <f>F28*G28</f>
        <v>110.00000000000001</v>
      </c>
      <c r="J28" s="458">
        <f>F28*H28</f>
        <v>0.22000000000000003</v>
      </c>
      <c r="K28" s="458">
        <f>G28*H28</f>
        <v>80</v>
      </c>
      <c r="L28" s="470">
        <f>F28*G28*H28</f>
        <v>44.000000000000007</v>
      </c>
      <c r="M28" s="471" t="s">
        <v>443</v>
      </c>
      <c r="N28" s="472">
        <f t="shared" ref="N28" si="8">f_111</f>
        <v>17.2</v>
      </c>
      <c r="O28" s="443"/>
      <c r="P28" s="447"/>
      <c r="Q28" s="474">
        <v>0.5</v>
      </c>
      <c r="R28" s="474">
        <v>800</v>
      </c>
      <c r="S28" s="474">
        <v>0.2</v>
      </c>
      <c r="T28" s="474">
        <v>9</v>
      </c>
    </row>
    <row r="29" spans="2:20" s="444" customFormat="1" ht="15">
      <c r="B29" s="453" t="s">
        <v>444</v>
      </c>
      <c r="C29" s="443"/>
      <c r="D29" s="443"/>
      <c r="E29" s="453">
        <v>1</v>
      </c>
      <c r="F29" s="458">
        <f>xx_2</f>
        <v>0.6</v>
      </c>
      <c r="G29" s="458">
        <f>yy_1</f>
        <v>200</v>
      </c>
      <c r="H29" s="458">
        <f>zz_1</f>
        <v>0.4</v>
      </c>
      <c r="I29" s="458">
        <f t="shared" ref="I29:I35" si="9">F29*G29</f>
        <v>120</v>
      </c>
      <c r="J29" s="458">
        <f t="shared" ref="J29:J35" si="10">F29*H29</f>
        <v>0.24</v>
      </c>
      <c r="K29" s="458">
        <f t="shared" ref="K29:K35" si="11">G29*H29</f>
        <v>80</v>
      </c>
      <c r="L29" s="470">
        <f t="shared" ref="L29:L35" si="12">F29*G29*H29</f>
        <v>48</v>
      </c>
      <c r="M29" s="458"/>
      <c r="N29" s="472">
        <f>f_211</f>
        <v>17.2</v>
      </c>
      <c r="O29" s="443"/>
      <c r="P29" s="447"/>
      <c r="Q29" s="474">
        <v>0.5</v>
      </c>
      <c r="R29" s="474">
        <v>800</v>
      </c>
      <c r="S29" s="474">
        <v>0.4</v>
      </c>
      <c r="T29" s="474">
        <v>12.3</v>
      </c>
    </row>
    <row r="30" spans="2:20" s="444" customFormat="1" ht="15">
      <c r="B30" s="453" t="s">
        <v>445</v>
      </c>
      <c r="C30" s="443"/>
      <c r="D30" s="443"/>
      <c r="E30" s="453">
        <v>1</v>
      </c>
      <c r="F30" s="458">
        <f>xx_1</f>
        <v>0.55000000000000004</v>
      </c>
      <c r="G30" s="458">
        <f>yy_2</f>
        <v>400</v>
      </c>
      <c r="H30" s="458">
        <f>zz_1</f>
        <v>0.4</v>
      </c>
      <c r="I30" s="458">
        <f t="shared" si="9"/>
        <v>220.00000000000003</v>
      </c>
      <c r="J30" s="458">
        <f t="shared" si="10"/>
        <v>0.22000000000000003</v>
      </c>
      <c r="K30" s="458">
        <f t="shared" si="11"/>
        <v>160</v>
      </c>
      <c r="L30" s="470">
        <f t="shared" si="12"/>
        <v>88.000000000000014</v>
      </c>
      <c r="M30" s="458"/>
      <c r="N30" s="472">
        <f>f_121</f>
        <v>16.2</v>
      </c>
      <c r="O30" s="443"/>
      <c r="P30" s="447"/>
      <c r="Q30" s="474">
        <v>0.5</v>
      </c>
      <c r="R30" s="474">
        <v>800</v>
      </c>
      <c r="S30" s="474">
        <v>0.6</v>
      </c>
      <c r="T30" s="474">
        <v>14.1</v>
      </c>
    </row>
    <row r="31" spans="2:20" s="444" customFormat="1" ht="15">
      <c r="B31" s="453" t="s">
        <v>448</v>
      </c>
      <c r="C31" s="443" t="s">
        <v>446</v>
      </c>
      <c r="D31" s="443"/>
      <c r="E31" s="453">
        <v>1</v>
      </c>
      <c r="F31" s="458">
        <f>xx_2</f>
        <v>0.6</v>
      </c>
      <c r="G31" s="458">
        <f>yy_2</f>
        <v>400</v>
      </c>
      <c r="H31" s="458">
        <f>zz_1</f>
        <v>0.4</v>
      </c>
      <c r="I31" s="458">
        <f t="shared" si="9"/>
        <v>240</v>
      </c>
      <c r="J31" s="458">
        <f t="shared" si="10"/>
        <v>0.24</v>
      </c>
      <c r="K31" s="458">
        <f t="shared" si="11"/>
        <v>160</v>
      </c>
      <c r="L31" s="470">
        <f t="shared" si="12"/>
        <v>96</v>
      </c>
      <c r="M31" s="458" t="s">
        <v>447</v>
      </c>
      <c r="N31" s="472">
        <f>f_221</f>
        <v>16.2</v>
      </c>
      <c r="O31" s="443"/>
      <c r="P31" s="447"/>
      <c r="Q31" s="474">
        <v>0.5</v>
      </c>
      <c r="R31" s="474">
        <v>800</v>
      </c>
      <c r="S31" s="474">
        <v>0.8</v>
      </c>
      <c r="T31" s="474">
        <v>14.5</v>
      </c>
    </row>
    <row r="32" spans="2:20" s="444" customFormat="1" ht="15">
      <c r="B32" s="453" t="s">
        <v>472</v>
      </c>
      <c r="C32" s="443"/>
      <c r="D32" s="443"/>
      <c r="E32" s="453">
        <v>1</v>
      </c>
      <c r="F32" s="458">
        <f>xx_1</f>
        <v>0.55000000000000004</v>
      </c>
      <c r="G32" s="458">
        <f>yy_1</f>
        <v>200</v>
      </c>
      <c r="H32" s="458">
        <f>zz_2</f>
        <v>0.6</v>
      </c>
      <c r="I32" s="458">
        <f t="shared" si="9"/>
        <v>110.00000000000001</v>
      </c>
      <c r="J32" s="458">
        <f t="shared" si="10"/>
        <v>0.33</v>
      </c>
      <c r="K32" s="458">
        <f t="shared" si="11"/>
        <v>120</v>
      </c>
      <c r="L32" s="470">
        <f t="shared" si="12"/>
        <v>66</v>
      </c>
      <c r="M32" s="458"/>
      <c r="N32" s="472">
        <f>f_112</f>
        <v>22.5</v>
      </c>
      <c r="O32" s="443"/>
      <c r="P32" s="447"/>
      <c r="Q32" s="474">
        <v>0.5</v>
      </c>
      <c r="R32" s="474">
        <v>800</v>
      </c>
      <c r="S32" s="474">
        <v>1</v>
      </c>
      <c r="T32" s="474">
        <v>15.4</v>
      </c>
    </row>
    <row r="33" spans="2:20" s="444" customFormat="1" ht="15">
      <c r="B33" s="453" t="s">
        <v>473</v>
      </c>
      <c r="C33" s="443"/>
      <c r="D33" s="443"/>
      <c r="E33" s="453">
        <v>1</v>
      </c>
      <c r="F33" s="458">
        <f>xx_2</f>
        <v>0.6</v>
      </c>
      <c r="G33" s="458">
        <f>yy_1</f>
        <v>200</v>
      </c>
      <c r="H33" s="458">
        <f>zz_2</f>
        <v>0.6</v>
      </c>
      <c r="I33" s="458">
        <f t="shared" si="9"/>
        <v>120</v>
      </c>
      <c r="J33" s="458">
        <f t="shared" si="10"/>
        <v>0.36</v>
      </c>
      <c r="K33" s="458">
        <f t="shared" si="11"/>
        <v>120</v>
      </c>
      <c r="L33" s="470">
        <f t="shared" si="12"/>
        <v>72</v>
      </c>
      <c r="M33" s="458"/>
      <c r="N33" s="472">
        <f>f_212</f>
        <v>22.5</v>
      </c>
      <c r="O33" s="443"/>
      <c r="P33" s="447"/>
      <c r="Q33" s="474">
        <v>0.5</v>
      </c>
      <c r="R33" s="474">
        <v>1000</v>
      </c>
      <c r="S33" s="474">
        <v>0</v>
      </c>
      <c r="T33" s="474">
        <v>0</v>
      </c>
    </row>
    <row r="34" spans="2:20" s="444" customFormat="1" ht="15">
      <c r="B34" s="453" t="s">
        <v>474</v>
      </c>
      <c r="C34" s="443"/>
      <c r="D34" s="443"/>
      <c r="E34" s="453">
        <v>1</v>
      </c>
      <c r="F34" s="458">
        <f>xx_1</f>
        <v>0.55000000000000004</v>
      </c>
      <c r="G34" s="458">
        <f>yy_2</f>
        <v>400</v>
      </c>
      <c r="H34" s="458">
        <f>zz_2</f>
        <v>0.6</v>
      </c>
      <c r="I34" s="458">
        <f t="shared" si="9"/>
        <v>220.00000000000003</v>
      </c>
      <c r="J34" s="458">
        <f t="shared" si="10"/>
        <v>0.33</v>
      </c>
      <c r="K34" s="458">
        <f t="shared" si="11"/>
        <v>240</v>
      </c>
      <c r="L34" s="470">
        <f t="shared" si="12"/>
        <v>132</v>
      </c>
      <c r="M34" s="458"/>
      <c r="N34" s="472">
        <f>f_122</f>
        <v>20.7</v>
      </c>
      <c r="O34" s="443"/>
      <c r="P34" s="447"/>
      <c r="Q34" s="474">
        <v>0.5</v>
      </c>
      <c r="R34" s="474">
        <v>1000</v>
      </c>
      <c r="S34" s="474">
        <v>0.2</v>
      </c>
      <c r="T34" s="474">
        <v>7.2</v>
      </c>
    </row>
    <row r="35" spans="2:20" s="444" customFormat="1" ht="15">
      <c r="B35" s="453" t="s">
        <v>475</v>
      </c>
      <c r="C35" s="443"/>
      <c r="D35" s="443"/>
      <c r="E35" s="453">
        <v>1</v>
      </c>
      <c r="F35" s="458">
        <f>xx_2</f>
        <v>0.6</v>
      </c>
      <c r="G35" s="458">
        <f>yy_2</f>
        <v>400</v>
      </c>
      <c r="H35" s="458">
        <f>zz_2</f>
        <v>0.6</v>
      </c>
      <c r="I35" s="458">
        <f t="shared" si="9"/>
        <v>240</v>
      </c>
      <c r="J35" s="458">
        <f t="shared" si="10"/>
        <v>0.36</v>
      </c>
      <c r="K35" s="458">
        <f t="shared" si="11"/>
        <v>240</v>
      </c>
      <c r="L35" s="470">
        <f t="shared" si="12"/>
        <v>144</v>
      </c>
      <c r="M35" s="458"/>
      <c r="N35" s="472">
        <f>f_222</f>
        <v>20.7</v>
      </c>
      <c r="O35" s="443"/>
      <c r="P35" s="447"/>
      <c r="Q35" s="474">
        <v>0.5</v>
      </c>
      <c r="R35" s="474">
        <v>1000</v>
      </c>
      <c r="S35" s="474">
        <v>0.4</v>
      </c>
      <c r="T35" s="474">
        <v>10.033333333333335</v>
      </c>
    </row>
    <row r="36" spans="2:20" s="444" customFormat="1" ht="15">
      <c r="B36" s="443"/>
      <c r="C36" s="443"/>
      <c r="D36" s="443"/>
      <c r="E36" s="458"/>
      <c r="F36" s="458"/>
      <c r="G36" s="458"/>
      <c r="H36" s="458"/>
      <c r="I36" s="458"/>
      <c r="J36" s="458"/>
      <c r="K36" s="458"/>
      <c r="L36" s="458"/>
      <c r="M36" s="458"/>
      <c r="N36" s="458"/>
      <c r="O36" s="443"/>
      <c r="P36" s="447"/>
      <c r="Q36" s="474">
        <v>0.5</v>
      </c>
      <c r="R36" s="474">
        <v>1000</v>
      </c>
      <c r="S36" s="474">
        <v>0.6</v>
      </c>
      <c r="T36" s="474">
        <v>11.633333333333333</v>
      </c>
    </row>
    <row r="37" spans="2:20" s="444" customFormat="1" ht="15">
      <c r="B37" s="453" t="s">
        <v>442</v>
      </c>
      <c r="C37" s="443"/>
      <c r="D37" s="453">
        <f t="array" ref="D37:D44">MMULT(MINVERSE(E28:L35),N28:N35)</f>
        <v>5.9999999999997726</v>
      </c>
      <c r="E37" s="458"/>
      <c r="F37" s="458"/>
      <c r="G37" s="458"/>
      <c r="H37" s="458"/>
      <c r="I37" s="458"/>
      <c r="J37" s="458"/>
      <c r="K37" s="458"/>
      <c r="L37" s="458"/>
      <c r="M37" s="458"/>
      <c r="N37" s="458"/>
      <c r="O37" s="443"/>
      <c r="P37" s="447"/>
      <c r="Q37" s="474">
        <v>0.5</v>
      </c>
      <c r="R37" s="474">
        <v>1000</v>
      </c>
      <c r="S37" s="474">
        <v>0.8</v>
      </c>
      <c r="T37" s="474">
        <v>12.1</v>
      </c>
    </row>
    <row r="38" spans="2:20" s="444" customFormat="1" ht="15">
      <c r="B38" s="453" t="s">
        <v>444</v>
      </c>
      <c r="C38" s="443"/>
      <c r="D38" s="453">
        <v>0</v>
      </c>
      <c r="E38" s="458"/>
      <c r="F38" s="458"/>
      <c r="G38" s="458"/>
      <c r="H38" s="458"/>
      <c r="I38" s="458"/>
      <c r="J38" s="458"/>
      <c r="K38" s="458"/>
      <c r="L38" s="458"/>
      <c r="M38" s="458"/>
      <c r="N38" s="458"/>
      <c r="O38" s="443"/>
      <c r="P38" s="447"/>
      <c r="Q38" s="474">
        <v>0.5</v>
      </c>
      <c r="R38" s="474">
        <v>1000</v>
      </c>
      <c r="S38" s="474">
        <v>1</v>
      </c>
      <c r="T38" s="474">
        <v>12.9</v>
      </c>
    </row>
    <row r="39" spans="2:20" s="444" customFormat="1" ht="15">
      <c r="B39" s="453" t="s">
        <v>445</v>
      </c>
      <c r="C39" s="443"/>
      <c r="D39" s="453">
        <v>2.9999999999996696E-3</v>
      </c>
      <c r="E39" s="458"/>
      <c r="F39" s="458"/>
      <c r="G39" s="458"/>
      <c r="H39" s="458"/>
      <c r="I39" s="458"/>
      <c r="J39" s="458"/>
      <c r="K39" s="458"/>
      <c r="L39" s="458"/>
      <c r="M39" s="458"/>
      <c r="N39" s="458"/>
      <c r="O39" s="443"/>
      <c r="P39" s="447"/>
      <c r="Q39" s="474">
        <v>0.5</v>
      </c>
      <c r="R39" s="474">
        <v>1200</v>
      </c>
      <c r="S39" s="474">
        <v>0</v>
      </c>
      <c r="T39" s="474">
        <v>0</v>
      </c>
    </row>
    <row r="40" spans="2:20" s="444" customFormat="1" ht="15">
      <c r="B40" s="453" t="s">
        <v>448</v>
      </c>
      <c r="C40" s="443" t="s">
        <v>446</v>
      </c>
      <c r="D40" s="453">
        <v>30.5</v>
      </c>
      <c r="E40" s="458"/>
      <c r="F40" s="458"/>
      <c r="G40" s="458"/>
      <c r="H40" s="458"/>
      <c r="I40" s="458"/>
      <c r="J40" s="458"/>
      <c r="K40" s="458"/>
      <c r="L40" s="458"/>
      <c r="M40" s="458"/>
      <c r="N40" s="458"/>
      <c r="O40" s="443"/>
      <c r="P40" s="447"/>
      <c r="Q40" s="474">
        <v>0.5</v>
      </c>
      <c r="R40" s="474">
        <v>1200</v>
      </c>
      <c r="S40" s="474">
        <v>0.2</v>
      </c>
      <c r="T40" s="474">
        <v>5.4</v>
      </c>
    </row>
    <row r="41" spans="2:20" s="444" customFormat="1" ht="15">
      <c r="B41" s="453" t="s">
        <v>472</v>
      </c>
      <c r="C41" s="443"/>
      <c r="D41" s="453">
        <v>0</v>
      </c>
      <c r="E41" s="458"/>
      <c r="F41" s="458"/>
      <c r="G41" s="458"/>
      <c r="H41" s="458"/>
      <c r="I41" s="458"/>
      <c r="J41" s="458"/>
      <c r="K41" s="458"/>
      <c r="L41" s="458"/>
      <c r="M41" s="458"/>
      <c r="N41" s="458"/>
      <c r="O41" s="443"/>
      <c r="P41" s="447"/>
      <c r="Q41" s="474">
        <v>0.5</v>
      </c>
      <c r="R41" s="474">
        <v>1200</v>
      </c>
      <c r="S41" s="474">
        <v>0.4</v>
      </c>
      <c r="T41" s="474">
        <v>7.7666666666666675</v>
      </c>
    </row>
    <row r="42" spans="2:20" s="444" customFormat="1" ht="15">
      <c r="B42" s="453" t="s">
        <v>473</v>
      </c>
      <c r="C42" s="443"/>
      <c r="D42" s="453">
        <v>0</v>
      </c>
      <c r="E42" s="458"/>
      <c r="F42" s="458"/>
      <c r="G42" s="458"/>
      <c r="H42" s="458"/>
      <c r="I42" s="458"/>
      <c r="J42" s="458"/>
      <c r="K42" s="458"/>
      <c r="L42" s="458"/>
      <c r="M42" s="458"/>
      <c r="N42" s="458"/>
      <c r="O42" s="443"/>
      <c r="P42" s="447"/>
      <c r="Q42" s="474">
        <v>0.5</v>
      </c>
      <c r="R42" s="474">
        <v>1200</v>
      </c>
      <c r="S42" s="474">
        <v>0.6</v>
      </c>
      <c r="T42" s="474">
        <v>9.1666666666666661</v>
      </c>
    </row>
    <row r="43" spans="2:20" s="444" customFormat="1" ht="15">
      <c r="B43" s="453" t="s">
        <v>474</v>
      </c>
      <c r="C43" s="443"/>
      <c r="D43" s="453">
        <v>-1.9999999999999574E-2</v>
      </c>
      <c r="E43" s="458"/>
      <c r="F43" s="458"/>
      <c r="G43" s="458"/>
      <c r="H43" s="458"/>
      <c r="I43" s="458"/>
      <c r="J43" s="458"/>
      <c r="K43" s="458"/>
      <c r="L43" s="458"/>
      <c r="M43" s="458"/>
      <c r="N43" s="458"/>
      <c r="O43" s="443"/>
      <c r="P43" s="447"/>
      <c r="Q43" s="474">
        <v>0.5</v>
      </c>
      <c r="R43" s="474">
        <v>1200</v>
      </c>
      <c r="S43" s="474">
        <v>0.8</v>
      </c>
      <c r="T43" s="474">
        <v>9.6999999999999993</v>
      </c>
    </row>
    <row r="44" spans="2:20" s="444" customFormat="1" ht="15">
      <c r="B44" s="453" t="s">
        <v>475</v>
      </c>
      <c r="C44" s="443"/>
      <c r="D44" s="453">
        <v>0</v>
      </c>
      <c r="E44" s="458"/>
      <c r="F44" s="458"/>
      <c r="G44" s="458"/>
      <c r="H44" s="458"/>
      <c r="I44" s="458"/>
      <c r="J44" s="458"/>
      <c r="K44" s="458"/>
      <c r="L44" s="458"/>
      <c r="M44" s="458"/>
      <c r="N44" s="458"/>
      <c r="O44" s="443"/>
      <c r="P44" s="447"/>
      <c r="Q44" s="474">
        <v>0.5</v>
      </c>
      <c r="R44" s="474">
        <v>1200</v>
      </c>
      <c r="S44" s="474">
        <v>1</v>
      </c>
      <c r="T44" s="474">
        <v>10.4</v>
      </c>
    </row>
    <row r="45" spans="2:20" s="444" customFormat="1" ht="15">
      <c r="B45" s="443"/>
      <c r="C45" s="443"/>
      <c r="D45" s="443"/>
      <c r="E45" s="458"/>
      <c r="F45" s="458"/>
      <c r="G45" s="458"/>
      <c r="H45" s="458"/>
      <c r="I45" s="458"/>
      <c r="J45" s="458"/>
      <c r="K45" s="458"/>
      <c r="L45" s="458"/>
      <c r="M45" s="458"/>
      <c r="N45" s="458"/>
      <c r="O45" s="443"/>
      <c r="P45" s="447"/>
      <c r="Q45" s="474">
        <v>0.5</v>
      </c>
      <c r="R45" s="474">
        <v>1400</v>
      </c>
      <c r="S45" s="474">
        <v>0</v>
      </c>
      <c r="T45" s="474">
        <v>0</v>
      </c>
    </row>
    <row r="46" spans="2:20" s="444" customFormat="1" ht="15">
      <c r="B46" s="453">
        <v>1</v>
      </c>
      <c r="C46" s="443"/>
      <c r="D46" s="453">
        <v>1</v>
      </c>
      <c r="E46" s="458"/>
      <c r="F46" s="458"/>
      <c r="G46" s="458"/>
      <c r="H46" s="458"/>
      <c r="I46" s="458"/>
      <c r="J46" s="458"/>
      <c r="K46" s="458"/>
      <c r="L46" s="458"/>
      <c r="M46" s="458"/>
      <c r="N46" s="458"/>
      <c r="O46" s="443"/>
      <c r="P46" s="447"/>
      <c r="Q46" s="474">
        <v>0.5</v>
      </c>
      <c r="R46" s="474">
        <v>1400</v>
      </c>
      <c r="S46" s="474">
        <v>0.2</v>
      </c>
      <c r="T46" s="474">
        <v>3.6</v>
      </c>
    </row>
    <row r="47" spans="2:20" s="444" customFormat="1" ht="15">
      <c r="B47" s="453" t="s">
        <v>426</v>
      </c>
      <c r="C47" s="443"/>
      <c r="D47" s="453">
        <f>C3</f>
        <v>0.55000000000000004</v>
      </c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43"/>
      <c r="P47" s="447"/>
      <c r="Q47" s="474">
        <v>0.5</v>
      </c>
      <c r="R47" s="474">
        <v>1400</v>
      </c>
      <c r="S47" s="474">
        <v>0.4</v>
      </c>
      <c r="T47" s="474">
        <v>5.5</v>
      </c>
    </row>
    <row r="48" spans="2:20" s="444" customFormat="1" ht="15">
      <c r="B48" s="453" t="s">
        <v>430</v>
      </c>
      <c r="C48" s="443"/>
      <c r="D48" s="453">
        <f>C4</f>
        <v>211.60000000000002</v>
      </c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43"/>
      <c r="P48" s="447"/>
      <c r="Q48" s="474">
        <v>0.5</v>
      </c>
      <c r="R48" s="474">
        <v>1400</v>
      </c>
      <c r="S48" s="474">
        <v>0.6</v>
      </c>
      <c r="T48" s="474">
        <v>6.7</v>
      </c>
    </row>
    <row r="49" spans="2:20" s="444" customFormat="1" ht="15">
      <c r="B49" s="453" t="s">
        <v>390</v>
      </c>
      <c r="C49" s="443" t="s">
        <v>446</v>
      </c>
      <c r="D49" s="453">
        <f>C5</f>
        <v>0.4921875</v>
      </c>
      <c r="E49" s="458"/>
      <c r="F49" s="458"/>
      <c r="G49" s="458"/>
      <c r="H49" s="458"/>
      <c r="I49" s="458"/>
      <c r="J49" s="458"/>
      <c r="K49" s="458"/>
      <c r="L49" s="458"/>
      <c r="M49" s="458"/>
      <c r="N49" s="458"/>
      <c r="O49" s="443"/>
      <c r="P49" s="447"/>
      <c r="Q49" s="474">
        <v>0.5</v>
      </c>
      <c r="R49" s="474">
        <v>1400</v>
      </c>
      <c r="S49" s="474">
        <v>0.8</v>
      </c>
      <c r="T49" s="474">
        <v>7.3</v>
      </c>
    </row>
    <row r="50" spans="2:20" s="444" customFormat="1" ht="15">
      <c r="B50" s="453" t="s">
        <v>449</v>
      </c>
      <c r="C50" s="443"/>
      <c r="D50" s="453">
        <f>D47*D48</f>
        <v>116.38000000000002</v>
      </c>
      <c r="E50" s="458"/>
      <c r="F50" s="458"/>
      <c r="G50" s="458"/>
      <c r="H50" s="458"/>
      <c r="I50" s="458"/>
      <c r="J50" s="458"/>
      <c r="K50" s="458"/>
      <c r="L50" s="458"/>
      <c r="M50" s="458"/>
      <c r="N50" s="458"/>
      <c r="O50" s="443"/>
      <c r="P50" s="447"/>
      <c r="Q50" s="474">
        <v>0.5</v>
      </c>
      <c r="R50" s="474">
        <v>1400</v>
      </c>
      <c r="S50" s="474">
        <v>1</v>
      </c>
      <c r="T50" s="474">
        <v>7.9</v>
      </c>
    </row>
    <row r="51" spans="2:20" s="444" customFormat="1" ht="15">
      <c r="B51" s="453" t="s">
        <v>476</v>
      </c>
      <c r="C51" s="443"/>
      <c r="D51" s="453">
        <f>D47*D49</f>
        <v>0.27070312500000004</v>
      </c>
      <c r="E51" s="458"/>
      <c r="F51" s="458"/>
      <c r="G51" s="458"/>
      <c r="H51" s="458"/>
      <c r="I51" s="458"/>
      <c r="J51" s="458"/>
      <c r="K51" s="458"/>
      <c r="L51" s="458"/>
      <c r="M51" s="458"/>
      <c r="N51" s="458"/>
      <c r="O51" s="443"/>
      <c r="P51" s="447"/>
      <c r="Q51" s="474">
        <v>0.5</v>
      </c>
      <c r="R51" s="474">
        <v>1600</v>
      </c>
      <c r="S51" s="474">
        <v>0</v>
      </c>
      <c r="T51" s="474">
        <v>0</v>
      </c>
    </row>
    <row r="52" spans="2:20" s="444" customFormat="1" ht="15">
      <c r="B52" s="453" t="s">
        <v>477</v>
      </c>
      <c r="C52" s="443"/>
      <c r="D52" s="453">
        <f>D48*D49</f>
        <v>104.14687500000001</v>
      </c>
      <c r="E52" s="458"/>
      <c r="F52" s="458"/>
      <c r="G52" s="458"/>
      <c r="H52" s="458"/>
      <c r="I52" s="458"/>
      <c r="J52" s="458"/>
      <c r="K52" s="458"/>
      <c r="L52" s="458"/>
      <c r="M52" s="458"/>
      <c r="N52" s="458"/>
      <c r="O52" s="443"/>
      <c r="P52" s="447"/>
      <c r="Q52" s="474">
        <v>0.5</v>
      </c>
      <c r="R52" s="474">
        <v>1600</v>
      </c>
      <c r="S52" s="474">
        <v>0.2</v>
      </c>
      <c r="T52" s="474">
        <v>3</v>
      </c>
    </row>
    <row r="53" spans="2:20" s="444" customFormat="1" ht="15">
      <c r="B53" s="453" t="s">
        <v>478</v>
      </c>
      <c r="C53" s="443"/>
      <c r="D53" s="453">
        <f>D47*D48*D49</f>
        <v>57.280781250000011</v>
      </c>
      <c r="E53" s="458"/>
      <c r="F53" s="458"/>
      <c r="G53" s="458"/>
      <c r="H53" s="458"/>
      <c r="I53" s="458"/>
      <c r="J53" s="458"/>
      <c r="K53" s="458"/>
      <c r="L53" s="458"/>
      <c r="M53" s="458"/>
      <c r="N53" s="458"/>
      <c r="O53" s="443"/>
      <c r="P53" s="447"/>
      <c r="Q53" s="474">
        <v>0.5</v>
      </c>
      <c r="R53" s="474">
        <v>1600</v>
      </c>
      <c r="S53" s="474">
        <v>0.4</v>
      </c>
      <c r="T53" s="474">
        <v>4.6333333333333329</v>
      </c>
    </row>
    <row r="54" spans="2:20" s="444" customFormat="1" ht="15">
      <c r="B54" s="443"/>
      <c r="C54" s="443"/>
      <c r="D54" s="443"/>
      <c r="E54" s="458"/>
      <c r="F54" s="458"/>
      <c r="G54" s="458"/>
      <c r="H54" s="458"/>
      <c r="I54" s="458"/>
      <c r="J54" s="458"/>
      <c r="K54" s="458"/>
      <c r="L54" s="458"/>
      <c r="M54" s="458"/>
      <c r="N54" s="458"/>
      <c r="O54" s="443"/>
      <c r="P54" s="447"/>
      <c r="Q54" s="474">
        <v>0.5</v>
      </c>
      <c r="R54" s="474">
        <v>1600</v>
      </c>
      <c r="S54" s="474">
        <v>0.6</v>
      </c>
      <c r="T54" s="474">
        <v>5.7</v>
      </c>
    </row>
    <row r="55" spans="2:20" s="444" customFormat="1" ht="15">
      <c r="B55" s="445" t="s">
        <v>450</v>
      </c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  <c r="N55" s="445"/>
      <c r="O55" s="443"/>
      <c r="P55" s="447"/>
      <c r="Q55" s="474">
        <v>0.5</v>
      </c>
      <c r="R55" s="474">
        <v>1600</v>
      </c>
      <c r="S55" s="474">
        <v>0.8</v>
      </c>
      <c r="T55" s="474">
        <v>6.2333333333333325</v>
      </c>
    </row>
    <row r="56" spans="2:20" s="444" customFormat="1" ht="15">
      <c r="B56" s="443"/>
      <c r="C56" s="443"/>
      <c r="D56" s="443"/>
      <c r="E56" s="458"/>
      <c r="F56" s="458"/>
      <c r="G56" s="458"/>
      <c r="H56" s="458"/>
      <c r="I56" s="458"/>
      <c r="J56" s="458"/>
      <c r="K56" s="458"/>
      <c r="L56" s="458"/>
      <c r="M56" s="458"/>
      <c r="N56" s="458"/>
      <c r="O56" s="443"/>
      <c r="P56" s="447"/>
      <c r="Q56" s="474">
        <v>0.5</v>
      </c>
      <c r="R56" s="474">
        <v>1600</v>
      </c>
      <c r="S56" s="474">
        <v>1</v>
      </c>
      <c r="T56" s="474">
        <v>6.7333333333333343</v>
      </c>
    </row>
    <row r="57" spans="2:20" s="444" customFormat="1" ht="15">
      <c r="B57" s="443"/>
      <c r="C57" s="443"/>
      <c r="D57" s="443"/>
      <c r="E57" s="458"/>
      <c r="F57" s="458"/>
      <c r="G57" s="458"/>
      <c r="H57" s="458"/>
      <c r="I57" s="458"/>
      <c r="J57" s="458"/>
      <c r="K57" s="458"/>
      <c r="L57" s="458"/>
      <c r="M57" s="458"/>
      <c r="N57" s="458"/>
      <c r="O57" s="443"/>
      <c r="P57" s="447"/>
      <c r="Q57" s="474">
        <v>0.5</v>
      </c>
      <c r="R57" s="474">
        <v>1800</v>
      </c>
      <c r="S57" s="474">
        <v>0</v>
      </c>
      <c r="T57" s="474">
        <v>0</v>
      </c>
    </row>
    <row r="58" spans="2:20" s="444" customFormat="1" ht="15">
      <c r="B58" s="443"/>
      <c r="C58" s="443"/>
      <c r="D58" s="443"/>
      <c r="E58" s="458"/>
      <c r="F58" s="458"/>
      <c r="G58" s="458"/>
      <c r="H58" s="458"/>
      <c r="I58" s="458"/>
      <c r="J58" s="458"/>
      <c r="K58" s="458"/>
      <c r="L58" s="458"/>
      <c r="M58" s="458"/>
      <c r="N58" s="458"/>
      <c r="O58" s="443"/>
      <c r="P58" s="447"/>
      <c r="Q58" s="474">
        <v>0.5</v>
      </c>
      <c r="R58" s="474">
        <v>1800</v>
      </c>
      <c r="S58" s="474">
        <v>0.2</v>
      </c>
      <c r="T58" s="474">
        <v>2.4</v>
      </c>
    </row>
    <row r="59" spans="2:20" s="444" customFormat="1" ht="15">
      <c r="B59" s="443"/>
      <c r="C59" s="443"/>
      <c r="D59" s="443"/>
      <c r="E59" s="458"/>
      <c r="F59" s="458"/>
      <c r="G59" s="458"/>
      <c r="H59" s="458"/>
      <c r="I59" s="458"/>
      <c r="J59" s="458"/>
      <c r="K59" s="458"/>
      <c r="L59" s="458"/>
      <c r="M59" s="458"/>
      <c r="N59" s="458"/>
      <c r="O59" s="443"/>
      <c r="P59" s="447"/>
      <c r="Q59" s="474">
        <v>0.5</v>
      </c>
      <c r="R59" s="474">
        <v>1800</v>
      </c>
      <c r="S59" s="474">
        <v>0.4</v>
      </c>
      <c r="T59" s="474">
        <v>3.7666666666666666</v>
      </c>
    </row>
    <row r="60" spans="2:20" s="444" customFormat="1" ht="15">
      <c r="B60" s="443"/>
      <c r="C60" s="443"/>
      <c r="D60" s="443"/>
      <c r="E60" s="458"/>
      <c r="F60" s="458"/>
      <c r="G60" s="458"/>
      <c r="H60" s="458"/>
      <c r="I60" s="458"/>
      <c r="J60" s="458"/>
      <c r="K60" s="458"/>
      <c r="L60" s="458"/>
      <c r="M60" s="458"/>
      <c r="N60" s="458"/>
      <c r="O60" s="443"/>
      <c r="P60" s="447"/>
      <c r="Q60" s="474">
        <v>0.5</v>
      </c>
      <c r="R60" s="474">
        <v>1800</v>
      </c>
      <c r="S60" s="474">
        <v>0.6</v>
      </c>
      <c r="T60" s="474">
        <v>4.7</v>
      </c>
    </row>
    <row r="61" spans="2:20" s="444" customFormat="1" ht="15">
      <c r="B61" s="443"/>
      <c r="C61" s="443"/>
      <c r="D61" s="443"/>
      <c r="E61" s="458"/>
      <c r="F61" s="458"/>
      <c r="G61" s="458"/>
      <c r="H61" s="458"/>
      <c r="I61" s="458"/>
      <c r="J61" s="458"/>
      <c r="K61" s="458"/>
      <c r="L61" s="458"/>
      <c r="M61" s="458"/>
      <c r="N61" s="458"/>
      <c r="O61" s="443"/>
      <c r="P61" s="447"/>
      <c r="Q61" s="474">
        <v>0.5</v>
      </c>
      <c r="R61" s="474">
        <v>1800</v>
      </c>
      <c r="S61" s="474">
        <v>0.8</v>
      </c>
      <c r="T61" s="474">
        <v>5.1666666666666661</v>
      </c>
    </row>
    <row r="62" spans="2:20" s="444" customFormat="1" ht="15">
      <c r="B62" s="443"/>
      <c r="C62" s="443"/>
      <c r="D62" s="443"/>
      <c r="E62" s="458"/>
      <c r="F62" s="458"/>
      <c r="G62" s="458"/>
      <c r="H62" s="458"/>
      <c r="I62" s="458"/>
      <c r="J62" s="458"/>
      <c r="K62" s="458"/>
      <c r="L62" s="458"/>
      <c r="M62" s="458"/>
      <c r="N62" s="458"/>
      <c r="O62" s="443"/>
      <c r="P62" s="447"/>
      <c r="Q62" s="474">
        <v>0.5</v>
      </c>
      <c r="R62" s="474">
        <v>1800</v>
      </c>
      <c r="S62" s="474">
        <v>1</v>
      </c>
      <c r="T62" s="474">
        <v>5.5666666666666673</v>
      </c>
    </row>
    <row r="63" spans="2:20" s="444" customFormat="1" ht="15">
      <c r="B63" s="443"/>
      <c r="C63" s="443"/>
      <c r="D63" s="443"/>
      <c r="E63" s="458"/>
      <c r="F63" s="458"/>
      <c r="G63" s="458"/>
      <c r="H63" s="458"/>
      <c r="I63" s="458"/>
      <c r="J63" s="458"/>
      <c r="K63" s="458"/>
      <c r="L63" s="458"/>
      <c r="M63" s="458"/>
      <c r="N63" s="458"/>
      <c r="O63" s="443"/>
      <c r="P63" s="447"/>
      <c r="Q63" s="474">
        <v>0.5</v>
      </c>
      <c r="R63" s="474">
        <v>2000</v>
      </c>
      <c r="S63" s="474">
        <v>0</v>
      </c>
      <c r="T63" s="474">
        <v>0</v>
      </c>
    </row>
    <row r="64" spans="2:20" s="444" customFormat="1" ht="15">
      <c r="B64" s="443"/>
      <c r="C64" s="443"/>
      <c r="D64" s="443"/>
      <c r="E64" s="458"/>
      <c r="F64" s="458"/>
      <c r="G64" s="458"/>
      <c r="H64" s="458"/>
      <c r="I64" s="458"/>
      <c r="J64" s="458"/>
      <c r="K64" s="458"/>
      <c r="L64" s="458"/>
      <c r="M64" s="458"/>
      <c r="N64" s="458"/>
      <c r="O64" s="443"/>
      <c r="P64" s="447"/>
      <c r="Q64" s="474">
        <v>0.5</v>
      </c>
      <c r="R64" s="474">
        <v>2000</v>
      </c>
      <c r="S64" s="474">
        <v>0.2</v>
      </c>
      <c r="T64" s="474">
        <v>1.8</v>
      </c>
    </row>
    <row r="65" spans="16:20" s="444" customFormat="1" ht="15">
      <c r="P65" s="447"/>
      <c r="Q65" s="474">
        <v>0.5</v>
      </c>
      <c r="R65" s="474">
        <v>2000</v>
      </c>
      <c r="S65" s="474">
        <v>0.4</v>
      </c>
      <c r="T65" s="474">
        <v>2.9</v>
      </c>
    </row>
    <row r="66" spans="16:20" s="444" customFormat="1" ht="15">
      <c r="P66" s="447"/>
      <c r="Q66" s="474">
        <v>0.5</v>
      </c>
      <c r="R66" s="474">
        <v>2000</v>
      </c>
      <c r="S66" s="474">
        <v>0.6</v>
      </c>
      <c r="T66" s="474">
        <v>3.7</v>
      </c>
    </row>
    <row r="67" spans="16:20" s="444" customFormat="1" ht="15">
      <c r="P67" s="447"/>
      <c r="Q67" s="474">
        <v>0.5</v>
      </c>
      <c r="R67" s="474">
        <v>2000</v>
      </c>
      <c r="S67" s="474">
        <v>0.8</v>
      </c>
      <c r="T67" s="474">
        <v>4.0999999999999996</v>
      </c>
    </row>
    <row r="68" spans="16:20" s="444" customFormat="1" ht="15">
      <c r="P68" s="447"/>
      <c r="Q68" s="474">
        <v>0.5</v>
      </c>
      <c r="R68" s="474">
        <v>2000</v>
      </c>
      <c r="S68" s="474">
        <v>1</v>
      </c>
      <c r="T68" s="474">
        <v>4.4000000000000004</v>
      </c>
    </row>
    <row r="69" spans="16:20" s="444" customFormat="1" ht="15">
      <c r="P69" s="447"/>
      <c r="Q69" s="474">
        <v>0.5</v>
      </c>
      <c r="R69" s="474">
        <v>2200</v>
      </c>
      <c r="S69" s="474">
        <v>0</v>
      </c>
      <c r="T69" s="474">
        <v>0</v>
      </c>
    </row>
    <row r="70" spans="16:20" s="444" customFormat="1" ht="15">
      <c r="P70" s="447"/>
      <c r="Q70" s="474">
        <v>0.5</v>
      </c>
      <c r="R70" s="474">
        <v>2200</v>
      </c>
      <c r="S70" s="474">
        <v>0.2</v>
      </c>
      <c r="T70" s="474">
        <v>1.5666666666666667</v>
      </c>
    </row>
    <row r="71" spans="16:20" s="444" customFormat="1" ht="15">
      <c r="P71" s="447"/>
      <c r="Q71" s="474">
        <v>0.5</v>
      </c>
      <c r="R71" s="474">
        <v>2200</v>
      </c>
      <c r="S71" s="474">
        <v>0.4</v>
      </c>
      <c r="T71" s="474">
        <v>2.4666666666666668</v>
      </c>
    </row>
    <row r="72" spans="16:20" s="444" customFormat="1" ht="15">
      <c r="P72" s="447"/>
      <c r="Q72" s="474">
        <v>0.5</v>
      </c>
      <c r="R72" s="474">
        <v>2200</v>
      </c>
      <c r="S72" s="474">
        <v>0.6</v>
      </c>
      <c r="T72" s="474">
        <v>3.1333333333333337</v>
      </c>
    </row>
    <row r="73" spans="16:20" s="444" customFormat="1" ht="15">
      <c r="P73" s="447"/>
      <c r="Q73" s="474">
        <v>0.5</v>
      </c>
      <c r="R73" s="474">
        <v>2200</v>
      </c>
      <c r="S73" s="474">
        <v>0.8</v>
      </c>
      <c r="T73" s="474">
        <v>3.5</v>
      </c>
    </row>
    <row r="74" spans="16:20" s="444" customFormat="1" ht="15">
      <c r="P74" s="447"/>
      <c r="Q74" s="474">
        <v>0.5</v>
      </c>
      <c r="R74" s="474">
        <v>2200</v>
      </c>
      <c r="S74" s="474">
        <v>1</v>
      </c>
      <c r="T74" s="474">
        <v>3.7333333333333334</v>
      </c>
    </row>
    <row r="75" spans="16:20" s="444" customFormat="1" ht="15">
      <c r="P75" s="447"/>
      <c r="Q75" s="474">
        <v>0.5</v>
      </c>
      <c r="R75" s="474">
        <v>2400</v>
      </c>
      <c r="S75" s="474">
        <v>0</v>
      </c>
      <c r="T75" s="474">
        <v>0</v>
      </c>
    </row>
    <row r="76" spans="16:20" s="444" customFormat="1" ht="15">
      <c r="P76" s="447"/>
      <c r="Q76" s="474">
        <v>0.5</v>
      </c>
      <c r="R76" s="474">
        <v>2400</v>
      </c>
      <c r="S76" s="474">
        <v>0.2</v>
      </c>
      <c r="T76" s="474">
        <v>1.3333333333333335</v>
      </c>
    </row>
    <row r="77" spans="16:20" s="444" customFormat="1" ht="15">
      <c r="P77" s="447"/>
      <c r="Q77" s="474">
        <v>0.5</v>
      </c>
      <c r="R77" s="474">
        <v>2400</v>
      </c>
      <c r="S77" s="474">
        <v>0.4</v>
      </c>
      <c r="T77" s="474">
        <v>2.0333333333333332</v>
      </c>
    </row>
    <row r="78" spans="16:20" s="444" customFormat="1" ht="15">
      <c r="P78" s="447"/>
      <c r="Q78" s="474">
        <v>0.5</v>
      </c>
      <c r="R78" s="474">
        <v>2400</v>
      </c>
      <c r="S78" s="474">
        <v>0.6</v>
      </c>
      <c r="T78" s="474">
        <v>2.5666666666666669</v>
      </c>
    </row>
    <row r="79" spans="16:20" s="444" customFormat="1" ht="15">
      <c r="P79" s="447"/>
      <c r="Q79" s="474">
        <v>0.5</v>
      </c>
      <c r="R79" s="474">
        <v>2400</v>
      </c>
      <c r="S79" s="474">
        <v>0.8</v>
      </c>
      <c r="T79" s="474">
        <v>2.9</v>
      </c>
    </row>
    <row r="80" spans="16:20" s="444" customFormat="1" ht="15">
      <c r="P80" s="447"/>
      <c r="Q80" s="474">
        <v>0.5</v>
      </c>
      <c r="R80" s="474">
        <v>2400</v>
      </c>
      <c r="S80" s="474">
        <v>1</v>
      </c>
      <c r="T80" s="474">
        <v>3.0666666666666669</v>
      </c>
    </row>
    <row r="81" spans="16:20" s="444" customFormat="1" ht="15">
      <c r="P81" s="447"/>
      <c r="Q81" s="474">
        <v>0.5</v>
      </c>
      <c r="R81" s="474">
        <v>2600</v>
      </c>
      <c r="S81" s="474">
        <v>0</v>
      </c>
      <c r="T81" s="474">
        <v>0</v>
      </c>
    </row>
    <row r="82" spans="16:20" s="444" customFormat="1" ht="15">
      <c r="P82" s="447"/>
      <c r="Q82" s="474">
        <v>0.5</v>
      </c>
      <c r="R82" s="474">
        <v>2600</v>
      </c>
      <c r="S82" s="474">
        <v>0.2</v>
      </c>
      <c r="T82" s="474">
        <v>1.1000000000000001</v>
      </c>
    </row>
    <row r="83" spans="16:20" s="444" customFormat="1" ht="15">
      <c r="P83" s="447"/>
      <c r="Q83" s="474">
        <v>0.5</v>
      </c>
      <c r="R83" s="474">
        <v>2600</v>
      </c>
      <c r="S83" s="474">
        <v>0.4</v>
      </c>
      <c r="T83" s="474">
        <v>1.6</v>
      </c>
    </row>
    <row r="84" spans="16:20" s="444" customFormat="1" ht="15">
      <c r="P84" s="447"/>
      <c r="Q84" s="474">
        <v>0.5</v>
      </c>
      <c r="R84" s="474">
        <v>2600</v>
      </c>
      <c r="S84" s="474">
        <v>0.6</v>
      </c>
      <c r="T84" s="474">
        <v>2</v>
      </c>
    </row>
    <row r="85" spans="16:20" s="444" customFormat="1" ht="15">
      <c r="P85" s="447"/>
      <c r="Q85" s="474">
        <v>0.5</v>
      </c>
      <c r="R85" s="474">
        <v>2600</v>
      </c>
      <c r="S85" s="474">
        <v>0.8</v>
      </c>
      <c r="T85" s="474">
        <v>2.2999999999999998</v>
      </c>
    </row>
    <row r="86" spans="16:20" s="444" customFormat="1" ht="15">
      <c r="P86" s="447"/>
      <c r="Q86" s="474">
        <v>0.5</v>
      </c>
      <c r="R86" s="474">
        <v>2600</v>
      </c>
      <c r="S86" s="474">
        <v>1</v>
      </c>
      <c r="T86" s="474">
        <v>2.4</v>
      </c>
    </row>
    <row r="87" spans="16:20" s="444" customFormat="1" ht="15">
      <c r="P87" s="447"/>
      <c r="Q87" s="474">
        <v>0.5</v>
      </c>
      <c r="R87" s="474">
        <v>2800</v>
      </c>
      <c r="S87" s="474">
        <v>0</v>
      </c>
      <c r="T87" s="474">
        <v>0</v>
      </c>
    </row>
    <row r="88" spans="16:20" s="444" customFormat="1" ht="15">
      <c r="P88" s="447"/>
      <c r="Q88" s="474">
        <v>0.5</v>
      </c>
      <c r="R88" s="474">
        <v>2800</v>
      </c>
      <c r="S88" s="474">
        <v>0.2</v>
      </c>
      <c r="T88" s="474">
        <v>0.7</v>
      </c>
    </row>
    <row r="89" spans="16:20" s="444" customFormat="1" ht="15">
      <c r="P89" s="447"/>
      <c r="Q89" s="474">
        <v>0.5</v>
      </c>
      <c r="R89" s="474">
        <v>2800</v>
      </c>
      <c r="S89" s="474">
        <v>0.4</v>
      </c>
      <c r="T89" s="474">
        <v>0.9</v>
      </c>
    </row>
    <row r="90" spans="16:20" s="444" customFormat="1" ht="15">
      <c r="P90" s="447"/>
      <c r="Q90" s="474">
        <v>0.5</v>
      </c>
      <c r="R90" s="474">
        <v>2800</v>
      </c>
      <c r="S90" s="474">
        <v>0.6</v>
      </c>
      <c r="T90" s="474">
        <v>1.1000000000000001</v>
      </c>
    </row>
    <row r="91" spans="16:20" s="444" customFormat="1" ht="15">
      <c r="P91" s="447"/>
      <c r="Q91" s="474">
        <v>0.5</v>
      </c>
      <c r="R91" s="474">
        <v>2800</v>
      </c>
      <c r="S91" s="474">
        <v>0.8</v>
      </c>
      <c r="T91" s="474">
        <v>1.2</v>
      </c>
    </row>
    <row r="92" spans="16:20" s="444" customFormat="1" ht="15">
      <c r="P92" s="447"/>
      <c r="Q92" s="474">
        <v>0.5</v>
      </c>
      <c r="R92" s="474">
        <v>2800</v>
      </c>
      <c r="S92" s="474">
        <v>1</v>
      </c>
      <c r="T92" s="474">
        <v>1.4</v>
      </c>
    </row>
    <row r="93" spans="16:20" s="444" customFormat="1" ht="15">
      <c r="P93" s="447"/>
      <c r="Q93" s="474">
        <v>0.5</v>
      </c>
      <c r="R93" s="474">
        <v>3000</v>
      </c>
      <c r="S93" s="474">
        <v>0</v>
      </c>
      <c r="T93" s="474">
        <v>0</v>
      </c>
    </row>
    <row r="94" spans="16:20" s="444" customFormat="1" ht="15">
      <c r="P94" s="447"/>
      <c r="Q94" s="474">
        <v>0.5</v>
      </c>
      <c r="R94" s="474">
        <v>3000</v>
      </c>
      <c r="S94" s="474">
        <v>0.2</v>
      </c>
      <c r="T94" s="474">
        <v>0.7</v>
      </c>
    </row>
    <row r="95" spans="16:20" s="444" customFormat="1" ht="15">
      <c r="P95" s="447"/>
      <c r="Q95" s="474">
        <v>0.5</v>
      </c>
      <c r="R95" s="474">
        <v>3000</v>
      </c>
      <c r="S95" s="474">
        <v>0.4</v>
      </c>
      <c r="T95" s="474">
        <v>0.9</v>
      </c>
    </row>
    <row r="96" spans="16:20" s="444" customFormat="1" ht="15">
      <c r="P96" s="447"/>
      <c r="Q96" s="474">
        <v>0.5</v>
      </c>
      <c r="R96" s="474">
        <v>3000</v>
      </c>
      <c r="S96" s="474">
        <v>0.6</v>
      </c>
      <c r="T96" s="474">
        <v>1.1000000000000001</v>
      </c>
    </row>
    <row r="97" spans="16:20" s="444" customFormat="1" ht="15">
      <c r="P97" s="447"/>
      <c r="Q97" s="474">
        <v>0.5</v>
      </c>
      <c r="R97" s="474">
        <v>3000</v>
      </c>
      <c r="S97" s="474">
        <v>0.8</v>
      </c>
      <c r="T97" s="474">
        <v>1.2</v>
      </c>
    </row>
    <row r="98" spans="16:20" s="444" customFormat="1" ht="15">
      <c r="P98" s="447"/>
      <c r="Q98" s="474">
        <v>0.5</v>
      </c>
      <c r="R98" s="474">
        <v>3000</v>
      </c>
      <c r="S98" s="474">
        <v>1</v>
      </c>
      <c r="T98" s="474">
        <v>1.4</v>
      </c>
    </row>
    <row r="99" spans="16:20" s="444" customFormat="1" ht="15">
      <c r="P99" s="447"/>
      <c r="Q99" s="474">
        <v>0.5</v>
      </c>
      <c r="R99" s="474">
        <v>3200</v>
      </c>
      <c r="S99" s="474">
        <v>0</v>
      </c>
      <c r="T99" s="474">
        <v>0</v>
      </c>
    </row>
    <row r="100" spans="16:20" s="444" customFormat="1" ht="15">
      <c r="P100" s="447"/>
      <c r="Q100" s="474">
        <v>0.5</v>
      </c>
      <c r="R100" s="474">
        <v>3200</v>
      </c>
      <c r="S100" s="474">
        <v>0.2</v>
      </c>
      <c r="T100" s="474">
        <v>0.7</v>
      </c>
    </row>
    <row r="101" spans="16:20" s="444" customFormat="1" ht="15">
      <c r="P101" s="447"/>
      <c r="Q101" s="474">
        <v>0.5</v>
      </c>
      <c r="R101" s="474">
        <v>3200</v>
      </c>
      <c r="S101" s="474">
        <v>0.4</v>
      </c>
      <c r="T101" s="474">
        <v>0.9</v>
      </c>
    </row>
    <row r="102" spans="16:20" s="444" customFormat="1" ht="15">
      <c r="P102" s="447"/>
      <c r="Q102" s="474">
        <v>0.5</v>
      </c>
      <c r="R102" s="474">
        <v>3200</v>
      </c>
      <c r="S102" s="474">
        <v>0.6</v>
      </c>
      <c r="T102" s="474">
        <v>1.1000000000000001</v>
      </c>
    </row>
    <row r="103" spans="16:20" s="444" customFormat="1" ht="15">
      <c r="P103" s="447"/>
      <c r="Q103" s="474">
        <v>0.5</v>
      </c>
      <c r="R103" s="474">
        <v>3200</v>
      </c>
      <c r="S103" s="474">
        <v>0.8</v>
      </c>
      <c r="T103" s="474">
        <v>1.2</v>
      </c>
    </row>
    <row r="104" spans="16:20" s="444" customFormat="1" ht="15">
      <c r="P104" s="447"/>
      <c r="Q104" s="474">
        <v>0.5</v>
      </c>
      <c r="R104" s="474">
        <v>3200</v>
      </c>
      <c r="S104" s="474">
        <v>1</v>
      </c>
      <c r="T104" s="474">
        <v>1.4</v>
      </c>
    </row>
    <row r="105" spans="16:20" s="444" customFormat="1" ht="15">
      <c r="P105" s="447"/>
      <c r="Q105" s="474">
        <v>0.55000000000000004</v>
      </c>
      <c r="R105" s="474">
        <v>0</v>
      </c>
      <c r="S105" s="474">
        <v>0</v>
      </c>
      <c r="T105" s="474">
        <v>1.6</v>
      </c>
    </row>
    <row r="106" spans="16:20" s="444" customFormat="1" ht="15">
      <c r="P106" s="447"/>
      <c r="Q106" s="474">
        <v>0.55000000000000004</v>
      </c>
      <c r="R106" s="474">
        <v>0</v>
      </c>
      <c r="S106" s="474">
        <v>0.2</v>
      </c>
      <c r="T106" s="474">
        <v>11.8</v>
      </c>
    </row>
    <row r="107" spans="16:20" s="444" customFormat="1" ht="15">
      <c r="P107" s="447"/>
      <c r="Q107" s="474">
        <v>0.55000000000000004</v>
      </c>
      <c r="R107" s="474">
        <v>0</v>
      </c>
      <c r="S107" s="474">
        <v>0.4</v>
      </c>
      <c r="T107" s="474">
        <v>17.2</v>
      </c>
    </row>
    <row r="108" spans="16:20" s="444" customFormat="1" ht="15">
      <c r="P108" s="447"/>
      <c r="Q108" s="474">
        <v>0.55000000000000004</v>
      </c>
      <c r="R108" s="474">
        <v>0</v>
      </c>
      <c r="S108" s="474">
        <v>0.6</v>
      </c>
      <c r="T108" s="474">
        <v>22.5</v>
      </c>
    </row>
    <row r="109" spans="16:20" s="444" customFormat="1" ht="15">
      <c r="P109" s="447"/>
      <c r="Q109" s="474">
        <v>0.55000000000000004</v>
      </c>
      <c r="R109" s="474">
        <v>0</v>
      </c>
      <c r="S109" s="474">
        <v>0.8</v>
      </c>
      <c r="T109" s="474">
        <v>23.1</v>
      </c>
    </row>
    <row r="110" spans="16:20" s="444" customFormat="1" ht="15">
      <c r="P110" s="447"/>
      <c r="Q110" s="474">
        <v>0.55000000000000004</v>
      </c>
      <c r="R110" s="474">
        <v>0</v>
      </c>
      <c r="S110" s="474">
        <v>1</v>
      </c>
      <c r="T110" s="474">
        <v>23.7</v>
      </c>
    </row>
    <row r="111" spans="16:20" s="444" customFormat="1" ht="15">
      <c r="P111" s="447"/>
      <c r="Q111" s="474">
        <v>0.55000000000000004</v>
      </c>
      <c r="R111" s="474">
        <v>200</v>
      </c>
      <c r="S111" s="474">
        <v>0</v>
      </c>
      <c r="T111" s="474">
        <v>1.6</v>
      </c>
    </row>
    <row r="112" spans="16:20" s="444" customFormat="1" ht="15">
      <c r="P112" s="447"/>
      <c r="Q112" s="474">
        <v>0.55000000000000004</v>
      </c>
      <c r="R112" s="474">
        <v>200</v>
      </c>
      <c r="S112" s="474">
        <v>0.2</v>
      </c>
      <c r="T112" s="474">
        <v>11.8</v>
      </c>
    </row>
    <row r="113" spans="16:20" s="444" customFormat="1" ht="15">
      <c r="P113" s="447"/>
      <c r="Q113" s="474">
        <v>0.55000000000000004</v>
      </c>
      <c r="R113" s="474">
        <v>200</v>
      </c>
      <c r="S113" s="474">
        <v>0.4</v>
      </c>
      <c r="T113" s="474">
        <v>17.2</v>
      </c>
    </row>
    <row r="114" spans="16:20" s="444" customFormat="1" ht="15">
      <c r="P114" s="447"/>
      <c r="Q114" s="474">
        <v>0.55000000000000004</v>
      </c>
      <c r="R114" s="474">
        <v>200</v>
      </c>
      <c r="S114" s="474">
        <v>0.6</v>
      </c>
      <c r="T114" s="474">
        <v>22.5</v>
      </c>
    </row>
    <row r="115" spans="16:20" s="444" customFormat="1" ht="15">
      <c r="P115" s="447"/>
      <c r="Q115" s="474">
        <v>0.55000000000000004</v>
      </c>
      <c r="R115" s="474">
        <v>200</v>
      </c>
      <c r="S115" s="474">
        <v>0.8</v>
      </c>
      <c r="T115" s="474">
        <v>23.1</v>
      </c>
    </row>
    <row r="116" spans="16:20" s="444" customFormat="1" ht="15">
      <c r="P116" s="447"/>
      <c r="Q116" s="474">
        <v>0.55000000000000004</v>
      </c>
      <c r="R116" s="474">
        <v>200</v>
      </c>
      <c r="S116" s="474">
        <v>1</v>
      </c>
      <c r="T116" s="474">
        <v>23.7</v>
      </c>
    </row>
    <row r="117" spans="16:20" s="444" customFormat="1" ht="15">
      <c r="P117" s="447"/>
      <c r="Q117" s="474">
        <v>0.55000000000000004</v>
      </c>
      <c r="R117" s="474">
        <v>400</v>
      </c>
      <c r="S117" s="474">
        <v>0</v>
      </c>
      <c r="T117" s="474">
        <v>0.5</v>
      </c>
    </row>
    <row r="118" spans="16:20" s="444" customFormat="1" ht="15">
      <c r="P118" s="447"/>
      <c r="Q118" s="474">
        <v>0.55000000000000004</v>
      </c>
      <c r="R118" s="474">
        <v>400</v>
      </c>
      <c r="S118" s="474">
        <v>0.2</v>
      </c>
      <c r="T118" s="474">
        <v>11.7</v>
      </c>
    </row>
    <row r="119" spans="16:20" s="444" customFormat="1" ht="15">
      <c r="P119" s="447"/>
      <c r="Q119" s="474">
        <v>0.55000000000000004</v>
      </c>
      <c r="R119" s="474">
        <v>400</v>
      </c>
      <c r="S119" s="474">
        <v>0.4</v>
      </c>
      <c r="T119" s="474">
        <v>16.2</v>
      </c>
    </row>
    <row r="120" spans="16:20" s="444" customFormat="1" ht="15">
      <c r="P120" s="447"/>
      <c r="Q120" s="474">
        <v>0.55000000000000004</v>
      </c>
      <c r="R120" s="474">
        <v>400</v>
      </c>
      <c r="S120" s="474">
        <v>0.6</v>
      </c>
      <c r="T120" s="474">
        <v>20.7</v>
      </c>
    </row>
    <row r="121" spans="16:20" s="444" customFormat="1" ht="15">
      <c r="P121" s="447"/>
      <c r="Q121" s="474">
        <v>0.55000000000000004</v>
      </c>
      <c r="R121" s="474">
        <v>400</v>
      </c>
      <c r="S121" s="474">
        <v>0.8</v>
      </c>
      <c r="T121" s="474">
        <v>21.5</v>
      </c>
    </row>
    <row r="122" spans="16:20" s="444" customFormat="1" ht="15">
      <c r="P122" s="447"/>
      <c r="Q122" s="474">
        <v>0.55000000000000004</v>
      </c>
      <c r="R122" s="474">
        <v>400</v>
      </c>
      <c r="S122" s="474">
        <v>1</v>
      </c>
      <c r="T122" s="474">
        <v>22.2</v>
      </c>
    </row>
    <row r="123" spans="16:20" s="444" customFormat="1" ht="15">
      <c r="P123" s="447"/>
      <c r="Q123" s="474">
        <v>0.55000000000000004</v>
      </c>
      <c r="R123" s="474">
        <v>600</v>
      </c>
      <c r="S123" s="474">
        <v>0</v>
      </c>
      <c r="T123" s="474">
        <v>0</v>
      </c>
    </row>
    <row r="124" spans="16:20" s="444" customFormat="1" ht="15">
      <c r="P124" s="447"/>
      <c r="Q124" s="474">
        <v>0.55000000000000004</v>
      </c>
      <c r="R124" s="474">
        <v>600</v>
      </c>
      <c r="S124" s="474">
        <v>0.2</v>
      </c>
      <c r="T124" s="474">
        <v>11.5</v>
      </c>
    </row>
    <row r="125" spans="16:20" s="444" customFormat="1" ht="15">
      <c r="P125" s="447"/>
      <c r="Q125" s="474">
        <v>0.55000000000000004</v>
      </c>
      <c r="R125" s="474">
        <v>600</v>
      </c>
      <c r="S125" s="474">
        <v>0.4</v>
      </c>
      <c r="T125" s="474">
        <v>15.2</v>
      </c>
    </row>
    <row r="126" spans="16:20" s="444" customFormat="1" ht="15">
      <c r="P126" s="447"/>
      <c r="Q126" s="474">
        <v>0.55000000000000004</v>
      </c>
      <c r="R126" s="474">
        <v>600</v>
      </c>
      <c r="S126" s="474">
        <v>0.6</v>
      </c>
      <c r="T126" s="474">
        <v>18.899999999999999</v>
      </c>
    </row>
    <row r="127" spans="16:20" s="444" customFormat="1" ht="15">
      <c r="P127" s="447"/>
      <c r="Q127" s="474">
        <v>0.55000000000000004</v>
      </c>
      <c r="R127" s="474">
        <v>600</v>
      </c>
      <c r="S127" s="474">
        <v>0.8</v>
      </c>
      <c r="T127" s="474">
        <v>19.8</v>
      </c>
    </row>
    <row r="128" spans="16:20" s="444" customFormat="1" ht="15">
      <c r="P128" s="447"/>
      <c r="Q128" s="474">
        <v>0.55000000000000004</v>
      </c>
      <c r="R128" s="474">
        <v>600</v>
      </c>
      <c r="S128" s="474">
        <v>1</v>
      </c>
      <c r="T128" s="474">
        <v>20.7</v>
      </c>
    </row>
    <row r="129" spans="16:20" s="444" customFormat="1" ht="15">
      <c r="P129" s="447"/>
      <c r="Q129" s="474">
        <v>0.55000000000000004</v>
      </c>
      <c r="R129" s="474">
        <v>800</v>
      </c>
      <c r="S129" s="474">
        <v>0</v>
      </c>
      <c r="T129" s="474">
        <v>0</v>
      </c>
    </row>
    <row r="130" spans="16:20" s="444" customFormat="1" ht="15">
      <c r="P130" s="447"/>
      <c r="Q130" s="474">
        <v>0.55000000000000004</v>
      </c>
      <c r="R130" s="474">
        <v>800</v>
      </c>
      <c r="S130" s="474">
        <v>0.2</v>
      </c>
      <c r="T130" s="474">
        <v>7.6</v>
      </c>
    </row>
    <row r="131" spans="16:20" s="444" customFormat="1" ht="15">
      <c r="P131" s="447"/>
      <c r="Q131" s="474">
        <v>0.55000000000000004</v>
      </c>
      <c r="R131" s="474">
        <v>800</v>
      </c>
      <c r="S131" s="474">
        <v>0.4</v>
      </c>
      <c r="T131" s="474">
        <v>10.3</v>
      </c>
    </row>
    <row r="132" spans="16:20" s="444" customFormat="1" ht="15">
      <c r="P132" s="447"/>
      <c r="Q132" s="474">
        <v>0.55000000000000004</v>
      </c>
      <c r="R132" s="474">
        <v>800</v>
      </c>
      <c r="S132" s="474">
        <v>0.6</v>
      </c>
      <c r="T132" s="474">
        <v>13</v>
      </c>
    </row>
    <row r="133" spans="16:20" s="444" customFormat="1" ht="15">
      <c r="P133" s="447"/>
      <c r="Q133" s="474">
        <v>0.55000000000000004</v>
      </c>
      <c r="R133" s="474">
        <v>800</v>
      </c>
      <c r="S133" s="474">
        <v>0.8</v>
      </c>
      <c r="T133" s="474">
        <v>13.7</v>
      </c>
    </row>
    <row r="134" spans="16:20" s="444" customFormat="1" ht="15">
      <c r="P134" s="447"/>
      <c r="Q134" s="474">
        <v>0.55000000000000004</v>
      </c>
      <c r="R134" s="474">
        <v>800</v>
      </c>
      <c r="S134" s="474">
        <v>1</v>
      </c>
      <c r="T134" s="474">
        <v>14.4</v>
      </c>
    </row>
    <row r="135" spans="16:20" s="444" customFormat="1" ht="15">
      <c r="P135" s="447"/>
      <c r="Q135" s="474">
        <v>0.55000000000000004</v>
      </c>
      <c r="R135" s="474">
        <v>1000</v>
      </c>
      <c r="S135" s="474">
        <v>0</v>
      </c>
      <c r="T135" s="474">
        <v>0</v>
      </c>
    </row>
    <row r="136" spans="16:20" s="444" customFormat="1" ht="15">
      <c r="P136" s="447"/>
      <c r="Q136" s="474">
        <v>0.55000000000000004</v>
      </c>
      <c r="R136" s="474">
        <v>1000</v>
      </c>
      <c r="S136" s="474">
        <v>0.2</v>
      </c>
      <c r="T136" s="474">
        <v>6.3</v>
      </c>
    </row>
    <row r="137" spans="16:20" s="444" customFormat="1" ht="15">
      <c r="P137" s="447"/>
      <c r="Q137" s="474">
        <v>0.55000000000000004</v>
      </c>
      <c r="R137" s="474">
        <v>1000</v>
      </c>
      <c r="S137" s="474">
        <v>0.4</v>
      </c>
      <c r="T137" s="474">
        <v>8.6999999999999993</v>
      </c>
    </row>
    <row r="138" spans="16:20" s="444" customFormat="1" ht="15">
      <c r="P138" s="447"/>
      <c r="Q138" s="474">
        <v>0.55000000000000004</v>
      </c>
      <c r="R138" s="474">
        <v>1000</v>
      </c>
      <c r="S138" s="474">
        <v>0.6</v>
      </c>
      <c r="T138" s="474">
        <v>11</v>
      </c>
    </row>
    <row r="139" spans="16:20" s="444" customFormat="1" ht="15">
      <c r="P139" s="447"/>
      <c r="Q139" s="474">
        <v>0.55000000000000004</v>
      </c>
      <c r="R139" s="474">
        <v>1000</v>
      </c>
      <c r="S139" s="474">
        <v>0.8</v>
      </c>
      <c r="T139" s="474">
        <v>11.7</v>
      </c>
    </row>
    <row r="140" spans="16:20" s="444" customFormat="1" ht="15">
      <c r="P140" s="447"/>
      <c r="Q140" s="474">
        <v>0.55000000000000004</v>
      </c>
      <c r="R140" s="474">
        <v>1000</v>
      </c>
      <c r="S140" s="474">
        <v>1</v>
      </c>
      <c r="T140" s="474">
        <v>12.3</v>
      </c>
    </row>
    <row r="141" spans="16:20" s="444" customFormat="1" ht="15">
      <c r="P141" s="447"/>
      <c r="Q141" s="474">
        <v>0.55000000000000004</v>
      </c>
      <c r="R141" s="474">
        <v>1200</v>
      </c>
      <c r="S141" s="474">
        <v>0</v>
      </c>
      <c r="T141" s="474">
        <v>0</v>
      </c>
    </row>
    <row r="142" spans="16:20" s="444" customFormat="1" ht="15">
      <c r="P142" s="447"/>
      <c r="Q142" s="474">
        <v>0.55000000000000004</v>
      </c>
      <c r="R142" s="474">
        <v>1200</v>
      </c>
      <c r="S142" s="474">
        <v>0.2</v>
      </c>
      <c r="T142" s="474">
        <v>5</v>
      </c>
    </row>
    <row r="143" spans="16:20" s="444" customFormat="1" ht="15">
      <c r="P143" s="447"/>
      <c r="Q143" s="474">
        <v>0.55000000000000004</v>
      </c>
      <c r="R143" s="474">
        <v>1200</v>
      </c>
      <c r="S143" s="474">
        <v>0.4</v>
      </c>
      <c r="T143" s="474">
        <v>7</v>
      </c>
    </row>
    <row r="144" spans="16:20" s="444" customFormat="1" ht="15">
      <c r="P144" s="447"/>
      <c r="Q144" s="474">
        <v>0.55000000000000004</v>
      </c>
      <c r="R144" s="474">
        <v>1200</v>
      </c>
      <c r="S144" s="474">
        <v>0.6</v>
      </c>
      <c r="T144" s="474">
        <v>9.1</v>
      </c>
    </row>
    <row r="145" spans="16:20" s="444" customFormat="1" ht="15">
      <c r="P145" s="447"/>
      <c r="Q145" s="474">
        <v>0.55000000000000004</v>
      </c>
      <c r="R145" s="474">
        <v>1200</v>
      </c>
      <c r="S145" s="474">
        <v>0.8</v>
      </c>
      <c r="T145" s="474">
        <v>9.6</v>
      </c>
    </row>
    <row r="146" spans="16:20" s="444" customFormat="1" ht="15">
      <c r="P146" s="447"/>
      <c r="Q146" s="474">
        <v>0.55000000000000004</v>
      </c>
      <c r="R146" s="474">
        <v>1200</v>
      </c>
      <c r="S146" s="474">
        <v>1</v>
      </c>
      <c r="T146" s="474">
        <v>10.199999999999999</v>
      </c>
    </row>
    <row r="147" spans="16:20" s="444" customFormat="1" ht="15">
      <c r="P147" s="447"/>
      <c r="Q147" s="474">
        <v>0.55000000000000004</v>
      </c>
      <c r="R147" s="474">
        <v>1400</v>
      </c>
      <c r="S147" s="474">
        <v>0</v>
      </c>
      <c r="T147" s="474">
        <v>0</v>
      </c>
    </row>
    <row r="148" spans="16:20" s="444" customFormat="1" ht="15">
      <c r="P148" s="447"/>
      <c r="Q148" s="474">
        <v>0.55000000000000004</v>
      </c>
      <c r="R148" s="474">
        <v>1400</v>
      </c>
      <c r="S148" s="474">
        <v>0.2</v>
      </c>
      <c r="T148" s="474">
        <v>3.7</v>
      </c>
    </row>
    <row r="149" spans="16:20" s="444" customFormat="1" ht="15">
      <c r="P149" s="447"/>
      <c r="Q149" s="474">
        <v>0.55000000000000004</v>
      </c>
      <c r="R149" s="474">
        <v>1400</v>
      </c>
      <c r="S149" s="474">
        <v>0.4</v>
      </c>
      <c r="T149" s="474">
        <v>5.4</v>
      </c>
    </row>
    <row r="150" spans="16:20" s="444" customFormat="1" ht="15">
      <c r="P150" s="447"/>
      <c r="Q150" s="474">
        <v>0.55000000000000004</v>
      </c>
      <c r="R150" s="474">
        <v>1400</v>
      </c>
      <c r="S150" s="474">
        <v>0.6</v>
      </c>
      <c r="T150" s="474">
        <v>7.1</v>
      </c>
    </row>
    <row r="151" spans="16:20" s="444" customFormat="1" ht="15">
      <c r="P151" s="447"/>
      <c r="Q151" s="474">
        <v>0.55000000000000004</v>
      </c>
      <c r="R151" s="474">
        <v>1400</v>
      </c>
      <c r="S151" s="474">
        <v>0.8</v>
      </c>
      <c r="T151" s="474">
        <v>7.6</v>
      </c>
    </row>
    <row r="152" spans="16:20" s="444" customFormat="1" ht="15">
      <c r="P152" s="447"/>
      <c r="Q152" s="474">
        <v>0.55000000000000004</v>
      </c>
      <c r="R152" s="474">
        <v>1400</v>
      </c>
      <c r="S152" s="474">
        <v>1</v>
      </c>
      <c r="T152" s="474">
        <v>8.1</v>
      </c>
    </row>
    <row r="153" spans="16:20" s="444" customFormat="1" ht="15">
      <c r="P153" s="447"/>
      <c r="Q153" s="474">
        <v>0.55000000000000004</v>
      </c>
      <c r="R153" s="474">
        <v>1600</v>
      </c>
      <c r="S153" s="474">
        <v>0</v>
      </c>
      <c r="T153" s="474">
        <v>0</v>
      </c>
    </row>
    <row r="154" spans="16:20" s="444" customFormat="1" ht="15">
      <c r="P154" s="447"/>
      <c r="Q154" s="474">
        <v>0.55000000000000004</v>
      </c>
      <c r="R154" s="474">
        <v>1600</v>
      </c>
      <c r="S154" s="474">
        <v>0.2</v>
      </c>
      <c r="T154" s="474">
        <v>3.2</v>
      </c>
    </row>
    <row r="155" spans="16:20" s="444" customFormat="1" ht="15">
      <c r="P155" s="447"/>
      <c r="Q155" s="474">
        <v>0.55000000000000004</v>
      </c>
      <c r="R155" s="474">
        <v>1600</v>
      </c>
      <c r="S155" s="474">
        <v>0.4</v>
      </c>
      <c r="T155" s="474">
        <v>4.7</v>
      </c>
    </row>
    <row r="156" spans="16:20" s="444" customFormat="1" ht="15">
      <c r="P156" s="447"/>
      <c r="Q156" s="474">
        <v>0.55000000000000004</v>
      </c>
      <c r="R156" s="474">
        <v>1600</v>
      </c>
      <c r="S156" s="474">
        <v>0.6</v>
      </c>
      <c r="T156" s="474">
        <v>5.9</v>
      </c>
    </row>
    <row r="157" spans="16:20" s="444" customFormat="1" ht="15">
      <c r="P157" s="447"/>
      <c r="Q157" s="474">
        <v>0.55000000000000004</v>
      </c>
      <c r="R157" s="474">
        <v>1600</v>
      </c>
      <c r="S157" s="474">
        <v>0.8</v>
      </c>
      <c r="T157" s="474">
        <v>6.4</v>
      </c>
    </row>
    <row r="158" spans="16:20" s="444" customFormat="1" ht="15">
      <c r="P158" s="447"/>
      <c r="Q158" s="474">
        <v>0.55000000000000004</v>
      </c>
      <c r="R158" s="474">
        <v>1600</v>
      </c>
      <c r="S158" s="474">
        <v>1</v>
      </c>
      <c r="T158" s="474">
        <v>6.8</v>
      </c>
    </row>
    <row r="159" spans="16:20" s="444" customFormat="1" ht="15">
      <c r="P159" s="447"/>
      <c r="Q159" s="474">
        <v>0.55000000000000004</v>
      </c>
      <c r="R159" s="474">
        <v>1800</v>
      </c>
      <c r="S159" s="474">
        <v>0</v>
      </c>
      <c r="T159" s="474">
        <v>0</v>
      </c>
    </row>
    <row r="160" spans="16:20" s="444" customFormat="1" ht="15">
      <c r="P160" s="447"/>
      <c r="Q160" s="474">
        <v>0.55000000000000004</v>
      </c>
      <c r="R160" s="474">
        <v>1800</v>
      </c>
      <c r="S160" s="474">
        <v>0.2</v>
      </c>
      <c r="T160" s="474">
        <v>2.8</v>
      </c>
    </row>
    <row r="161" spans="16:20" s="444" customFormat="1" ht="15">
      <c r="P161" s="447"/>
      <c r="Q161" s="474">
        <v>0.55000000000000004</v>
      </c>
      <c r="R161" s="474">
        <v>1800</v>
      </c>
      <c r="S161" s="474">
        <v>0.4</v>
      </c>
      <c r="T161" s="474">
        <v>4.0999999999999996</v>
      </c>
    </row>
    <row r="162" spans="16:20" s="444" customFormat="1" ht="15">
      <c r="P162" s="447"/>
      <c r="Q162" s="474">
        <v>0.55000000000000004</v>
      </c>
      <c r="R162" s="474">
        <v>1800</v>
      </c>
      <c r="S162" s="474">
        <v>0.6</v>
      </c>
      <c r="T162" s="474">
        <v>4.8</v>
      </c>
    </row>
    <row r="163" spans="16:20" s="444" customFormat="1" ht="15">
      <c r="P163" s="447"/>
      <c r="Q163" s="474">
        <v>0.55000000000000004</v>
      </c>
      <c r="R163" s="474">
        <v>1800</v>
      </c>
      <c r="S163" s="474">
        <v>0.8</v>
      </c>
      <c r="T163" s="474">
        <v>5.2</v>
      </c>
    </row>
    <row r="164" spans="16:20" s="444" customFormat="1" ht="15">
      <c r="P164" s="447"/>
      <c r="Q164" s="474">
        <v>0.55000000000000004</v>
      </c>
      <c r="R164" s="474">
        <v>1800</v>
      </c>
      <c r="S164" s="474">
        <v>1</v>
      </c>
      <c r="T164" s="474">
        <v>5.6</v>
      </c>
    </row>
    <row r="165" spans="16:20" s="444" customFormat="1" ht="15">
      <c r="P165" s="447"/>
      <c r="Q165" s="474">
        <v>0.55000000000000004</v>
      </c>
      <c r="R165" s="474">
        <v>2000</v>
      </c>
      <c r="S165" s="474">
        <v>0</v>
      </c>
      <c r="T165" s="474">
        <v>0</v>
      </c>
    </row>
    <row r="166" spans="16:20" s="444" customFormat="1" ht="15">
      <c r="P166" s="447"/>
      <c r="Q166" s="474">
        <v>0.55000000000000004</v>
      </c>
      <c r="R166" s="474">
        <v>2000</v>
      </c>
      <c r="S166" s="474">
        <v>0.2</v>
      </c>
      <c r="T166" s="474">
        <v>2.2999999999999998</v>
      </c>
    </row>
    <row r="167" spans="16:20" s="444" customFormat="1" ht="15">
      <c r="P167" s="447"/>
      <c r="Q167" s="474">
        <v>0.55000000000000004</v>
      </c>
      <c r="R167" s="474">
        <v>2000</v>
      </c>
      <c r="S167" s="474">
        <v>0.4</v>
      </c>
      <c r="T167" s="474">
        <v>3.4</v>
      </c>
    </row>
    <row r="168" spans="16:20" s="444" customFormat="1" ht="15">
      <c r="P168" s="447"/>
      <c r="Q168" s="474">
        <v>0.55000000000000004</v>
      </c>
      <c r="R168" s="474">
        <v>2000</v>
      </c>
      <c r="S168" s="474">
        <v>0.6</v>
      </c>
      <c r="T168" s="474">
        <v>3.6</v>
      </c>
    </row>
    <row r="169" spans="16:20" s="444" customFormat="1" ht="15">
      <c r="P169" s="447"/>
      <c r="Q169" s="474">
        <v>0.55000000000000004</v>
      </c>
      <c r="R169" s="474">
        <v>2000</v>
      </c>
      <c r="S169" s="474">
        <v>0.8</v>
      </c>
      <c r="T169" s="474">
        <v>4</v>
      </c>
    </row>
    <row r="170" spans="16:20" s="444" customFormat="1" ht="15">
      <c r="P170" s="447"/>
      <c r="Q170" s="474">
        <v>0.55000000000000004</v>
      </c>
      <c r="R170" s="474">
        <v>2000</v>
      </c>
      <c r="S170" s="474">
        <v>1</v>
      </c>
      <c r="T170" s="474">
        <v>4.3</v>
      </c>
    </row>
    <row r="171" spans="16:20" s="444" customFormat="1" ht="15">
      <c r="P171" s="447"/>
      <c r="Q171" s="474">
        <v>0.55000000000000004</v>
      </c>
      <c r="R171" s="474">
        <v>2200</v>
      </c>
      <c r="S171" s="474">
        <v>0</v>
      </c>
      <c r="T171" s="474">
        <v>0</v>
      </c>
    </row>
    <row r="172" spans="16:20" s="444" customFormat="1" ht="15">
      <c r="P172" s="447"/>
      <c r="Q172" s="474">
        <v>0.55000000000000004</v>
      </c>
      <c r="R172" s="474">
        <v>2200</v>
      </c>
      <c r="S172" s="474">
        <v>0.2</v>
      </c>
      <c r="T172" s="474">
        <v>1.8</v>
      </c>
    </row>
    <row r="173" spans="16:20" s="444" customFormat="1" ht="15">
      <c r="P173" s="447"/>
      <c r="Q173" s="474">
        <v>0.55000000000000004</v>
      </c>
      <c r="R173" s="474">
        <v>2200</v>
      </c>
      <c r="S173" s="474">
        <v>0.4</v>
      </c>
      <c r="T173" s="474">
        <v>2.7</v>
      </c>
    </row>
    <row r="174" spans="16:20" s="444" customFormat="1" ht="15">
      <c r="P174" s="447"/>
      <c r="Q174" s="474">
        <v>0.55000000000000004</v>
      </c>
      <c r="R174" s="474">
        <v>2200</v>
      </c>
      <c r="S174" s="474">
        <v>0.6</v>
      </c>
      <c r="T174" s="474">
        <v>3</v>
      </c>
    </row>
    <row r="175" spans="16:20" s="444" customFormat="1" ht="15">
      <c r="P175" s="447"/>
      <c r="Q175" s="474">
        <v>0.55000000000000004</v>
      </c>
      <c r="R175" s="474">
        <v>2200</v>
      </c>
      <c r="S175" s="474">
        <v>0.8</v>
      </c>
      <c r="T175" s="474">
        <v>3.4</v>
      </c>
    </row>
    <row r="176" spans="16:20" s="444" customFormat="1" ht="15">
      <c r="P176" s="447"/>
      <c r="Q176" s="474">
        <v>0.55000000000000004</v>
      </c>
      <c r="R176" s="474">
        <v>2200</v>
      </c>
      <c r="S176" s="474">
        <v>1</v>
      </c>
      <c r="T176" s="474">
        <v>3.6</v>
      </c>
    </row>
    <row r="177" spans="16:20" s="444" customFormat="1" ht="15">
      <c r="P177" s="447"/>
      <c r="Q177" s="474">
        <v>0.55000000000000004</v>
      </c>
      <c r="R177" s="474">
        <v>2400</v>
      </c>
      <c r="S177" s="474">
        <v>0</v>
      </c>
      <c r="T177" s="474">
        <v>0</v>
      </c>
    </row>
    <row r="178" spans="16:20" s="444" customFormat="1" ht="15">
      <c r="P178" s="447"/>
      <c r="Q178" s="474">
        <v>0.55000000000000004</v>
      </c>
      <c r="R178" s="474">
        <v>2400</v>
      </c>
      <c r="S178" s="474">
        <v>0.2</v>
      </c>
      <c r="T178" s="474">
        <v>1.4</v>
      </c>
    </row>
    <row r="179" spans="16:20" s="444" customFormat="1" ht="15">
      <c r="P179" s="447"/>
      <c r="Q179" s="474">
        <v>0.55000000000000004</v>
      </c>
      <c r="R179" s="474">
        <v>2400</v>
      </c>
      <c r="S179" s="474">
        <v>0.4</v>
      </c>
      <c r="T179" s="474">
        <v>2.1</v>
      </c>
    </row>
    <row r="180" spans="16:20" s="444" customFormat="1" ht="15">
      <c r="P180" s="447"/>
      <c r="Q180" s="474">
        <v>0.55000000000000004</v>
      </c>
      <c r="R180" s="474">
        <v>2400</v>
      </c>
      <c r="S180" s="474">
        <v>0.6</v>
      </c>
      <c r="T180" s="474">
        <v>2.5</v>
      </c>
    </row>
    <row r="181" spans="16:20" s="444" customFormat="1" ht="15">
      <c r="P181" s="447"/>
      <c r="Q181" s="474">
        <v>0.55000000000000004</v>
      </c>
      <c r="R181" s="474">
        <v>2400</v>
      </c>
      <c r="S181" s="474">
        <v>0.8</v>
      </c>
      <c r="T181" s="474">
        <v>2.7</v>
      </c>
    </row>
    <row r="182" spans="16:20" s="444" customFormat="1" ht="15">
      <c r="P182" s="447"/>
      <c r="Q182" s="474">
        <v>0.55000000000000004</v>
      </c>
      <c r="R182" s="474">
        <v>2400</v>
      </c>
      <c r="S182" s="474">
        <v>1</v>
      </c>
      <c r="T182" s="474">
        <v>2.9</v>
      </c>
    </row>
    <row r="183" spans="16:20" s="444" customFormat="1" ht="15">
      <c r="P183" s="447"/>
      <c r="Q183" s="474">
        <v>0.55000000000000004</v>
      </c>
      <c r="R183" s="474">
        <v>2600</v>
      </c>
      <c r="S183" s="474">
        <v>0</v>
      </c>
      <c r="T183" s="474">
        <v>0</v>
      </c>
    </row>
    <row r="184" spans="16:20" s="444" customFormat="1" ht="15">
      <c r="P184" s="447"/>
      <c r="Q184" s="474">
        <v>0.55000000000000004</v>
      </c>
      <c r="R184" s="474">
        <v>2600</v>
      </c>
      <c r="S184" s="474">
        <v>0.2</v>
      </c>
      <c r="T184" s="474">
        <v>0.9</v>
      </c>
    </row>
    <row r="185" spans="16:20" s="444" customFormat="1" ht="15">
      <c r="P185" s="447"/>
      <c r="Q185" s="474">
        <v>0.55000000000000004</v>
      </c>
      <c r="R185" s="474">
        <v>2600</v>
      </c>
      <c r="S185" s="474">
        <v>0.4</v>
      </c>
      <c r="T185" s="474">
        <v>1.4</v>
      </c>
    </row>
    <row r="186" spans="16:20" s="444" customFormat="1" ht="15">
      <c r="P186" s="447"/>
      <c r="Q186" s="474">
        <v>0.55000000000000004</v>
      </c>
      <c r="R186" s="474">
        <v>2600</v>
      </c>
      <c r="S186" s="474">
        <v>0.6</v>
      </c>
      <c r="T186" s="474">
        <v>1.9</v>
      </c>
    </row>
    <row r="187" spans="16:20" s="444" customFormat="1" ht="15">
      <c r="P187" s="447"/>
      <c r="Q187" s="474">
        <v>0.55000000000000004</v>
      </c>
      <c r="R187" s="474">
        <v>2600</v>
      </c>
      <c r="S187" s="474">
        <v>0.8</v>
      </c>
      <c r="T187" s="474">
        <v>2.1</v>
      </c>
    </row>
    <row r="188" spans="16:20" s="444" customFormat="1" ht="15">
      <c r="P188" s="447"/>
      <c r="Q188" s="474">
        <v>0.55000000000000004</v>
      </c>
      <c r="R188" s="474">
        <v>2600</v>
      </c>
      <c r="S188" s="474">
        <v>1</v>
      </c>
      <c r="T188" s="474">
        <v>2.2000000000000002</v>
      </c>
    </row>
    <row r="189" spans="16:20" s="444" customFormat="1" ht="15">
      <c r="P189" s="447"/>
      <c r="Q189" s="474">
        <v>0.55000000000000004</v>
      </c>
      <c r="R189" s="474">
        <v>2800</v>
      </c>
      <c r="S189" s="474">
        <v>0</v>
      </c>
      <c r="T189" s="474">
        <v>0</v>
      </c>
    </row>
    <row r="190" spans="16:20" s="444" customFormat="1" ht="15">
      <c r="P190" s="447"/>
      <c r="Q190" s="474">
        <v>0.55000000000000004</v>
      </c>
      <c r="R190" s="474">
        <v>2800</v>
      </c>
      <c r="S190" s="474">
        <v>0.2</v>
      </c>
      <c r="T190" s="474">
        <v>0.9</v>
      </c>
    </row>
    <row r="191" spans="16:20" s="444" customFormat="1" ht="15">
      <c r="P191" s="447"/>
      <c r="Q191" s="474">
        <v>0.55000000000000004</v>
      </c>
      <c r="R191" s="474">
        <v>2800</v>
      </c>
      <c r="S191" s="474">
        <v>0.4</v>
      </c>
      <c r="T191" s="474">
        <v>1.4</v>
      </c>
    </row>
    <row r="192" spans="16:20" s="444" customFormat="1" ht="15">
      <c r="P192" s="447"/>
      <c r="Q192" s="474">
        <v>0.55000000000000004</v>
      </c>
      <c r="R192" s="474">
        <v>2800</v>
      </c>
      <c r="S192" s="474">
        <v>0.6</v>
      </c>
      <c r="T192" s="474">
        <v>1.9</v>
      </c>
    </row>
    <row r="193" spans="16:20" s="444" customFormat="1" ht="15">
      <c r="P193" s="447"/>
      <c r="Q193" s="474">
        <v>0.55000000000000004</v>
      </c>
      <c r="R193" s="474">
        <v>2800</v>
      </c>
      <c r="S193" s="474">
        <v>0.8</v>
      </c>
      <c r="T193" s="474">
        <v>2.1</v>
      </c>
    </row>
    <row r="194" spans="16:20" s="444" customFormat="1" ht="15">
      <c r="P194" s="447"/>
      <c r="Q194" s="474">
        <v>0.55000000000000004</v>
      </c>
      <c r="R194" s="474">
        <v>2800</v>
      </c>
      <c r="S194" s="474">
        <v>1</v>
      </c>
      <c r="T194" s="474">
        <v>2.2000000000000002</v>
      </c>
    </row>
    <row r="195" spans="16:20" s="444" customFormat="1" ht="15">
      <c r="P195" s="447"/>
      <c r="Q195" s="474">
        <v>0.55000000000000004</v>
      </c>
      <c r="R195" s="474">
        <v>3000</v>
      </c>
      <c r="S195" s="474">
        <v>0</v>
      </c>
      <c r="T195" s="474">
        <v>0</v>
      </c>
    </row>
    <row r="196" spans="16:20" s="444" customFormat="1" ht="15">
      <c r="P196" s="447"/>
      <c r="Q196" s="474">
        <v>0.55000000000000004</v>
      </c>
      <c r="R196" s="474">
        <v>3000</v>
      </c>
      <c r="S196" s="474">
        <v>0.2</v>
      </c>
      <c r="T196" s="474">
        <v>0.9</v>
      </c>
    </row>
    <row r="197" spans="16:20" s="444" customFormat="1" ht="15">
      <c r="P197" s="447"/>
      <c r="Q197" s="474">
        <v>0.55000000000000004</v>
      </c>
      <c r="R197" s="474">
        <v>3000</v>
      </c>
      <c r="S197" s="474">
        <v>0.4</v>
      </c>
      <c r="T197" s="474">
        <v>1.4</v>
      </c>
    </row>
    <row r="198" spans="16:20" s="444" customFormat="1" ht="15">
      <c r="P198" s="447"/>
      <c r="Q198" s="474">
        <v>0.55000000000000004</v>
      </c>
      <c r="R198" s="474">
        <v>3000</v>
      </c>
      <c r="S198" s="474">
        <v>0.6</v>
      </c>
      <c r="T198" s="474">
        <v>1.9</v>
      </c>
    </row>
    <row r="199" spans="16:20" s="444" customFormat="1" ht="15">
      <c r="P199" s="447"/>
      <c r="Q199" s="474">
        <v>0.55000000000000004</v>
      </c>
      <c r="R199" s="474">
        <v>3000</v>
      </c>
      <c r="S199" s="474">
        <v>0.8</v>
      </c>
      <c r="T199" s="474">
        <v>2.1</v>
      </c>
    </row>
    <row r="200" spans="16:20" s="444" customFormat="1" ht="15">
      <c r="P200" s="447"/>
      <c r="Q200" s="474">
        <v>0.55000000000000004</v>
      </c>
      <c r="R200" s="474">
        <v>3000</v>
      </c>
      <c r="S200" s="474">
        <v>1</v>
      </c>
      <c r="T200" s="474">
        <v>2.2000000000000002</v>
      </c>
    </row>
    <row r="201" spans="16:20" s="444" customFormat="1" ht="15">
      <c r="P201" s="447"/>
      <c r="Q201" s="474">
        <v>0.55000000000000004</v>
      </c>
      <c r="R201" s="474">
        <v>3200</v>
      </c>
      <c r="S201" s="474">
        <v>0</v>
      </c>
      <c r="T201" s="474">
        <v>0</v>
      </c>
    </row>
    <row r="202" spans="16:20" s="444" customFormat="1" ht="15">
      <c r="P202" s="447"/>
      <c r="Q202" s="474">
        <v>0.55000000000000004</v>
      </c>
      <c r="R202" s="474">
        <v>3200</v>
      </c>
      <c r="S202" s="474">
        <v>0.2</v>
      </c>
      <c r="T202" s="474">
        <v>0.9</v>
      </c>
    </row>
    <row r="203" spans="16:20" s="444" customFormat="1" ht="15">
      <c r="P203" s="447"/>
      <c r="Q203" s="474">
        <v>0.55000000000000004</v>
      </c>
      <c r="R203" s="474">
        <v>3200</v>
      </c>
      <c r="S203" s="474">
        <v>0.4</v>
      </c>
      <c r="T203" s="474">
        <v>1.4</v>
      </c>
    </row>
    <row r="204" spans="16:20" s="444" customFormat="1" ht="15">
      <c r="P204" s="447"/>
      <c r="Q204" s="474">
        <v>0.55000000000000004</v>
      </c>
      <c r="R204" s="474">
        <v>3200</v>
      </c>
      <c r="S204" s="474">
        <v>0.6</v>
      </c>
      <c r="T204" s="474">
        <v>1.9</v>
      </c>
    </row>
    <row r="205" spans="16:20" s="444" customFormat="1" ht="15">
      <c r="P205" s="447"/>
      <c r="Q205" s="474">
        <v>0.55000000000000004</v>
      </c>
      <c r="R205" s="474">
        <v>3200</v>
      </c>
      <c r="S205" s="474">
        <v>0.8</v>
      </c>
      <c r="T205" s="474">
        <v>2.1</v>
      </c>
    </row>
    <row r="206" spans="16:20" s="444" customFormat="1" ht="15">
      <c r="P206" s="447"/>
      <c r="Q206" s="474">
        <v>0.55000000000000004</v>
      </c>
      <c r="R206" s="474">
        <v>3200</v>
      </c>
      <c r="S206" s="474">
        <v>1</v>
      </c>
      <c r="T206" s="474">
        <v>2.2000000000000002</v>
      </c>
    </row>
    <row r="207" spans="16:20" s="444" customFormat="1" ht="15">
      <c r="P207" s="447"/>
      <c r="Q207" s="474">
        <v>0.6</v>
      </c>
      <c r="R207" s="474">
        <v>0</v>
      </c>
      <c r="S207" s="474">
        <v>0</v>
      </c>
      <c r="T207" s="474">
        <v>1.6</v>
      </c>
    </row>
    <row r="208" spans="16:20" s="444" customFormat="1" ht="15">
      <c r="P208" s="447"/>
      <c r="Q208" s="474">
        <v>0.6</v>
      </c>
      <c r="R208" s="474">
        <v>0</v>
      </c>
      <c r="S208" s="474">
        <v>0.2</v>
      </c>
      <c r="T208" s="474">
        <v>11.8</v>
      </c>
    </row>
    <row r="209" spans="16:20" s="444" customFormat="1" ht="15">
      <c r="P209" s="447"/>
      <c r="Q209" s="474">
        <v>0.6</v>
      </c>
      <c r="R209" s="474">
        <v>0</v>
      </c>
      <c r="S209" s="474">
        <v>0.4</v>
      </c>
      <c r="T209" s="474">
        <v>17.2</v>
      </c>
    </row>
    <row r="210" spans="16:20" s="444" customFormat="1" ht="15">
      <c r="P210" s="447"/>
      <c r="Q210" s="474">
        <v>0.6</v>
      </c>
      <c r="R210" s="474">
        <v>0</v>
      </c>
      <c r="S210" s="474">
        <v>0.6</v>
      </c>
      <c r="T210" s="474">
        <v>22.5</v>
      </c>
    </row>
    <row r="211" spans="16:20" s="444" customFormat="1" ht="15">
      <c r="P211" s="447"/>
      <c r="Q211" s="474">
        <v>0.6</v>
      </c>
      <c r="R211" s="474">
        <v>0</v>
      </c>
      <c r="S211" s="474">
        <v>0.8</v>
      </c>
      <c r="T211" s="474">
        <v>23.1</v>
      </c>
    </row>
    <row r="212" spans="16:20" s="444" customFormat="1" ht="15">
      <c r="P212" s="447"/>
      <c r="Q212" s="474">
        <v>0.6</v>
      </c>
      <c r="R212" s="474">
        <v>0</v>
      </c>
      <c r="S212" s="474">
        <v>1</v>
      </c>
      <c r="T212" s="474">
        <v>23.7</v>
      </c>
    </row>
    <row r="213" spans="16:20" s="444" customFormat="1" ht="15">
      <c r="P213" s="447"/>
      <c r="Q213" s="474">
        <v>0.6</v>
      </c>
      <c r="R213" s="474">
        <v>200</v>
      </c>
      <c r="S213" s="474">
        <v>0</v>
      </c>
      <c r="T213" s="474">
        <v>1.6</v>
      </c>
    </row>
    <row r="214" spans="16:20" s="444" customFormat="1" ht="15">
      <c r="P214" s="447"/>
      <c r="Q214" s="474">
        <v>0.6</v>
      </c>
      <c r="R214" s="474">
        <v>200</v>
      </c>
      <c r="S214" s="474">
        <v>0.2</v>
      </c>
      <c r="T214" s="474">
        <v>11.8</v>
      </c>
    </row>
    <row r="215" spans="16:20" s="444" customFormat="1" ht="15">
      <c r="P215" s="447"/>
      <c r="Q215" s="474">
        <v>0.6</v>
      </c>
      <c r="R215" s="474">
        <v>200</v>
      </c>
      <c r="S215" s="474">
        <v>0.4</v>
      </c>
      <c r="T215" s="474">
        <v>17.2</v>
      </c>
    </row>
    <row r="216" spans="16:20" s="444" customFormat="1" ht="15">
      <c r="P216" s="447"/>
      <c r="Q216" s="474">
        <v>0.6</v>
      </c>
      <c r="R216" s="474">
        <v>200</v>
      </c>
      <c r="S216" s="474">
        <v>0.6</v>
      </c>
      <c r="T216" s="474">
        <v>22.5</v>
      </c>
    </row>
    <row r="217" spans="16:20" s="444" customFormat="1" ht="15">
      <c r="P217" s="447"/>
      <c r="Q217" s="474">
        <v>0.6</v>
      </c>
      <c r="R217" s="474">
        <v>200</v>
      </c>
      <c r="S217" s="474">
        <v>0.8</v>
      </c>
      <c r="T217" s="474">
        <v>23.1</v>
      </c>
    </row>
    <row r="218" spans="16:20" s="444" customFormat="1" ht="15">
      <c r="P218" s="447"/>
      <c r="Q218" s="474">
        <v>0.6</v>
      </c>
      <c r="R218" s="474">
        <v>200</v>
      </c>
      <c r="S218" s="474">
        <v>1</v>
      </c>
      <c r="T218" s="474">
        <v>23.7</v>
      </c>
    </row>
    <row r="219" spans="16:20" s="444" customFormat="1" ht="15">
      <c r="P219" s="447"/>
      <c r="Q219" s="474">
        <v>0.6</v>
      </c>
      <c r="R219" s="474">
        <v>400</v>
      </c>
      <c r="S219" s="474">
        <v>0</v>
      </c>
      <c r="T219" s="474">
        <v>0.5</v>
      </c>
    </row>
    <row r="220" spans="16:20" s="444" customFormat="1" ht="15">
      <c r="P220" s="447"/>
      <c r="Q220" s="474">
        <v>0.6</v>
      </c>
      <c r="R220" s="474">
        <v>400</v>
      </c>
      <c r="S220" s="474">
        <v>0.2</v>
      </c>
      <c r="T220" s="474">
        <v>11.7</v>
      </c>
    </row>
    <row r="221" spans="16:20" s="444" customFormat="1" ht="15">
      <c r="P221" s="447"/>
      <c r="Q221" s="474">
        <v>0.6</v>
      </c>
      <c r="R221" s="474">
        <v>400</v>
      </c>
      <c r="S221" s="474">
        <v>0.4</v>
      </c>
      <c r="T221" s="474">
        <v>16.2</v>
      </c>
    </row>
    <row r="222" spans="16:20" s="444" customFormat="1" ht="15">
      <c r="P222" s="447"/>
      <c r="Q222" s="474">
        <v>0.6</v>
      </c>
      <c r="R222" s="474">
        <v>400</v>
      </c>
      <c r="S222" s="474">
        <v>0.6</v>
      </c>
      <c r="T222" s="474">
        <v>20.7</v>
      </c>
    </row>
    <row r="223" spans="16:20" s="444" customFormat="1" ht="15">
      <c r="P223" s="447"/>
      <c r="Q223" s="474">
        <v>0.6</v>
      </c>
      <c r="R223" s="474">
        <v>400</v>
      </c>
      <c r="S223" s="474">
        <v>0.8</v>
      </c>
      <c r="T223" s="474">
        <v>21.5</v>
      </c>
    </row>
    <row r="224" spans="16:20" s="444" customFormat="1" ht="15">
      <c r="P224" s="447"/>
      <c r="Q224" s="474">
        <v>0.6</v>
      </c>
      <c r="R224" s="474">
        <v>400</v>
      </c>
      <c r="S224" s="474">
        <v>1</v>
      </c>
      <c r="T224" s="474">
        <v>22.2</v>
      </c>
    </row>
    <row r="225" spans="16:20" s="444" customFormat="1" ht="15">
      <c r="P225" s="447"/>
      <c r="Q225" s="474">
        <v>0.6</v>
      </c>
      <c r="R225" s="474">
        <v>600</v>
      </c>
      <c r="S225" s="474">
        <v>0</v>
      </c>
      <c r="T225" s="474">
        <v>0</v>
      </c>
    </row>
    <row r="226" spans="16:20" s="444" customFormat="1" ht="15">
      <c r="P226" s="447"/>
      <c r="Q226" s="474">
        <v>0.6</v>
      </c>
      <c r="R226" s="474">
        <v>600</v>
      </c>
      <c r="S226" s="474">
        <v>0.2</v>
      </c>
      <c r="T226" s="474">
        <v>11.5</v>
      </c>
    </row>
    <row r="227" spans="16:20" s="444" customFormat="1" ht="15">
      <c r="P227" s="447"/>
      <c r="Q227" s="474">
        <v>0.6</v>
      </c>
      <c r="R227" s="474">
        <v>600</v>
      </c>
      <c r="S227" s="474">
        <v>0.4</v>
      </c>
      <c r="T227" s="474">
        <v>15.2</v>
      </c>
    </row>
    <row r="228" spans="16:20" s="444" customFormat="1" ht="15">
      <c r="P228" s="447"/>
      <c r="Q228" s="474">
        <v>0.6</v>
      </c>
      <c r="R228" s="474">
        <v>600</v>
      </c>
      <c r="S228" s="474">
        <v>0.6</v>
      </c>
      <c r="T228" s="474">
        <v>18.899999999999999</v>
      </c>
    </row>
    <row r="229" spans="16:20" s="444" customFormat="1" ht="15">
      <c r="P229" s="447"/>
      <c r="Q229" s="474">
        <v>0.6</v>
      </c>
      <c r="R229" s="474">
        <v>600</v>
      </c>
      <c r="S229" s="474">
        <v>0.8</v>
      </c>
      <c r="T229" s="474">
        <v>19.8</v>
      </c>
    </row>
    <row r="230" spans="16:20" s="444" customFormat="1" ht="15">
      <c r="P230" s="447"/>
      <c r="Q230" s="474">
        <v>0.6</v>
      </c>
      <c r="R230" s="474">
        <v>600</v>
      </c>
      <c r="S230" s="474">
        <v>1</v>
      </c>
      <c r="T230" s="474">
        <v>20.7</v>
      </c>
    </row>
    <row r="231" spans="16:20" s="444" customFormat="1" ht="15">
      <c r="P231" s="447"/>
      <c r="Q231" s="474">
        <v>0.6</v>
      </c>
      <c r="R231" s="474">
        <v>800</v>
      </c>
      <c r="S231" s="474">
        <v>0</v>
      </c>
      <c r="T231" s="474">
        <v>0</v>
      </c>
    </row>
    <row r="232" spans="16:20" s="444" customFormat="1" ht="15">
      <c r="P232" s="447"/>
      <c r="Q232" s="474">
        <v>0.6</v>
      </c>
      <c r="R232" s="474">
        <v>800</v>
      </c>
      <c r="S232" s="474">
        <v>0.2</v>
      </c>
      <c r="T232" s="474">
        <v>7.6</v>
      </c>
    </row>
    <row r="233" spans="16:20" s="444" customFormat="1" ht="15">
      <c r="P233" s="447"/>
      <c r="Q233" s="474">
        <v>0.6</v>
      </c>
      <c r="R233" s="474">
        <v>800</v>
      </c>
      <c r="S233" s="474">
        <v>0.4</v>
      </c>
      <c r="T233" s="474">
        <v>10.3</v>
      </c>
    </row>
    <row r="234" spans="16:20" s="444" customFormat="1" ht="15">
      <c r="P234" s="447"/>
      <c r="Q234" s="474">
        <v>0.6</v>
      </c>
      <c r="R234" s="474">
        <v>800</v>
      </c>
      <c r="S234" s="474">
        <v>0.6</v>
      </c>
      <c r="T234" s="474">
        <v>13</v>
      </c>
    </row>
    <row r="235" spans="16:20" s="444" customFormat="1" ht="15">
      <c r="P235" s="447"/>
      <c r="Q235" s="474">
        <v>0.6</v>
      </c>
      <c r="R235" s="474">
        <v>800</v>
      </c>
      <c r="S235" s="474">
        <v>0.8</v>
      </c>
      <c r="T235" s="474">
        <v>13.7</v>
      </c>
    </row>
    <row r="236" spans="16:20" s="444" customFormat="1" ht="15">
      <c r="P236" s="447"/>
      <c r="Q236" s="474">
        <v>0.6</v>
      </c>
      <c r="R236" s="474">
        <v>800</v>
      </c>
      <c r="S236" s="474">
        <v>1</v>
      </c>
      <c r="T236" s="474">
        <v>14.4</v>
      </c>
    </row>
    <row r="237" spans="16:20" s="444" customFormat="1" ht="15">
      <c r="P237" s="447"/>
      <c r="Q237" s="474">
        <v>0.6</v>
      </c>
      <c r="R237" s="474">
        <v>1000</v>
      </c>
      <c r="S237" s="474">
        <v>0</v>
      </c>
      <c r="T237" s="474">
        <v>0</v>
      </c>
    </row>
    <row r="238" spans="16:20" s="444" customFormat="1" ht="15">
      <c r="P238" s="447"/>
      <c r="Q238" s="474">
        <v>0.6</v>
      </c>
      <c r="R238" s="474">
        <v>1000</v>
      </c>
      <c r="S238" s="474">
        <v>0.2</v>
      </c>
      <c r="T238" s="474">
        <v>6.3</v>
      </c>
    </row>
    <row r="239" spans="16:20" s="444" customFormat="1" ht="15">
      <c r="P239" s="447"/>
      <c r="Q239" s="474">
        <v>0.6</v>
      </c>
      <c r="R239" s="474">
        <v>1000</v>
      </c>
      <c r="S239" s="474">
        <v>0.4</v>
      </c>
      <c r="T239" s="474">
        <v>8.6999999999999993</v>
      </c>
    </row>
    <row r="240" spans="16:20" s="444" customFormat="1" ht="15">
      <c r="P240" s="447"/>
      <c r="Q240" s="474">
        <v>0.6</v>
      </c>
      <c r="R240" s="474">
        <v>1000</v>
      </c>
      <c r="S240" s="474">
        <v>0.6</v>
      </c>
      <c r="T240" s="474">
        <v>11</v>
      </c>
    </row>
    <row r="241" spans="16:20" s="444" customFormat="1" ht="15">
      <c r="P241" s="447"/>
      <c r="Q241" s="474">
        <v>0.6</v>
      </c>
      <c r="R241" s="474">
        <v>1000</v>
      </c>
      <c r="S241" s="474">
        <v>0.8</v>
      </c>
      <c r="T241" s="474">
        <v>11.7</v>
      </c>
    </row>
    <row r="242" spans="16:20" s="444" customFormat="1" ht="15">
      <c r="P242" s="447"/>
      <c r="Q242" s="474">
        <v>0.6</v>
      </c>
      <c r="R242" s="474">
        <v>1000</v>
      </c>
      <c r="S242" s="474">
        <v>1</v>
      </c>
      <c r="T242" s="474">
        <v>12.3</v>
      </c>
    </row>
    <row r="243" spans="16:20" s="444" customFormat="1" ht="15">
      <c r="P243" s="447"/>
      <c r="Q243" s="474">
        <v>0.6</v>
      </c>
      <c r="R243" s="474">
        <v>1200</v>
      </c>
      <c r="S243" s="474">
        <v>0</v>
      </c>
      <c r="T243" s="474">
        <v>0</v>
      </c>
    </row>
    <row r="244" spans="16:20" s="444" customFormat="1" ht="15">
      <c r="P244" s="447"/>
      <c r="Q244" s="474">
        <v>0.6</v>
      </c>
      <c r="R244" s="474">
        <v>1200</v>
      </c>
      <c r="S244" s="474">
        <v>0.2</v>
      </c>
      <c r="T244" s="474">
        <v>5</v>
      </c>
    </row>
    <row r="245" spans="16:20" s="444" customFormat="1" ht="15">
      <c r="P245" s="447"/>
      <c r="Q245" s="474">
        <v>0.6</v>
      </c>
      <c r="R245" s="474">
        <v>1200</v>
      </c>
      <c r="S245" s="474">
        <v>0.4</v>
      </c>
      <c r="T245" s="474">
        <v>7</v>
      </c>
    </row>
    <row r="246" spans="16:20" s="444" customFormat="1" ht="15">
      <c r="P246" s="447"/>
      <c r="Q246" s="474">
        <v>0.6</v>
      </c>
      <c r="R246" s="474">
        <v>1200</v>
      </c>
      <c r="S246" s="474">
        <v>0.6</v>
      </c>
      <c r="T246" s="474">
        <v>9.1</v>
      </c>
    </row>
    <row r="247" spans="16:20" s="444" customFormat="1" ht="15">
      <c r="P247" s="447"/>
      <c r="Q247" s="474">
        <v>0.6</v>
      </c>
      <c r="R247" s="474">
        <v>1200</v>
      </c>
      <c r="S247" s="474">
        <v>0.8</v>
      </c>
      <c r="T247" s="474">
        <v>9.6</v>
      </c>
    </row>
    <row r="248" spans="16:20" s="444" customFormat="1" ht="15">
      <c r="P248" s="447"/>
      <c r="Q248" s="474">
        <v>0.6</v>
      </c>
      <c r="R248" s="474">
        <v>1200</v>
      </c>
      <c r="S248" s="474">
        <v>1</v>
      </c>
      <c r="T248" s="474">
        <v>10.199999999999999</v>
      </c>
    </row>
    <row r="249" spans="16:20" s="444" customFormat="1" ht="15">
      <c r="P249" s="447"/>
      <c r="Q249" s="474">
        <v>0.6</v>
      </c>
      <c r="R249" s="474">
        <v>1400</v>
      </c>
      <c r="S249" s="474">
        <v>0</v>
      </c>
      <c r="T249" s="474">
        <v>0</v>
      </c>
    </row>
    <row r="250" spans="16:20" s="444" customFormat="1" ht="15">
      <c r="P250" s="447"/>
      <c r="Q250" s="474">
        <v>0.6</v>
      </c>
      <c r="R250" s="474">
        <v>1400</v>
      </c>
      <c r="S250" s="474">
        <v>0.2</v>
      </c>
      <c r="T250" s="474">
        <v>3.7</v>
      </c>
    </row>
    <row r="251" spans="16:20" s="444" customFormat="1" ht="15">
      <c r="P251" s="447"/>
      <c r="Q251" s="474">
        <v>0.6</v>
      </c>
      <c r="R251" s="474">
        <v>1400</v>
      </c>
      <c r="S251" s="474">
        <v>0.4</v>
      </c>
      <c r="T251" s="474">
        <v>5.4</v>
      </c>
    </row>
    <row r="252" spans="16:20" s="444" customFormat="1" ht="15">
      <c r="P252" s="447"/>
      <c r="Q252" s="474">
        <v>0.6</v>
      </c>
      <c r="R252" s="474">
        <v>1400</v>
      </c>
      <c r="S252" s="474">
        <v>0.6</v>
      </c>
      <c r="T252" s="474">
        <v>7.1</v>
      </c>
    </row>
    <row r="253" spans="16:20" s="444" customFormat="1" ht="15">
      <c r="P253" s="447"/>
      <c r="Q253" s="474">
        <v>0.6</v>
      </c>
      <c r="R253" s="474">
        <v>1400</v>
      </c>
      <c r="S253" s="474">
        <v>0.8</v>
      </c>
      <c r="T253" s="474">
        <v>7.6</v>
      </c>
    </row>
    <row r="254" spans="16:20" s="444" customFormat="1" ht="15">
      <c r="P254" s="447"/>
      <c r="Q254" s="474">
        <v>0.6</v>
      </c>
      <c r="R254" s="474">
        <v>1400</v>
      </c>
      <c r="S254" s="474">
        <v>1</v>
      </c>
      <c r="T254" s="474">
        <v>8.1</v>
      </c>
    </row>
    <row r="255" spans="16:20" s="444" customFormat="1" ht="15">
      <c r="P255" s="447"/>
      <c r="Q255" s="474">
        <v>0.6</v>
      </c>
      <c r="R255" s="474">
        <v>1600</v>
      </c>
      <c r="S255" s="474">
        <v>0</v>
      </c>
      <c r="T255" s="474">
        <v>0</v>
      </c>
    </row>
    <row r="256" spans="16:20" s="444" customFormat="1" ht="15">
      <c r="P256" s="447"/>
      <c r="Q256" s="474">
        <v>0.6</v>
      </c>
      <c r="R256" s="474">
        <v>1600</v>
      </c>
      <c r="S256" s="474">
        <v>0.2</v>
      </c>
      <c r="T256" s="474">
        <v>3.2</v>
      </c>
    </row>
    <row r="257" spans="16:20" s="444" customFormat="1" ht="15">
      <c r="P257" s="447"/>
      <c r="Q257" s="474">
        <v>0.6</v>
      </c>
      <c r="R257" s="474">
        <v>1600</v>
      </c>
      <c r="S257" s="474">
        <v>0.4</v>
      </c>
      <c r="T257" s="474">
        <v>4.7</v>
      </c>
    </row>
    <row r="258" spans="16:20" s="444" customFormat="1" ht="15">
      <c r="P258" s="447"/>
      <c r="Q258" s="474">
        <v>0.6</v>
      </c>
      <c r="R258" s="474">
        <v>1600</v>
      </c>
      <c r="S258" s="474">
        <v>0.6</v>
      </c>
      <c r="T258" s="474">
        <v>5.9</v>
      </c>
    </row>
    <row r="259" spans="16:20" s="444" customFormat="1" ht="15">
      <c r="P259" s="447"/>
      <c r="Q259" s="474">
        <v>0.6</v>
      </c>
      <c r="R259" s="474">
        <v>1600</v>
      </c>
      <c r="S259" s="474">
        <v>0.8</v>
      </c>
      <c r="T259" s="474">
        <v>6.4</v>
      </c>
    </row>
    <row r="260" spans="16:20" s="444" customFormat="1" ht="15">
      <c r="P260" s="447"/>
      <c r="Q260" s="474">
        <v>0.6</v>
      </c>
      <c r="R260" s="474">
        <v>1600</v>
      </c>
      <c r="S260" s="474">
        <v>1</v>
      </c>
      <c r="T260" s="474">
        <v>6.8</v>
      </c>
    </row>
    <row r="261" spans="16:20" s="444" customFormat="1" ht="15">
      <c r="P261" s="447"/>
      <c r="Q261" s="474">
        <v>0.6</v>
      </c>
      <c r="R261" s="474">
        <v>1800</v>
      </c>
      <c r="S261" s="474">
        <v>0</v>
      </c>
      <c r="T261" s="474">
        <v>0</v>
      </c>
    </row>
    <row r="262" spans="16:20" s="444" customFormat="1" ht="15">
      <c r="P262" s="447"/>
      <c r="Q262" s="474">
        <v>0.6</v>
      </c>
      <c r="R262" s="474">
        <v>1800</v>
      </c>
      <c r="S262" s="474">
        <v>0.2</v>
      </c>
      <c r="T262" s="474">
        <v>2.8</v>
      </c>
    </row>
    <row r="263" spans="16:20" s="444" customFormat="1" ht="15">
      <c r="P263" s="447"/>
      <c r="Q263" s="474">
        <v>0.6</v>
      </c>
      <c r="R263" s="474">
        <v>1800</v>
      </c>
      <c r="S263" s="474">
        <v>0.4</v>
      </c>
      <c r="T263" s="474">
        <v>4.0999999999999996</v>
      </c>
    </row>
    <row r="264" spans="16:20" s="444" customFormat="1" ht="15">
      <c r="P264" s="447"/>
      <c r="Q264" s="474">
        <v>0.6</v>
      </c>
      <c r="R264" s="474">
        <v>1800</v>
      </c>
      <c r="S264" s="474">
        <v>0.6</v>
      </c>
      <c r="T264" s="474">
        <v>4.8</v>
      </c>
    </row>
    <row r="265" spans="16:20" s="444" customFormat="1" ht="15">
      <c r="P265" s="447"/>
      <c r="Q265" s="474">
        <v>0.6</v>
      </c>
      <c r="R265" s="474">
        <v>1800</v>
      </c>
      <c r="S265" s="474">
        <v>0.8</v>
      </c>
      <c r="T265" s="474">
        <v>5.2</v>
      </c>
    </row>
    <row r="266" spans="16:20" s="444" customFormat="1" ht="15">
      <c r="P266" s="447"/>
      <c r="Q266" s="474">
        <v>0.6</v>
      </c>
      <c r="R266" s="474">
        <v>1800</v>
      </c>
      <c r="S266" s="474">
        <v>1</v>
      </c>
      <c r="T266" s="474">
        <v>5.6</v>
      </c>
    </row>
    <row r="267" spans="16:20" s="444" customFormat="1" ht="15">
      <c r="P267" s="447"/>
      <c r="Q267" s="474">
        <v>0.6</v>
      </c>
      <c r="R267" s="474">
        <v>2000</v>
      </c>
      <c r="S267" s="474">
        <v>0</v>
      </c>
      <c r="T267" s="474">
        <v>0</v>
      </c>
    </row>
    <row r="268" spans="16:20" s="444" customFormat="1" ht="15">
      <c r="P268" s="447"/>
      <c r="Q268" s="474">
        <v>0.6</v>
      </c>
      <c r="R268" s="474">
        <v>2000</v>
      </c>
      <c r="S268" s="474">
        <v>0.2</v>
      </c>
      <c r="T268" s="474">
        <v>2.2999999999999998</v>
      </c>
    </row>
    <row r="269" spans="16:20" s="444" customFormat="1" ht="15">
      <c r="P269" s="447"/>
      <c r="Q269" s="474">
        <v>0.6</v>
      </c>
      <c r="R269" s="474">
        <v>2000</v>
      </c>
      <c r="S269" s="474">
        <v>0.4</v>
      </c>
      <c r="T269" s="474">
        <v>3.4</v>
      </c>
    </row>
    <row r="270" spans="16:20" s="444" customFormat="1" ht="15">
      <c r="P270" s="447"/>
      <c r="Q270" s="474">
        <v>0.6</v>
      </c>
      <c r="R270" s="474">
        <v>2000</v>
      </c>
      <c r="S270" s="474">
        <v>0.6</v>
      </c>
      <c r="T270" s="474">
        <v>3.6</v>
      </c>
    </row>
    <row r="271" spans="16:20" s="444" customFormat="1" ht="15">
      <c r="P271" s="447"/>
      <c r="Q271" s="474">
        <v>0.6</v>
      </c>
      <c r="R271" s="474">
        <v>2000</v>
      </c>
      <c r="S271" s="474">
        <v>0.8</v>
      </c>
      <c r="T271" s="474">
        <v>4</v>
      </c>
    </row>
    <row r="272" spans="16:20" s="444" customFormat="1" ht="15">
      <c r="P272" s="447"/>
      <c r="Q272" s="474">
        <v>0.6</v>
      </c>
      <c r="R272" s="474">
        <v>2000</v>
      </c>
      <c r="S272" s="474">
        <v>1</v>
      </c>
      <c r="T272" s="474">
        <v>4.3</v>
      </c>
    </row>
    <row r="273" spans="16:20" s="444" customFormat="1" ht="15">
      <c r="P273" s="447"/>
      <c r="Q273" s="474">
        <v>0.6</v>
      </c>
      <c r="R273" s="474">
        <v>2200</v>
      </c>
      <c r="S273" s="474">
        <v>0</v>
      </c>
      <c r="T273" s="474">
        <v>0</v>
      </c>
    </row>
    <row r="274" spans="16:20" s="444" customFormat="1" ht="15">
      <c r="P274" s="447"/>
      <c r="Q274" s="474">
        <v>0.6</v>
      </c>
      <c r="R274" s="474">
        <v>2200</v>
      </c>
      <c r="S274" s="474">
        <v>0.2</v>
      </c>
      <c r="T274" s="474">
        <v>1.8</v>
      </c>
    </row>
    <row r="275" spans="16:20" s="444" customFormat="1" ht="15">
      <c r="P275" s="447"/>
      <c r="Q275" s="474">
        <v>0.6</v>
      </c>
      <c r="R275" s="474">
        <v>2200</v>
      </c>
      <c r="S275" s="474">
        <v>0.4</v>
      </c>
      <c r="T275" s="474">
        <v>2.7</v>
      </c>
    </row>
    <row r="276" spans="16:20" s="444" customFormat="1" ht="15">
      <c r="P276" s="447"/>
      <c r="Q276" s="474">
        <v>0.6</v>
      </c>
      <c r="R276" s="474">
        <v>2200</v>
      </c>
      <c r="S276" s="474">
        <v>0.6</v>
      </c>
      <c r="T276" s="474">
        <v>3</v>
      </c>
    </row>
    <row r="277" spans="16:20" s="444" customFormat="1" ht="15">
      <c r="P277" s="447"/>
      <c r="Q277" s="474">
        <v>0.6</v>
      </c>
      <c r="R277" s="474">
        <v>2200</v>
      </c>
      <c r="S277" s="474">
        <v>0.8</v>
      </c>
      <c r="T277" s="474">
        <v>3.4</v>
      </c>
    </row>
    <row r="278" spans="16:20" s="444" customFormat="1" ht="15">
      <c r="P278" s="447"/>
      <c r="Q278" s="474">
        <v>0.6</v>
      </c>
      <c r="R278" s="474">
        <v>2200</v>
      </c>
      <c r="S278" s="474">
        <v>1</v>
      </c>
      <c r="T278" s="474">
        <v>3.6</v>
      </c>
    </row>
    <row r="279" spans="16:20" s="444" customFormat="1" ht="15">
      <c r="P279" s="447"/>
      <c r="Q279" s="474">
        <v>0.6</v>
      </c>
      <c r="R279" s="474">
        <v>2400</v>
      </c>
      <c r="S279" s="474">
        <v>0</v>
      </c>
      <c r="T279" s="474">
        <v>0</v>
      </c>
    </row>
    <row r="280" spans="16:20" s="444" customFormat="1" ht="15">
      <c r="P280" s="447"/>
      <c r="Q280" s="474">
        <v>0.6</v>
      </c>
      <c r="R280" s="474">
        <v>2400</v>
      </c>
      <c r="S280" s="474">
        <v>0.2</v>
      </c>
      <c r="T280" s="474">
        <v>1.4</v>
      </c>
    </row>
    <row r="281" spans="16:20" s="444" customFormat="1" ht="15">
      <c r="P281" s="447"/>
      <c r="Q281" s="474">
        <v>0.6</v>
      </c>
      <c r="R281" s="474">
        <v>2400</v>
      </c>
      <c r="S281" s="474">
        <v>0.4</v>
      </c>
      <c r="T281" s="474">
        <v>2.1</v>
      </c>
    </row>
    <row r="282" spans="16:20" s="444" customFormat="1" ht="15">
      <c r="P282" s="447"/>
      <c r="Q282" s="474">
        <v>0.6</v>
      </c>
      <c r="R282" s="474">
        <v>2400</v>
      </c>
      <c r="S282" s="474">
        <v>0.6</v>
      </c>
      <c r="T282" s="474">
        <v>2.5</v>
      </c>
    </row>
    <row r="283" spans="16:20" s="444" customFormat="1" ht="15">
      <c r="P283" s="447"/>
      <c r="Q283" s="474">
        <v>0.6</v>
      </c>
      <c r="R283" s="474">
        <v>2400</v>
      </c>
      <c r="S283" s="474">
        <v>0.8</v>
      </c>
      <c r="T283" s="474">
        <v>2.7</v>
      </c>
    </row>
    <row r="284" spans="16:20" s="444" customFormat="1" ht="15">
      <c r="P284" s="447"/>
      <c r="Q284" s="474">
        <v>0.6</v>
      </c>
      <c r="R284" s="474">
        <v>2400</v>
      </c>
      <c r="S284" s="474">
        <v>1</v>
      </c>
      <c r="T284" s="474">
        <v>2.9</v>
      </c>
    </row>
    <row r="285" spans="16:20" s="444" customFormat="1" ht="15">
      <c r="P285" s="447"/>
      <c r="Q285" s="474">
        <v>0.6</v>
      </c>
      <c r="R285" s="474">
        <v>2600</v>
      </c>
      <c r="S285" s="474">
        <v>0</v>
      </c>
      <c r="T285" s="474">
        <v>0</v>
      </c>
    </row>
    <row r="286" spans="16:20" s="444" customFormat="1" ht="15">
      <c r="P286" s="447"/>
      <c r="Q286" s="474">
        <v>0.6</v>
      </c>
      <c r="R286" s="474">
        <v>2600</v>
      </c>
      <c r="S286" s="474">
        <v>0.2</v>
      </c>
      <c r="T286" s="474">
        <v>0.9</v>
      </c>
    </row>
    <row r="287" spans="16:20" s="444" customFormat="1" ht="15">
      <c r="P287" s="447"/>
      <c r="Q287" s="474">
        <v>0.6</v>
      </c>
      <c r="R287" s="474">
        <v>2600</v>
      </c>
      <c r="S287" s="474">
        <v>0.4</v>
      </c>
      <c r="T287" s="474">
        <v>1.4</v>
      </c>
    </row>
    <row r="288" spans="16:20" s="444" customFormat="1" ht="15">
      <c r="P288" s="447"/>
      <c r="Q288" s="474">
        <v>0.6</v>
      </c>
      <c r="R288" s="474">
        <v>2600</v>
      </c>
      <c r="S288" s="474">
        <v>0.6</v>
      </c>
      <c r="T288" s="474">
        <v>1.9</v>
      </c>
    </row>
    <row r="289" spans="16:20" s="444" customFormat="1" ht="15">
      <c r="P289" s="447"/>
      <c r="Q289" s="474">
        <v>0.6</v>
      </c>
      <c r="R289" s="474">
        <v>2600</v>
      </c>
      <c r="S289" s="474">
        <v>0.8</v>
      </c>
      <c r="T289" s="474">
        <v>2.1</v>
      </c>
    </row>
    <row r="290" spans="16:20" s="444" customFormat="1" ht="15">
      <c r="P290" s="447"/>
      <c r="Q290" s="474">
        <v>0.6</v>
      </c>
      <c r="R290" s="474">
        <v>2600</v>
      </c>
      <c r="S290" s="474">
        <v>1</v>
      </c>
      <c r="T290" s="474">
        <v>2.2000000000000002</v>
      </c>
    </row>
    <row r="291" spans="16:20" s="444" customFormat="1" ht="15">
      <c r="P291" s="447"/>
      <c r="Q291" s="474">
        <v>0.6</v>
      </c>
      <c r="R291" s="474">
        <v>2800</v>
      </c>
      <c r="S291" s="474">
        <v>0</v>
      </c>
      <c r="T291" s="474">
        <v>0</v>
      </c>
    </row>
    <row r="292" spans="16:20" s="444" customFormat="1" ht="15">
      <c r="P292" s="447"/>
      <c r="Q292" s="474">
        <v>0.6</v>
      </c>
      <c r="R292" s="474">
        <v>2800</v>
      </c>
      <c r="S292" s="474">
        <v>0.2</v>
      </c>
      <c r="T292" s="474">
        <v>0.9</v>
      </c>
    </row>
    <row r="293" spans="16:20" s="444" customFormat="1" ht="15">
      <c r="P293" s="447"/>
      <c r="Q293" s="474">
        <v>0.6</v>
      </c>
      <c r="R293" s="474">
        <v>2800</v>
      </c>
      <c r="S293" s="474">
        <v>0.4</v>
      </c>
      <c r="T293" s="474">
        <v>1.4</v>
      </c>
    </row>
    <row r="294" spans="16:20" s="444" customFormat="1" ht="15">
      <c r="P294" s="447"/>
      <c r="Q294" s="474">
        <v>0.6</v>
      </c>
      <c r="R294" s="474">
        <v>2800</v>
      </c>
      <c r="S294" s="474">
        <v>0.6</v>
      </c>
      <c r="T294" s="474">
        <v>1.9</v>
      </c>
    </row>
    <row r="295" spans="16:20" s="444" customFormat="1" ht="15">
      <c r="P295" s="447"/>
      <c r="Q295" s="474">
        <v>0.6</v>
      </c>
      <c r="R295" s="474">
        <v>2800</v>
      </c>
      <c r="S295" s="474">
        <v>0.8</v>
      </c>
      <c r="T295" s="474">
        <v>2.1</v>
      </c>
    </row>
    <row r="296" spans="16:20" s="444" customFormat="1" ht="15">
      <c r="P296" s="447"/>
      <c r="Q296" s="474">
        <v>0.6</v>
      </c>
      <c r="R296" s="474">
        <v>2800</v>
      </c>
      <c r="S296" s="474">
        <v>1</v>
      </c>
      <c r="T296" s="474">
        <v>2.2000000000000002</v>
      </c>
    </row>
    <row r="297" spans="16:20" s="444" customFormat="1" ht="15">
      <c r="P297" s="447"/>
      <c r="Q297" s="474">
        <v>0.6</v>
      </c>
      <c r="R297" s="474">
        <v>3000</v>
      </c>
      <c r="S297" s="474">
        <v>0</v>
      </c>
      <c r="T297" s="474">
        <v>0</v>
      </c>
    </row>
    <row r="298" spans="16:20" s="444" customFormat="1" ht="15">
      <c r="P298" s="447"/>
      <c r="Q298" s="474">
        <v>0.6</v>
      </c>
      <c r="R298" s="474">
        <v>3000</v>
      </c>
      <c r="S298" s="474">
        <v>0.2</v>
      </c>
      <c r="T298" s="474">
        <v>0.9</v>
      </c>
    </row>
    <row r="299" spans="16:20" s="444" customFormat="1" ht="15">
      <c r="P299" s="447"/>
      <c r="Q299" s="474">
        <v>0.6</v>
      </c>
      <c r="R299" s="474">
        <v>3000</v>
      </c>
      <c r="S299" s="474">
        <v>0.4</v>
      </c>
      <c r="T299" s="474">
        <v>1.4</v>
      </c>
    </row>
    <row r="300" spans="16:20" s="444" customFormat="1" ht="15">
      <c r="P300" s="447"/>
      <c r="Q300" s="474">
        <v>0.6</v>
      </c>
      <c r="R300" s="474">
        <v>3000</v>
      </c>
      <c r="S300" s="474">
        <v>0.6</v>
      </c>
      <c r="T300" s="474">
        <v>1.9</v>
      </c>
    </row>
    <row r="301" spans="16:20" s="444" customFormat="1" ht="15">
      <c r="P301" s="447"/>
      <c r="Q301" s="474">
        <v>0.6</v>
      </c>
      <c r="R301" s="474">
        <v>3000</v>
      </c>
      <c r="S301" s="474">
        <v>0.8</v>
      </c>
      <c r="T301" s="474">
        <v>2.1</v>
      </c>
    </row>
    <row r="302" spans="16:20" s="444" customFormat="1" ht="15">
      <c r="P302" s="447"/>
      <c r="Q302" s="474">
        <v>0.6</v>
      </c>
      <c r="R302" s="474">
        <v>3000</v>
      </c>
      <c r="S302" s="474">
        <v>1</v>
      </c>
      <c r="T302" s="474">
        <v>2.2000000000000002</v>
      </c>
    </row>
    <row r="303" spans="16:20" s="444" customFormat="1" ht="15">
      <c r="P303" s="447"/>
      <c r="Q303" s="474">
        <v>0.6</v>
      </c>
      <c r="R303" s="474">
        <v>3200</v>
      </c>
      <c r="S303" s="474">
        <v>0</v>
      </c>
      <c r="T303" s="474">
        <v>0</v>
      </c>
    </row>
    <row r="304" spans="16:20" s="444" customFormat="1" ht="15">
      <c r="P304" s="447"/>
      <c r="Q304" s="474">
        <v>0.6</v>
      </c>
      <c r="R304" s="474">
        <v>3200</v>
      </c>
      <c r="S304" s="474">
        <v>0.2</v>
      </c>
      <c r="T304" s="474">
        <v>0.9</v>
      </c>
    </row>
    <row r="305" spans="16:20" s="444" customFormat="1" ht="15">
      <c r="P305" s="447"/>
      <c r="Q305" s="474">
        <v>0.6</v>
      </c>
      <c r="R305" s="474">
        <v>3200</v>
      </c>
      <c r="S305" s="474">
        <v>0.4</v>
      </c>
      <c r="T305" s="474">
        <v>1.4</v>
      </c>
    </row>
    <row r="306" spans="16:20" s="444" customFormat="1" ht="15">
      <c r="P306" s="447"/>
      <c r="Q306" s="474">
        <v>0.6</v>
      </c>
      <c r="R306" s="474">
        <v>3200</v>
      </c>
      <c r="S306" s="474">
        <v>0.6</v>
      </c>
      <c r="T306" s="474">
        <v>1.9</v>
      </c>
    </row>
    <row r="307" spans="16:20" s="444" customFormat="1" ht="15">
      <c r="P307" s="447"/>
      <c r="Q307" s="474">
        <v>0.6</v>
      </c>
      <c r="R307" s="474">
        <v>3200</v>
      </c>
      <c r="S307" s="474">
        <v>0.8</v>
      </c>
      <c r="T307" s="474">
        <v>2.1</v>
      </c>
    </row>
    <row r="308" spans="16:20" s="444" customFormat="1" ht="15">
      <c r="P308" s="447"/>
      <c r="Q308" s="474">
        <v>0.6</v>
      </c>
      <c r="R308" s="474">
        <v>3200</v>
      </c>
      <c r="S308" s="474">
        <v>1</v>
      </c>
      <c r="T308" s="474">
        <v>2.2000000000000002</v>
      </c>
    </row>
    <row r="309" spans="16:20" s="444" customFormat="1" ht="15">
      <c r="P309" s="447"/>
    </row>
    <row r="310" spans="16:20" s="444" customFormat="1" ht="15">
      <c r="P310" s="447"/>
    </row>
    <row r="311" spans="16:20" s="444" customFormat="1" ht="15">
      <c r="P311" s="447"/>
    </row>
    <row r="312" spans="16:20" s="444" customFormat="1" ht="15">
      <c r="P312" s="447"/>
    </row>
    <row r="313" spans="16:20" s="444" customFormat="1" ht="15">
      <c r="P313" s="447"/>
    </row>
    <row r="314" spans="16:20" s="444" customFormat="1" ht="15">
      <c r="P314" s="447"/>
    </row>
    <row r="315" spans="16:20" s="444" customFormat="1" ht="15">
      <c r="P315" s="447"/>
    </row>
    <row r="316" spans="16:20" s="444" customFormat="1" ht="15">
      <c r="P316" s="447"/>
    </row>
    <row r="317" spans="16:20" s="444" customFormat="1" ht="15">
      <c r="P317" s="447"/>
    </row>
    <row r="318" spans="16:20" s="444" customFormat="1" ht="15">
      <c r="P318" s="447"/>
    </row>
    <row r="319" spans="16:20" s="444" customFormat="1" ht="15">
      <c r="P319" s="447"/>
    </row>
    <row r="320" spans="16:20" s="444" customFormat="1" ht="15">
      <c r="P320" s="447"/>
    </row>
    <row r="321" spans="1:16" s="444" customFormat="1" ht="15">
      <c r="A321" s="443"/>
      <c r="B321" s="443"/>
      <c r="C321" s="443"/>
      <c r="D321" s="443"/>
      <c r="E321" s="458"/>
      <c r="F321" s="458"/>
      <c r="G321" s="458"/>
      <c r="H321" s="458"/>
      <c r="I321" s="458"/>
      <c r="J321" s="458"/>
      <c r="K321" s="458"/>
      <c r="L321" s="458"/>
      <c r="M321" s="458"/>
      <c r="N321" s="458"/>
      <c r="O321" s="443"/>
      <c r="P321" s="447"/>
    </row>
    <row r="322" spans="1:16" s="444" customFormat="1" ht="15">
      <c r="A322" s="443"/>
      <c r="B322" s="443"/>
      <c r="C322" s="443"/>
      <c r="D322" s="443"/>
      <c r="E322" s="458"/>
      <c r="F322" s="458"/>
      <c r="G322" s="458"/>
      <c r="H322" s="458"/>
      <c r="I322" s="458"/>
      <c r="J322" s="458"/>
      <c r="K322" s="458"/>
      <c r="L322" s="458"/>
      <c r="M322" s="458"/>
      <c r="N322" s="458"/>
      <c r="O322" s="443"/>
      <c r="P322" s="447"/>
    </row>
    <row r="323" spans="1:16" s="444" customFormat="1" ht="15">
      <c r="A323" s="443"/>
      <c r="B323" s="443"/>
      <c r="C323" s="443"/>
      <c r="D323" s="443"/>
      <c r="E323" s="458"/>
      <c r="F323" s="458"/>
      <c r="G323" s="458"/>
      <c r="H323" s="458"/>
      <c r="I323" s="458"/>
      <c r="J323" s="458"/>
      <c r="K323" s="458"/>
      <c r="L323" s="458"/>
      <c r="M323" s="458"/>
      <c r="N323" s="458"/>
      <c r="O323" s="443"/>
      <c r="P323" s="447"/>
    </row>
    <row r="324" spans="1:16" s="444" customFormat="1" ht="15">
      <c r="A324" s="443"/>
      <c r="B324" s="443"/>
      <c r="C324" s="443"/>
      <c r="D324" s="443"/>
      <c r="E324" s="458"/>
      <c r="F324" s="458"/>
      <c r="G324" s="458"/>
      <c r="H324" s="458"/>
      <c r="I324" s="458"/>
      <c r="J324" s="458"/>
      <c r="K324" s="458"/>
      <c r="L324" s="458"/>
      <c r="M324" s="458"/>
      <c r="N324" s="458"/>
      <c r="O324" s="443"/>
      <c r="P324" s="447"/>
    </row>
    <row r="325" spans="1:16" s="444" customFormat="1" ht="15">
      <c r="A325" s="443"/>
      <c r="B325" s="443"/>
      <c r="C325" s="443"/>
      <c r="D325" s="443"/>
      <c r="E325" s="458"/>
      <c r="F325" s="458"/>
      <c r="G325" s="458"/>
      <c r="H325" s="458"/>
      <c r="I325" s="458"/>
      <c r="J325" s="458"/>
      <c r="K325" s="458"/>
      <c r="L325" s="458"/>
      <c r="M325" s="458"/>
      <c r="N325" s="458"/>
      <c r="O325" s="443"/>
      <c r="P325" s="447"/>
    </row>
    <row r="326" spans="1:16" s="444" customFormat="1" ht="15">
      <c r="A326" s="443"/>
      <c r="B326" s="443"/>
      <c r="C326" s="443"/>
      <c r="D326" s="443"/>
      <c r="E326" s="458"/>
      <c r="F326" s="458"/>
      <c r="G326" s="458"/>
      <c r="H326" s="458"/>
      <c r="I326" s="458"/>
      <c r="J326" s="458"/>
      <c r="K326" s="458"/>
      <c r="L326" s="458"/>
      <c r="M326" s="458"/>
      <c r="N326" s="458"/>
      <c r="O326" s="443"/>
      <c r="P326" s="447"/>
    </row>
    <row r="327" spans="1:16" s="444" customFormat="1" ht="15">
      <c r="A327" s="443"/>
      <c r="B327" s="443"/>
      <c r="C327" s="443"/>
      <c r="D327" s="443"/>
      <c r="E327" s="458"/>
      <c r="F327" s="458"/>
      <c r="G327" s="458"/>
      <c r="H327" s="458"/>
      <c r="I327" s="458"/>
      <c r="J327" s="458"/>
      <c r="K327" s="458"/>
      <c r="L327" s="458"/>
      <c r="M327" s="458"/>
      <c r="N327" s="458"/>
      <c r="O327" s="443"/>
      <c r="P327" s="447"/>
    </row>
    <row r="328" spans="1:16" s="444" customFormat="1" ht="15">
      <c r="A328" s="443"/>
      <c r="B328" s="443"/>
      <c r="C328" s="443"/>
      <c r="D328" s="443"/>
      <c r="E328" s="458"/>
      <c r="F328" s="458"/>
      <c r="G328" s="458"/>
      <c r="H328" s="458"/>
      <c r="I328" s="458"/>
      <c r="J328" s="458"/>
      <c r="K328" s="458"/>
      <c r="L328" s="458"/>
      <c r="M328" s="458"/>
      <c r="N328" s="458"/>
      <c r="O328" s="443"/>
      <c r="P328" s="447"/>
    </row>
    <row r="329" spans="1:16" s="444" customFormat="1" ht="15">
      <c r="A329" s="443"/>
      <c r="B329" s="443"/>
      <c r="C329" s="443"/>
      <c r="D329" s="443"/>
      <c r="E329" s="458"/>
      <c r="F329" s="458"/>
      <c r="G329" s="458"/>
      <c r="H329" s="458"/>
      <c r="I329" s="458"/>
      <c r="J329" s="458"/>
      <c r="K329" s="458"/>
      <c r="L329" s="458"/>
      <c r="M329" s="458"/>
      <c r="N329" s="458"/>
      <c r="O329" s="443"/>
      <c r="P329" s="447"/>
    </row>
    <row r="330" spans="1:16" s="444" customFormat="1" ht="15">
      <c r="A330" s="443"/>
      <c r="B330" s="443"/>
      <c r="C330" s="443"/>
      <c r="D330" s="443"/>
      <c r="E330" s="458"/>
      <c r="F330" s="458"/>
      <c r="G330" s="458"/>
      <c r="H330" s="458"/>
      <c r="I330" s="458"/>
      <c r="J330" s="458"/>
      <c r="K330" s="458"/>
      <c r="L330" s="458"/>
      <c r="M330" s="458"/>
      <c r="N330" s="458"/>
      <c r="O330" s="443"/>
      <c r="P330" s="447"/>
    </row>
    <row r="331" spans="1:16" s="444" customFormat="1" ht="15">
      <c r="A331" s="443"/>
      <c r="B331" s="443"/>
      <c r="C331" s="443"/>
      <c r="D331" s="443"/>
      <c r="E331" s="458"/>
      <c r="F331" s="458"/>
      <c r="G331" s="458"/>
      <c r="H331" s="458"/>
      <c r="I331" s="458"/>
      <c r="J331" s="458"/>
      <c r="K331" s="458"/>
      <c r="L331" s="458"/>
      <c r="M331" s="458"/>
      <c r="N331" s="458"/>
      <c r="O331" s="443"/>
      <c r="P331" s="447"/>
    </row>
    <row r="332" spans="1:16" s="444" customFormat="1" ht="15">
      <c r="A332" s="443"/>
      <c r="B332" s="443"/>
      <c r="C332" s="443"/>
      <c r="D332" s="443"/>
      <c r="E332" s="458"/>
      <c r="F332" s="458"/>
      <c r="G332" s="458"/>
      <c r="H332" s="458"/>
      <c r="I332" s="458"/>
      <c r="J332" s="458"/>
      <c r="K332" s="458"/>
      <c r="L332" s="458"/>
      <c r="M332" s="458"/>
      <c r="N332" s="458"/>
      <c r="O332" s="443"/>
      <c r="P332" s="447"/>
    </row>
    <row r="333" spans="1:16" s="444" customFormat="1" ht="15">
      <c r="A333" s="443"/>
      <c r="B333" s="443"/>
      <c r="C333" s="443"/>
      <c r="D333" s="443"/>
      <c r="E333" s="458"/>
      <c r="F333" s="458"/>
      <c r="G333" s="458"/>
      <c r="H333" s="458"/>
      <c r="I333" s="458"/>
      <c r="J333" s="458"/>
      <c r="K333" s="458"/>
      <c r="L333" s="458"/>
      <c r="M333" s="458"/>
      <c r="N333" s="458"/>
      <c r="O333" s="443"/>
      <c r="P333" s="447"/>
    </row>
    <row r="334" spans="1:16" s="444" customFormat="1" ht="15">
      <c r="A334" s="443"/>
      <c r="B334" s="443"/>
      <c r="C334" s="443"/>
      <c r="D334" s="443"/>
      <c r="E334" s="458"/>
      <c r="F334" s="458"/>
      <c r="G334" s="458"/>
      <c r="H334" s="458"/>
      <c r="I334" s="458"/>
      <c r="J334" s="458"/>
      <c r="K334" s="458"/>
      <c r="L334" s="458"/>
      <c r="M334" s="458"/>
      <c r="N334" s="458"/>
      <c r="O334" s="443"/>
      <c r="P334" s="447"/>
    </row>
    <row r="335" spans="1:16" s="444" customFormat="1" ht="15">
      <c r="A335" s="443"/>
      <c r="B335" s="443"/>
      <c r="C335" s="443"/>
      <c r="D335" s="443"/>
      <c r="E335" s="458"/>
      <c r="F335" s="458"/>
      <c r="G335" s="458"/>
      <c r="H335" s="458"/>
      <c r="I335" s="458"/>
      <c r="J335" s="458"/>
      <c r="K335" s="458"/>
      <c r="L335" s="458"/>
      <c r="M335" s="458"/>
      <c r="N335" s="458"/>
      <c r="O335" s="443"/>
      <c r="P335" s="447"/>
    </row>
    <row r="336" spans="1:16" s="444" customFormat="1" ht="15">
      <c r="A336" s="443"/>
      <c r="B336" s="443"/>
      <c r="C336" s="443"/>
      <c r="D336" s="443"/>
      <c r="E336" s="458"/>
      <c r="F336" s="458"/>
      <c r="G336" s="458"/>
      <c r="H336" s="458"/>
      <c r="I336" s="458"/>
      <c r="J336" s="458"/>
      <c r="K336" s="458"/>
      <c r="L336" s="458"/>
      <c r="M336" s="458"/>
      <c r="N336" s="458"/>
      <c r="O336" s="443"/>
      <c r="P336" s="447"/>
    </row>
    <row r="337" spans="1:16" s="444" customFormat="1" ht="15">
      <c r="A337" s="443"/>
      <c r="B337" s="443"/>
      <c r="C337" s="443"/>
      <c r="D337" s="443"/>
      <c r="E337" s="458"/>
      <c r="F337" s="458"/>
      <c r="G337" s="458"/>
      <c r="H337" s="458"/>
      <c r="I337" s="458"/>
      <c r="J337" s="458"/>
      <c r="K337" s="458"/>
      <c r="L337" s="458"/>
      <c r="M337" s="458"/>
      <c r="N337" s="458"/>
      <c r="O337" s="443"/>
      <c r="P337" s="447"/>
    </row>
    <row r="338" spans="1:16" s="444" customFormat="1" ht="15">
      <c r="A338" s="443"/>
      <c r="B338" s="443"/>
      <c r="C338" s="443"/>
      <c r="D338" s="443"/>
      <c r="E338" s="458"/>
      <c r="F338" s="458"/>
      <c r="G338" s="458"/>
      <c r="H338" s="458"/>
      <c r="I338" s="458"/>
      <c r="J338" s="458"/>
      <c r="K338" s="458"/>
      <c r="L338" s="458"/>
      <c r="M338" s="458"/>
      <c r="N338" s="458"/>
      <c r="O338" s="443"/>
      <c r="P338" s="447"/>
    </row>
    <row r="339" spans="1:16" s="444" customFormat="1" ht="15">
      <c r="A339" s="443"/>
      <c r="B339" s="443"/>
      <c r="C339" s="443"/>
      <c r="D339" s="443"/>
      <c r="E339" s="458"/>
      <c r="F339" s="458"/>
      <c r="G339" s="458"/>
      <c r="H339" s="458"/>
      <c r="I339" s="458"/>
      <c r="J339" s="458"/>
      <c r="K339" s="458"/>
      <c r="L339" s="458"/>
      <c r="M339" s="458"/>
      <c r="N339" s="458"/>
      <c r="O339" s="443"/>
      <c r="P339" s="447"/>
    </row>
    <row r="340" spans="1:16" s="444" customFormat="1" ht="15">
      <c r="A340" s="443"/>
      <c r="B340" s="443"/>
      <c r="C340" s="443"/>
      <c r="D340" s="443"/>
      <c r="E340" s="458"/>
      <c r="F340" s="458"/>
      <c r="G340" s="458"/>
      <c r="H340" s="458"/>
      <c r="I340" s="458"/>
      <c r="J340" s="458"/>
      <c r="K340" s="458"/>
      <c r="L340" s="458"/>
      <c r="M340" s="458"/>
      <c r="N340" s="458"/>
      <c r="O340" s="443"/>
      <c r="P340" s="447"/>
    </row>
    <row r="341" spans="1:16" s="444" customFormat="1" ht="15">
      <c r="A341" s="443"/>
      <c r="B341" s="443"/>
      <c r="C341" s="443"/>
      <c r="D341" s="443"/>
      <c r="E341" s="458"/>
      <c r="F341" s="458"/>
      <c r="G341" s="458"/>
      <c r="H341" s="458"/>
      <c r="I341" s="458"/>
      <c r="J341" s="458"/>
      <c r="K341" s="458"/>
      <c r="L341" s="458"/>
      <c r="M341" s="458"/>
      <c r="N341" s="458"/>
      <c r="O341" s="443"/>
      <c r="P341" s="447"/>
    </row>
    <row r="342" spans="1:16" s="444" customFormat="1" ht="15">
      <c r="A342" s="443"/>
      <c r="B342" s="443"/>
      <c r="C342" s="443"/>
      <c r="D342" s="443"/>
      <c r="E342" s="458"/>
      <c r="F342" s="458"/>
      <c r="G342" s="458"/>
      <c r="H342" s="458"/>
      <c r="I342" s="458"/>
      <c r="J342" s="458"/>
      <c r="K342" s="458"/>
      <c r="L342" s="458"/>
      <c r="M342" s="458"/>
      <c r="N342" s="458"/>
      <c r="O342" s="443"/>
      <c r="P342" s="447"/>
    </row>
    <row r="343" spans="1:16" s="444" customFormat="1" ht="15">
      <c r="A343" s="443"/>
      <c r="B343" s="443"/>
      <c r="C343" s="443"/>
      <c r="D343" s="443"/>
      <c r="E343" s="458"/>
      <c r="F343" s="458"/>
      <c r="G343" s="458"/>
      <c r="H343" s="458"/>
      <c r="I343" s="458"/>
      <c r="J343" s="458"/>
      <c r="K343" s="458"/>
      <c r="L343" s="458"/>
      <c r="M343" s="458"/>
      <c r="N343" s="458"/>
      <c r="O343" s="443"/>
      <c r="P343" s="447"/>
    </row>
    <row r="344" spans="1:16" s="444" customFormat="1" ht="15">
      <c r="A344" s="443"/>
      <c r="B344" s="443"/>
      <c r="C344" s="443"/>
      <c r="D344" s="443"/>
      <c r="E344" s="458"/>
      <c r="F344" s="458"/>
      <c r="G344" s="458"/>
      <c r="H344" s="458"/>
      <c r="I344" s="458"/>
      <c r="J344" s="458"/>
      <c r="K344" s="458"/>
      <c r="L344" s="458"/>
      <c r="M344" s="458"/>
      <c r="N344" s="458"/>
      <c r="O344" s="443"/>
      <c r="P344" s="447"/>
    </row>
    <row r="345" spans="1:16" s="444" customFormat="1" ht="15">
      <c r="A345" s="443"/>
      <c r="B345" s="443"/>
      <c r="C345" s="443"/>
      <c r="D345" s="443"/>
      <c r="E345" s="458"/>
      <c r="F345" s="458"/>
      <c r="G345" s="458"/>
      <c r="H345" s="458"/>
      <c r="I345" s="458"/>
      <c r="J345" s="458"/>
      <c r="K345" s="458"/>
      <c r="L345" s="458"/>
      <c r="M345" s="458"/>
      <c r="N345" s="458"/>
      <c r="O345" s="443"/>
      <c r="P345" s="447"/>
    </row>
    <row r="346" spans="1:16" s="444" customFormat="1" ht="15">
      <c r="A346" s="443"/>
      <c r="B346" s="443"/>
      <c r="C346" s="443"/>
      <c r="D346" s="443"/>
      <c r="E346" s="458"/>
      <c r="F346" s="458"/>
      <c r="G346" s="458"/>
      <c r="H346" s="458"/>
      <c r="I346" s="458"/>
      <c r="J346" s="458"/>
      <c r="K346" s="458"/>
      <c r="L346" s="458"/>
      <c r="M346" s="458"/>
      <c r="N346" s="458"/>
      <c r="O346" s="443"/>
      <c r="P346" s="447"/>
    </row>
    <row r="347" spans="1:16" s="444" customFormat="1" ht="15">
      <c r="A347" s="443"/>
      <c r="B347" s="443"/>
      <c r="C347" s="443"/>
      <c r="D347" s="443"/>
      <c r="E347" s="458"/>
      <c r="F347" s="458"/>
      <c r="G347" s="458"/>
      <c r="H347" s="458"/>
      <c r="I347" s="458"/>
      <c r="J347" s="458"/>
      <c r="K347" s="458"/>
      <c r="L347" s="458"/>
      <c r="M347" s="458"/>
      <c r="N347" s="458"/>
      <c r="O347" s="443"/>
      <c r="P347" s="447"/>
    </row>
    <row r="348" spans="1:16" s="444" customFormat="1" ht="15">
      <c r="A348" s="443"/>
      <c r="B348" s="443"/>
      <c r="C348" s="443"/>
      <c r="D348" s="443"/>
      <c r="E348" s="458"/>
      <c r="F348" s="458"/>
      <c r="G348" s="458"/>
      <c r="H348" s="458"/>
      <c r="I348" s="458"/>
      <c r="J348" s="458"/>
      <c r="K348" s="458"/>
      <c r="L348" s="458"/>
      <c r="M348" s="458"/>
      <c r="N348" s="458"/>
      <c r="O348" s="443"/>
      <c r="P348" s="447"/>
    </row>
    <row r="349" spans="1:16" s="444" customFormat="1" ht="15">
      <c r="A349" s="443"/>
      <c r="B349" s="443"/>
      <c r="C349" s="443"/>
      <c r="D349" s="443"/>
      <c r="E349" s="458"/>
      <c r="F349" s="458"/>
      <c r="G349" s="458"/>
      <c r="H349" s="458"/>
      <c r="I349" s="458"/>
      <c r="J349" s="458"/>
      <c r="K349" s="458"/>
      <c r="L349" s="458"/>
      <c r="M349" s="458"/>
      <c r="N349" s="458"/>
      <c r="O349" s="443"/>
      <c r="P349" s="447"/>
    </row>
    <row r="350" spans="1:16" s="444" customFormat="1" ht="15">
      <c r="A350" s="443"/>
      <c r="B350" s="443"/>
      <c r="C350" s="443"/>
      <c r="D350" s="443"/>
      <c r="E350" s="458"/>
      <c r="F350" s="458"/>
      <c r="G350" s="458"/>
      <c r="H350" s="458"/>
      <c r="I350" s="458"/>
      <c r="J350" s="458"/>
      <c r="K350" s="458"/>
      <c r="L350" s="458"/>
      <c r="M350" s="458"/>
      <c r="N350" s="458"/>
      <c r="O350" s="443"/>
      <c r="P350" s="447"/>
    </row>
    <row r="351" spans="1:16" s="444" customFormat="1" ht="15">
      <c r="A351" s="443"/>
      <c r="B351" s="443"/>
      <c r="C351" s="443"/>
      <c r="D351" s="443"/>
      <c r="E351" s="458"/>
      <c r="F351" s="458"/>
      <c r="G351" s="458"/>
      <c r="H351" s="458"/>
      <c r="I351" s="458"/>
      <c r="J351" s="458"/>
      <c r="K351" s="458"/>
      <c r="L351" s="458"/>
      <c r="M351" s="458"/>
      <c r="N351" s="458"/>
      <c r="O351" s="443"/>
      <c r="P351" s="447"/>
    </row>
    <row r="352" spans="1:16" s="444" customFormat="1" ht="15">
      <c r="A352" s="443"/>
      <c r="B352" s="443"/>
      <c r="C352" s="443"/>
      <c r="D352" s="443"/>
      <c r="E352" s="458"/>
      <c r="F352" s="458"/>
      <c r="G352" s="458"/>
      <c r="H352" s="458"/>
      <c r="I352" s="458"/>
      <c r="J352" s="458"/>
      <c r="K352" s="458"/>
      <c r="L352" s="458"/>
      <c r="M352" s="458"/>
      <c r="N352" s="458"/>
      <c r="O352" s="443"/>
      <c r="P352" s="447"/>
    </row>
    <row r="353" spans="1:16" s="444" customFormat="1" ht="15">
      <c r="A353" s="443"/>
      <c r="B353" s="443"/>
      <c r="C353" s="443"/>
      <c r="D353" s="443"/>
      <c r="E353" s="458"/>
      <c r="F353" s="458"/>
      <c r="G353" s="458"/>
      <c r="H353" s="458"/>
      <c r="I353" s="458"/>
      <c r="J353" s="458"/>
      <c r="K353" s="458"/>
      <c r="L353" s="458"/>
      <c r="M353" s="458"/>
      <c r="N353" s="458"/>
      <c r="O353" s="443"/>
      <c r="P353" s="447"/>
    </row>
    <row r="354" spans="1:16" s="444" customFormat="1" ht="15">
      <c r="A354" s="443"/>
      <c r="B354" s="443"/>
      <c r="C354" s="443"/>
      <c r="D354" s="443"/>
      <c r="E354" s="458"/>
      <c r="F354" s="458"/>
      <c r="G354" s="458"/>
      <c r="H354" s="458"/>
      <c r="I354" s="458"/>
      <c r="J354" s="458"/>
      <c r="K354" s="458"/>
      <c r="L354" s="458"/>
      <c r="M354" s="458"/>
      <c r="N354" s="458"/>
      <c r="O354" s="443"/>
      <c r="P354" s="447"/>
    </row>
    <row r="355" spans="1:16" s="444" customFormat="1" ht="15">
      <c r="A355" s="443"/>
      <c r="B355" s="443"/>
      <c r="C355" s="443"/>
      <c r="D355" s="443"/>
      <c r="E355" s="458"/>
      <c r="F355" s="458"/>
      <c r="G355" s="458"/>
      <c r="H355" s="458"/>
      <c r="I355" s="458"/>
      <c r="J355" s="458"/>
      <c r="K355" s="458"/>
      <c r="L355" s="458"/>
      <c r="M355" s="458"/>
      <c r="N355" s="458"/>
      <c r="O355" s="443"/>
      <c r="P355" s="447"/>
    </row>
    <row r="356" spans="1:16" s="444" customFormat="1" ht="15">
      <c r="A356" s="443"/>
      <c r="B356" s="443"/>
      <c r="C356" s="443"/>
      <c r="D356" s="443"/>
      <c r="E356" s="458"/>
      <c r="F356" s="458"/>
      <c r="G356" s="458"/>
      <c r="H356" s="458"/>
      <c r="I356" s="458"/>
      <c r="J356" s="458"/>
      <c r="K356" s="458"/>
      <c r="L356" s="458"/>
      <c r="M356" s="458"/>
      <c r="N356" s="458"/>
      <c r="O356" s="443"/>
      <c r="P356" s="447"/>
    </row>
    <row r="357" spans="1:16" s="444" customFormat="1" ht="15">
      <c r="A357" s="443"/>
      <c r="B357" s="443"/>
      <c r="C357" s="443"/>
      <c r="D357" s="443"/>
      <c r="E357" s="458"/>
      <c r="F357" s="458"/>
      <c r="G357" s="458"/>
      <c r="H357" s="458"/>
      <c r="I357" s="458"/>
      <c r="J357" s="458"/>
      <c r="K357" s="458"/>
      <c r="L357" s="458"/>
      <c r="M357" s="458"/>
      <c r="N357" s="458"/>
      <c r="O357" s="443"/>
      <c r="P357" s="447"/>
    </row>
    <row r="358" spans="1:16" s="444" customFormat="1" ht="15">
      <c r="A358" s="443"/>
      <c r="B358" s="443"/>
      <c r="C358" s="443"/>
      <c r="D358" s="443"/>
      <c r="E358" s="458"/>
      <c r="F358" s="458"/>
      <c r="G358" s="458"/>
      <c r="H358" s="458"/>
      <c r="I358" s="458"/>
      <c r="J358" s="458"/>
      <c r="K358" s="458"/>
      <c r="L358" s="458"/>
      <c r="M358" s="458"/>
      <c r="N358" s="458"/>
      <c r="O358" s="443"/>
      <c r="P358" s="447"/>
    </row>
    <row r="359" spans="1:16" s="444" customFormat="1" ht="15">
      <c r="A359" s="443"/>
      <c r="B359" s="443"/>
      <c r="C359" s="443"/>
      <c r="D359" s="443"/>
      <c r="E359" s="458"/>
      <c r="F359" s="458"/>
      <c r="G359" s="458"/>
      <c r="H359" s="458"/>
      <c r="I359" s="458"/>
      <c r="J359" s="458"/>
      <c r="K359" s="458"/>
      <c r="L359" s="458"/>
      <c r="M359" s="458"/>
      <c r="N359" s="458"/>
      <c r="O359" s="443"/>
      <c r="P359" s="447"/>
    </row>
    <row r="360" spans="1:16" s="444" customFormat="1" ht="15">
      <c r="A360" s="443"/>
      <c r="B360" s="443"/>
      <c r="C360" s="443"/>
      <c r="D360" s="443"/>
      <c r="E360" s="458"/>
      <c r="F360" s="458"/>
      <c r="G360" s="458"/>
      <c r="H360" s="458"/>
      <c r="I360" s="458"/>
      <c r="J360" s="458"/>
      <c r="K360" s="458"/>
      <c r="L360" s="458"/>
      <c r="M360" s="458"/>
      <c r="N360" s="458"/>
      <c r="O360" s="443"/>
      <c r="P360" s="447"/>
    </row>
    <row r="361" spans="1:16" s="444" customFormat="1" ht="15">
      <c r="A361" s="443"/>
      <c r="B361" s="443"/>
      <c r="C361" s="443"/>
      <c r="D361" s="443"/>
      <c r="E361" s="458"/>
      <c r="F361" s="458"/>
      <c r="G361" s="458"/>
      <c r="H361" s="458"/>
      <c r="I361" s="458"/>
      <c r="J361" s="458"/>
      <c r="K361" s="458"/>
      <c r="L361" s="458"/>
      <c r="M361" s="458"/>
      <c r="N361" s="458"/>
      <c r="O361" s="443"/>
      <c r="P361" s="447"/>
    </row>
    <row r="362" spans="1:16" s="444" customFormat="1" ht="15">
      <c r="A362" s="443"/>
      <c r="B362" s="443"/>
      <c r="C362" s="443"/>
      <c r="D362" s="443"/>
      <c r="E362" s="458"/>
      <c r="F362" s="458"/>
      <c r="G362" s="458"/>
      <c r="H362" s="458"/>
      <c r="I362" s="458"/>
      <c r="J362" s="458"/>
      <c r="K362" s="458"/>
      <c r="L362" s="458"/>
      <c r="M362" s="458"/>
      <c r="N362" s="458"/>
      <c r="O362" s="443"/>
      <c r="P362" s="447"/>
    </row>
    <row r="363" spans="1:16" s="444" customFormat="1" ht="15">
      <c r="A363" s="443"/>
      <c r="B363" s="443"/>
      <c r="C363" s="443"/>
      <c r="D363" s="443"/>
      <c r="E363" s="458"/>
      <c r="F363" s="458"/>
      <c r="G363" s="458"/>
      <c r="H363" s="458"/>
      <c r="I363" s="458"/>
      <c r="J363" s="458"/>
      <c r="K363" s="458"/>
      <c r="L363" s="458"/>
      <c r="M363" s="458"/>
      <c r="N363" s="458"/>
      <c r="O363" s="443"/>
      <c r="P363" s="447"/>
    </row>
    <row r="364" spans="1:16" s="444" customFormat="1" ht="15">
      <c r="A364" s="443"/>
      <c r="B364" s="443"/>
      <c r="C364" s="443"/>
      <c r="D364" s="443"/>
      <c r="E364" s="458"/>
      <c r="F364" s="458"/>
      <c r="G364" s="458"/>
      <c r="H364" s="458"/>
      <c r="I364" s="458"/>
      <c r="J364" s="458"/>
      <c r="K364" s="458"/>
      <c r="L364" s="458"/>
      <c r="M364" s="458"/>
      <c r="N364" s="458"/>
      <c r="O364" s="443"/>
      <c r="P364" s="447"/>
    </row>
    <row r="365" spans="1:16" s="444" customFormat="1" ht="15">
      <c r="A365" s="443"/>
      <c r="B365" s="443"/>
      <c r="C365" s="443"/>
      <c r="D365" s="443"/>
      <c r="E365" s="458"/>
      <c r="F365" s="458"/>
      <c r="G365" s="458"/>
      <c r="H365" s="458"/>
      <c r="I365" s="458"/>
      <c r="J365" s="458"/>
      <c r="K365" s="458"/>
      <c r="L365" s="458"/>
      <c r="M365" s="458"/>
      <c r="N365" s="458"/>
      <c r="O365" s="443"/>
      <c r="P365" s="447"/>
    </row>
    <row r="366" spans="1:16" s="444" customFormat="1" ht="15">
      <c r="A366" s="443"/>
      <c r="B366" s="443"/>
      <c r="C366" s="443"/>
      <c r="D366" s="443"/>
      <c r="E366" s="458"/>
      <c r="F366" s="458"/>
      <c r="G366" s="458"/>
      <c r="H366" s="458"/>
      <c r="I366" s="458"/>
      <c r="J366" s="458"/>
      <c r="K366" s="458"/>
      <c r="L366" s="458"/>
      <c r="M366" s="458"/>
      <c r="N366" s="458"/>
      <c r="O366" s="443"/>
      <c r="P366" s="447"/>
    </row>
    <row r="367" spans="1:16" s="444" customFormat="1" ht="15">
      <c r="A367" s="443"/>
      <c r="B367" s="443"/>
      <c r="C367" s="443"/>
      <c r="D367" s="443"/>
      <c r="E367" s="458"/>
      <c r="F367" s="458"/>
      <c r="G367" s="458"/>
      <c r="H367" s="458"/>
      <c r="I367" s="458"/>
      <c r="J367" s="458"/>
      <c r="K367" s="458"/>
      <c r="L367" s="458"/>
      <c r="M367" s="458"/>
      <c r="N367" s="458"/>
      <c r="O367" s="443"/>
      <c r="P367" s="447"/>
    </row>
    <row r="368" spans="1:16" s="444" customFormat="1" ht="15">
      <c r="A368" s="443"/>
      <c r="B368" s="443"/>
      <c r="C368" s="443"/>
      <c r="D368" s="443"/>
      <c r="E368" s="458"/>
      <c r="F368" s="458"/>
      <c r="G368" s="458"/>
      <c r="H368" s="458"/>
      <c r="I368" s="458"/>
      <c r="J368" s="458"/>
      <c r="K368" s="458"/>
      <c r="L368" s="458"/>
      <c r="M368" s="458"/>
      <c r="N368" s="458"/>
      <c r="O368" s="443"/>
      <c r="P368" s="447"/>
    </row>
    <row r="369" spans="1:16" s="444" customFormat="1" ht="15">
      <c r="A369" s="443"/>
      <c r="B369" s="443"/>
      <c r="C369" s="443"/>
      <c r="D369" s="443"/>
      <c r="E369" s="458"/>
      <c r="F369" s="458"/>
      <c r="G369" s="458"/>
      <c r="H369" s="458"/>
      <c r="I369" s="458"/>
      <c r="J369" s="458"/>
      <c r="K369" s="458"/>
      <c r="L369" s="458"/>
      <c r="M369" s="458"/>
      <c r="N369" s="458"/>
      <c r="O369" s="443"/>
      <c r="P369" s="447"/>
    </row>
    <row r="370" spans="1:16" s="444" customFormat="1" ht="15">
      <c r="A370" s="443"/>
      <c r="B370" s="443"/>
      <c r="C370" s="443"/>
      <c r="D370" s="443"/>
      <c r="E370" s="458"/>
      <c r="F370" s="458"/>
      <c r="G370" s="458"/>
      <c r="H370" s="458"/>
      <c r="I370" s="458"/>
      <c r="J370" s="458"/>
      <c r="K370" s="458"/>
      <c r="L370" s="458"/>
      <c r="M370" s="458"/>
      <c r="N370" s="458"/>
      <c r="O370" s="443"/>
      <c r="P370" s="447"/>
    </row>
    <row r="371" spans="1:16" s="444" customFormat="1" ht="15">
      <c r="A371" s="443"/>
      <c r="B371" s="443"/>
      <c r="C371" s="443"/>
      <c r="D371" s="443"/>
      <c r="E371" s="458"/>
      <c r="F371" s="458"/>
      <c r="G371" s="458"/>
      <c r="H371" s="458"/>
      <c r="I371" s="458"/>
      <c r="J371" s="458"/>
      <c r="K371" s="458"/>
      <c r="L371" s="458"/>
      <c r="M371" s="458"/>
      <c r="N371" s="458"/>
      <c r="O371" s="443"/>
      <c r="P371" s="447"/>
    </row>
    <row r="372" spans="1:16" s="444" customFormat="1" ht="15">
      <c r="A372" s="443"/>
      <c r="B372" s="443"/>
      <c r="C372" s="443"/>
      <c r="D372" s="443"/>
      <c r="E372" s="458"/>
      <c r="F372" s="458"/>
      <c r="G372" s="458"/>
      <c r="H372" s="458"/>
      <c r="I372" s="458"/>
      <c r="J372" s="458"/>
      <c r="K372" s="458"/>
      <c r="L372" s="458"/>
      <c r="M372" s="458"/>
      <c r="N372" s="458"/>
      <c r="O372" s="443"/>
      <c r="P372" s="447"/>
    </row>
    <row r="373" spans="1:16" s="444" customFormat="1" ht="15">
      <c r="A373" s="443"/>
      <c r="B373" s="443"/>
      <c r="C373" s="443"/>
      <c r="D373" s="443"/>
      <c r="E373" s="458"/>
      <c r="F373" s="458"/>
      <c r="G373" s="458"/>
      <c r="H373" s="458"/>
      <c r="I373" s="458"/>
      <c r="J373" s="458"/>
      <c r="K373" s="458"/>
      <c r="L373" s="458"/>
      <c r="M373" s="458"/>
      <c r="N373" s="458"/>
      <c r="O373" s="443"/>
      <c r="P373" s="447"/>
    </row>
    <row r="374" spans="1:16" s="444" customFormat="1" ht="15">
      <c r="A374" s="443"/>
      <c r="B374" s="443"/>
      <c r="C374" s="443"/>
      <c r="D374" s="443"/>
      <c r="E374" s="458"/>
      <c r="F374" s="458"/>
      <c r="G374" s="458"/>
      <c r="H374" s="458"/>
      <c r="I374" s="458"/>
      <c r="J374" s="458"/>
      <c r="K374" s="458"/>
      <c r="L374" s="458"/>
      <c r="M374" s="458"/>
      <c r="N374" s="458"/>
      <c r="O374" s="443"/>
      <c r="P374" s="447"/>
    </row>
    <row r="375" spans="1:16" s="444" customFormat="1" ht="15">
      <c r="A375" s="443"/>
      <c r="B375" s="443"/>
      <c r="C375" s="443"/>
      <c r="D375" s="443"/>
      <c r="E375" s="458"/>
      <c r="F375" s="458"/>
      <c r="G375" s="458"/>
      <c r="H375" s="458"/>
      <c r="I375" s="458"/>
      <c r="J375" s="458"/>
      <c r="K375" s="458"/>
      <c r="L375" s="458"/>
      <c r="M375" s="458"/>
      <c r="N375" s="458"/>
      <c r="O375" s="443"/>
      <c r="P375" s="447"/>
    </row>
    <row r="376" spans="1:16" s="444" customFormat="1" ht="15">
      <c r="A376" s="443"/>
      <c r="B376" s="443"/>
      <c r="C376" s="443"/>
      <c r="D376" s="443"/>
      <c r="E376" s="458"/>
      <c r="F376" s="458"/>
      <c r="G376" s="458"/>
      <c r="H376" s="458"/>
      <c r="I376" s="458"/>
      <c r="J376" s="458"/>
      <c r="K376" s="458"/>
      <c r="L376" s="458"/>
      <c r="M376" s="458"/>
      <c r="N376" s="458"/>
      <c r="O376" s="443"/>
      <c r="P376" s="447"/>
    </row>
    <row r="377" spans="1:16" s="444" customFormat="1" ht="15">
      <c r="A377" s="443"/>
      <c r="B377" s="443"/>
      <c r="C377" s="443"/>
      <c r="D377" s="443"/>
      <c r="E377" s="458"/>
      <c r="F377" s="458"/>
      <c r="G377" s="458"/>
      <c r="H377" s="458"/>
      <c r="I377" s="458"/>
      <c r="J377" s="458"/>
      <c r="K377" s="458"/>
      <c r="L377" s="458"/>
      <c r="M377" s="458"/>
      <c r="N377" s="458"/>
      <c r="O377" s="443"/>
      <c r="P377" s="447"/>
    </row>
    <row r="378" spans="1:16" s="444" customFormat="1" ht="15">
      <c r="A378" s="443"/>
      <c r="B378" s="443"/>
      <c r="C378" s="443"/>
      <c r="D378" s="443"/>
      <c r="E378" s="458"/>
      <c r="F378" s="458"/>
      <c r="G378" s="458"/>
      <c r="H378" s="458"/>
      <c r="I378" s="458"/>
      <c r="J378" s="458"/>
      <c r="K378" s="458"/>
      <c r="L378" s="458"/>
      <c r="M378" s="458"/>
      <c r="N378" s="458"/>
      <c r="O378" s="443"/>
      <c r="P378" s="447"/>
    </row>
    <row r="379" spans="1:16" s="444" customFormat="1" ht="15">
      <c r="A379" s="443"/>
      <c r="B379" s="443"/>
      <c r="C379" s="443"/>
      <c r="D379" s="443"/>
      <c r="E379" s="458"/>
      <c r="F379" s="458"/>
      <c r="G379" s="458"/>
      <c r="H379" s="458"/>
      <c r="I379" s="458"/>
      <c r="J379" s="458"/>
      <c r="K379" s="458"/>
      <c r="L379" s="458"/>
      <c r="M379" s="458"/>
      <c r="N379" s="458"/>
      <c r="O379" s="443"/>
      <c r="P379" s="447"/>
    </row>
    <row r="380" spans="1:16" s="444" customFormat="1" ht="15">
      <c r="A380" s="443"/>
      <c r="B380" s="443"/>
      <c r="C380" s="443"/>
      <c r="D380" s="443"/>
      <c r="E380" s="458"/>
      <c r="F380" s="458"/>
      <c r="G380" s="458"/>
      <c r="H380" s="458"/>
      <c r="I380" s="458"/>
      <c r="J380" s="458"/>
      <c r="K380" s="458"/>
      <c r="L380" s="458"/>
      <c r="M380" s="458"/>
      <c r="N380" s="458"/>
      <c r="O380" s="443"/>
      <c r="P380" s="447"/>
    </row>
    <row r="381" spans="1:16" s="444" customFormat="1" ht="15">
      <c r="A381" s="443"/>
      <c r="B381" s="443"/>
      <c r="C381" s="443"/>
      <c r="D381" s="443"/>
      <c r="E381" s="458"/>
      <c r="F381" s="458"/>
      <c r="G381" s="458"/>
      <c r="H381" s="458"/>
      <c r="I381" s="458"/>
      <c r="J381" s="458"/>
      <c r="K381" s="458"/>
      <c r="L381" s="458"/>
      <c r="M381" s="458"/>
      <c r="N381" s="458"/>
      <c r="O381" s="443"/>
      <c r="P381" s="447"/>
    </row>
    <row r="382" spans="1:16" s="444" customFormat="1" ht="15">
      <c r="A382" s="443"/>
      <c r="B382" s="443"/>
      <c r="C382" s="443"/>
      <c r="D382" s="443"/>
      <c r="E382" s="458"/>
      <c r="F382" s="458"/>
      <c r="G382" s="458"/>
      <c r="H382" s="458"/>
      <c r="I382" s="458"/>
      <c r="J382" s="458"/>
      <c r="K382" s="458"/>
      <c r="L382" s="458"/>
      <c r="M382" s="458"/>
      <c r="N382" s="458"/>
      <c r="O382" s="443"/>
      <c r="P382" s="447"/>
    </row>
    <row r="383" spans="1:16" s="444" customFormat="1" ht="15">
      <c r="A383" s="443"/>
      <c r="B383" s="443"/>
      <c r="C383" s="443"/>
      <c r="D383" s="443"/>
      <c r="E383" s="458"/>
      <c r="F383" s="458"/>
      <c r="G383" s="458"/>
      <c r="H383" s="458"/>
      <c r="I383" s="458"/>
      <c r="J383" s="458"/>
      <c r="K383" s="458"/>
      <c r="L383" s="458"/>
      <c r="M383" s="458"/>
      <c r="N383" s="458"/>
      <c r="O383" s="443"/>
      <c r="P383" s="447"/>
    </row>
    <row r="384" spans="1:16" s="444" customFormat="1" ht="15">
      <c r="A384" s="443"/>
      <c r="B384" s="443"/>
      <c r="C384" s="443"/>
      <c r="D384" s="443"/>
      <c r="E384" s="458"/>
      <c r="F384" s="458"/>
      <c r="G384" s="458"/>
      <c r="H384" s="458"/>
      <c r="I384" s="458"/>
      <c r="J384" s="458"/>
      <c r="K384" s="458"/>
      <c r="L384" s="458"/>
      <c r="M384" s="458"/>
      <c r="N384" s="458"/>
      <c r="O384" s="443"/>
      <c r="P384" s="447"/>
    </row>
    <row r="385" spans="1:16" s="444" customFormat="1" ht="15">
      <c r="A385" s="443"/>
      <c r="B385" s="443"/>
      <c r="C385" s="443"/>
      <c r="D385" s="443"/>
      <c r="E385" s="458"/>
      <c r="F385" s="458"/>
      <c r="G385" s="458"/>
      <c r="H385" s="458"/>
      <c r="I385" s="458"/>
      <c r="J385" s="458"/>
      <c r="K385" s="458"/>
      <c r="L385" s="458"/>
      <c r="M385" s="458"/>
      <c r="N385" s="458"/>
      <c r="O385" s="443"/>
      <c r="P385" s="447"/>
    </row>
    <row r="386" spans="1:16" s="444" customFormat="1" ht="15">
      <c r="A386" s="443"/>
      <c r="B386" s="443"/>
      <c r="C386" s="443"/>
      <c r="D386" s="443"/>
      <c r="E386" s="458"/>
      <c r="F386" s="458"/>
      <c r="G386" s="458"/>
      <c r="H386" s="458"/>
      <c r="I386" s="458"/>
      <c r="J386" s="458"/>
      <c r="K386" s="458"/>
      <c r="L386" s="458"/>
      <c r="M386" s="458"/>
      <c r="N386" s="458"/>
      <c r="O386" s="443"/>
      <c r="P386" s="447"/>
    </row>
    <row r="387" spans="1:16" s="444" customFormat="1" ht="15">
      <c r="A387" s="443"/>
      <c r="B387" s="443"/>
      <c r="C387" s="443"/>
      <c r="D387" s="443"/>
      <c r="E387" s="458"/>
      <c r="F387" s="458"/>
      <c r="G387" s="458"/>
      <c r="H387" s="458"/>
      <c r="I387" s="458"/>
      <c r="J387" s="458"/>
      <c r="K387" s="458"/>
      <c r="L387" s="458"/>
      <c r="M387" s="458"/>
      <c r="N387" s="458"/>
      <c r="O387" s="443"/>
      <c r="P387" s="447"/>
    </row>
    <row r="388" spans="1:16" s="444" customFormat="1" ht="15">
      <c r="A388" s="443"/>
      <c r="B388" s="443"/>
      <c r="C388" s="443"/>
      <c r="D388" s="443"/>
      <c r="E388" s="458"/>
      <c r="F388" s="458"/>
      <c r="G388" s="458"/>
      <c r="H388" s="458"/>
      <c r="I388" s="458"/>
      <c r="J388" s="458"/>
      <c r="K388" s="458"/>
      <c r="L388" s="458"/>
      <c r="M388" s="458"/>
      <c r="N388" s="458"/>
      <c r="O388" s="443"/>
      <c r="P388" s="447"/>
    </row>
    <row r="389" spans="1:16" s="444" customFormat="1" ht="15">
      <c r="A389" s="443"/>
      <c r="B389" s="443"/>
      <c r="C389" s="443"/>
      <c r="D389" s="443"/>
      <c r="E389" s="458"/>
      <c r="F389" s="458"/>
      <c r="G389" s="458"/>
      <c r="H389" s="458"/>
      <c r="I389" s="458"/>
      <c r="J389" s="458"/>
      <c r="K389" s="458"/>
      <c r="L389" s="458"/>
      <c r="M389" s="458"/>
      <c r="N389" s="458"/>
      <c r="O389" s="443"/>
      <c r="P389" s="447"/>
    </row>
    <row r="390" spans="1:16" s="444" customFormat="1" ht="15">
      <c r="A390" s="443"/>
      <c r="B390" s="443"/>
      <c r="C390" s="443"/>
      <c r="D390" s="443"/>
      <c r="E390" s="458"/>
      <c r="F390" s="458"/>
      <c r="G390" s="458"/>
      <c r="H390" s="458"/>
      <c r="I390" s="458"/>
      <c r="J390" s="458"/>
      <c r="K390" s="458"/>
      <c r="L390" s="458"/>
      <c r="M390" s="458"/>
      <c r="N390" s="458"/>
      <c r="O390" s="443"/>
      <c r="P390" s="447"/>
    </row>
    <row r="391" spans="1:16" s="444" customFormat="1" ht="15">
      <c r="A391" s="443"/>
      <c r="B391" s="443"/>
      <c r="C391" s="443"/>
      <c r="D391" s="443"/>
      <c r="E391" s="458"/>
      <c r="F391" s="458"/>
      <c r="G391" s="458"/>
      <c r="H391" s="458"/>
      <c r="I391" s="458"/>
      <c r="J391" s="458"/>
      <c r="K391" s="458"/>
      <c r="L391" s="458"/>
      <c r="M391" s="458"/>
      <c r="N391" s="458"/>
      <c r="O391" s="443"/>
      <c r="P391" s="447"/>
    </row>
    <row r="392" spans="1:16" s="444" customFormat="1" ht="15">
      <c r="A392" s="443"/>
      <c r="B392" s="443"/>
      <c r="C392" s="443"/>
      <c r="D392" s="443"/>
      <c r="E392" s="458"/>
      <c r="F392" s="458"/>
      <c r="G392" s="458"/>
      <c r="H392" s="458"/>
      <c r="I392" s="458"/>
      <c r="J392" s="458"/>
      <c r="K392" s="458"/>
      <c r="L392" s="458"/>
      <c r="M392" s="458"/>
      <c r="N392" s="458"/>
      <c r="O392" s="443"/>
      <c r="P392" s="447"/>
    </row>
    <row r="393" spans="1:16" s="444" customFormat="1" ht="15">
      <c r="A393" s="443"/>
      <c r="B393" s="443"/>
      <c r="C393" s="443"/>
      <c r="D393" s="443"/>
      <c r="E393" s="458"/>
      <c r="F393" s="458"/>
      <c r="G393" s="458"/>
      <c r="H393" s="458"/>
      <c r="I393" s="458"/>
      <c r="J393" s="458"/>
      <c r="K393" s="458"/>
      <c r="L393" s="458"/>
      <c r="M393" s="458"/>
      <c r="N393" s="458"/>
      <c r="O393" s="443"/>
      <c r="P393" s="447"/>
    </row>
    <row r="394" spans="1:16" s="444" customFormat="1" ht="15">
      <c r="A394" s="443"/>
      <c r="B394" s="443"/>
      <c r="C394" s="443"/>
      <c r="D394" s="443"/>
      <c r="E394" s="458"/>
      <c r="F394" s="458"/>
      <c r="G394" s="458"/>
      <c r="H394" s="458"/>
      <c r="I394" s="458"/>
      <c r="J394" s="458"/>
      <c r="K394" s="458"/>
      <c r="L394" s="458"/>
      <c r="M394" s="458"/>
      <c r="N394" s="458"/>
      <c r="O394" s="443"/>
      <c r="P394" s="447"/>
    </row>
    <row r="395" spans="1:16" s="444" customFormat="1" ht="15">
      <c r="A395" s="443"/>
      <c r="B395" s="443"/>
      <c r="C395" s="443"/>
      <c r="D395" s="443"/>
      <c r="E395" s="458"/>
      <c r="F395" s="458"/>
      <c r="G395" s="458"/>
      <c r="H395" s="458"/>
      <c r="I395" s="458"/>
      <c r="J395" s="458"/>
      <c r="K395" s="458"/>
      <c r="L395" s="458"/>
      <c r="M395" s="458"/>
      <c r="N395" s="458"/>
      <c r="O395" s="443"/>
      <c r="P395" s="447"/>
    </row>
    <row r="396" spans="1:16" s="444" customFormat="1" ht="15">
      <c r="A396" s="443"/>
      <c r="B396" s="443"/>
      <c r="C396" s="443"/>
      <c r="D396" s="443"/>
      <c r="E396" s="458"/>
      <c r="F396" s="458"/>
      <c r="G396" s="458"/>
      <c r="H396" s="458"/>
      <c r="I396" s="458"/>
      <c r="J396" s="458"/>
      <c r="K396" s="458"/>
      <c r="L396" s="458"/>
      <c r="M396" s="458"/>
      <c r="N396" s="458"/>
      <c r="O396" s="443"/>
      <c r="P396" s="447"/>
    </row>
    <row r="397" spans="1:16" s="444" customFormat="1" ht="15">
      <c r="A397" s="443"/>
      <c r="B397" s="443"/>
      <c r="C397" s="443"/>
      <c r="D397" s="443"/>
      <c r="E397" s="458"/>
      <c r="F397" s="458"/>
      <c r="G397" s="458"/>
      <c r="H397" s="458"/>
      <c r="I397" s="458"/>
      <c r="J397" s="458"/>
      <c r="K397" s="458"/>
      <c r="L397" s="458"/>
      <c r="M397" s="458"/>
      <c r="N397" s="458"/>
      <c r="O397" s="443"/>
      <c r="P397" s="447"/>
    </row>
    <row r="398" spans="1:16" s="444" customFormat="1" ht="15">
      <c r="A398" s="443"/>
      <c r="B398" s="443"/>
      <c r="C398" s="443"/>
      <c r="D398" s="443"/>
      <c r="E398" s="458"/>
      <c r="F398" s="458"/>
      <c r="G398" s="458"/>
      <c r="H398" s="458"/>
      <c r="I398" s="458"/>
      <c r="J398" s="458"/>
      <c r="K398" s="458"/>
      <c r="L398" s="458"/>
      <c r="M398" s="458"/>
      <c r="N398" s="458"/>
      <c r="O398" s="443"/>
      <c r="P398" s="447"/>
    </row>
    <row r="399" spans="1:16" s="444" customFormat="1" ht="15">
      <c r="A399" s="443"/>
      <c r="B399" s="443"/>
      <c r="C399" s="443"/>
      <c r="D399" s="443"/>
      <c r="E399" s="458"/>
      <c r="F399" s="458"/>
      <c r="G399" s="458"/>
      <c r="H399" s="458"/>
      <c r="I399" s="458"/>
      <c r="J399" s="458"/>
      <c r="K399" s="458"/>
      <c r="L399" s="458"/>
      <c r="M399" s="458"/>
      <c r="N399" s="458"/>
      <c r="O399" s="443"/>
      <c r="P399" s="447"/>
    </row>
    <row r="400" spans="1:16" s="444" customFormat="1" ht="15">
      <c r="A400" s="443"/>
      <c r="B400" s="443"/>
      <c r="C400" s="443"/>
      <c r="D400" s="443"/>
      <c r="E400" s="458"/>
      <c r="F400" s="458"/>
      <c r="G400" s="458"/>
      <c r="H400" s="458"/>
      <c r="I400" s="458"/>
      <c r="J400" s="458"/>
      <c r="K400" s="458"/>
      <c r="L400" s="458"/>
      <c r="M400" s="458"/>
      <c r="N400" s="458"/>
      <c r="O400" s="443"/>
      <c r="P400" s="447"/>
    </row>
    <row r="401" spans="1:16" s="444" customFormat="1" ht="15">
      <c r="A401" s="443"/>
      <c r="B401" s="443"/>
      <c r="C401" s="443"/>
      <c r="D401" s="443"/>
      <c r="E401" s="458"/>
      <c r="F401" s="458"/>
      <c r="G401" s="458"/>
      <c r="H401" s="458"/>
      <c r="I401" s="458"/>
      <c r="J401" s="458"/>
      <c r="K401" s="458"/>
      <c r="L401" s="458"/>
      <c r="M401" s="458"/>
      <c r="N401" s="458"/>
      <c r="O401" s="443"/>
      <c r="P401" s="447"/>
    </row>
    <row r="402" spans="1:16" s="444" customFormat="1" ht="15">
      <c r="A402" s="443"/>
      <c r="B402" s="443"/>
      <c r="C402" s="443"/>
      <c r="D402" s="443"/>
      <c r="E402" s="458"/>
      <c r="F402" s="458"/>
      <c r="G402" s="458"/>
      <c r="H402" s="458"/>
      <c r="I402" s="458"/>
      <c r="J402" s="458"/>
      <c r="K402" s="458"/>
      <c r="L402" s="458"/>
      <c r="M402" s="458"/>
      <c r="N402" s="458"/>
      <c r="O402" s="443"/>
      <c r="P402" s="447"/>
    </row>
    <row r="403" spans="1:16" s="444" customFormat="1" ht="15">
      <c r="A403" s="443"/>
      <c r="B403" s="443"/>
      <c r="C403" s="443"/>
      <c r="D403" s="443"/>
      <c r="E403" s="458"/>
      <c r="F403" s="458"/>
      <c r="G403" s="458"/>
      <c r="H403" s="458"/>
      <c r="I403" s="458"/>
      <c r="J403" s="458"/>
      <c r="K403" s="458"/>
      <c r="L403" s="458"/>
      <c r="M403" s="458"/>
      <c r="N403" s="458"/>
      <c r="O403" s="443"/>
      <c r="P403" s="447"/>
    </row>
    <row r="404" spans="1:16" s="444" customFormat="1" ht="15">
      <c r="A404" s="443"/>
      <c r="B404" s="443"/>
      <c r="C404" s="443"/>
      <c r="D404" s="443"/>
      <c r="E404" s="458"/>
      <c r="F404" s="458"/>
      <c r="G404" s="458"/>
      <c r="H404" s="458"/>
      <c r="I404" s="458"/>
      <c r="J404" s="458"/>
      <c r="K404" s="458"/>
      <c r="L404" s="458"/>
      <c r="M404" s="458"/>
      <c r="N404" s="458"/>
      <c r="O404" s="443"/>
      <c r="P404" s="447"/>
    </row>
    <row r="405" spans="1:16" s="444" customFormat="1" ht="15">
      <c r="A405" s="443"/>
      <c r="B405" s="443"/>
      <c r="C405" s="443"/>
      <c r="D405" s="443"/>
      <c r="E405" s="458"/>
      <c r="F405" s="458"/>
      <c r="G405" s="458"/>
      <c r="H405" s="458"/>
      <c r="I405" s="458"/>
      <c r="J405" s="458"/>
      <c r="K405" s="458"/>
      <c r="L405" s="458"/>
      <c r="M405" s="458"/>
      <c r="N405" s="458"/>
      <c r="O405" s="443"/>
      <c r="P405" s="447"/>
    </row>
    <row r="406" spans="1:16" s="444" customFormat="1" ht="15">
      <c r="A406" s="443"/>
      <c r="B406" s="443"/>
      <c r="C406" s="443"/>
      <c r="D406" s="443"/>
      <c r="E406" s="458"/>
      <c r="F406" s="458"/>
      <c r="G406" s="458"/>
      <c r="H406" s="458"/>
      <c r="I406" s="458"/>
      <c r="J406" s="458"/>
      <c r="K406" s="458"/>
      <c r="L406" s="458"/>
      <c r="M406" s="458"/>
      <c r="N406" s="458"/>
      <c r="O406" s="443"/>
      <c r="P406" s="447"/>
    </row>
    <row r="407" spans="1:16" s="444" customFormat="1" ht="15">
      <c r="A407" s="443"/>
      <c r="B407" s="443"/>
      <c r="C407" s="443"/>
      <c r="D407" s="443"/>
      <c r="E407" s="458"/>
      <c r="F407" s="458"/>
      <c r="G407" s="458"/>
      <c r="H407" s="458"/>
      <c r="I407" s="458"/>
      <c r="J407" s="458"/>
      <c r="K407" s="458"/>
      <c r="L407" s="458"/>
      <c r="M407" s="458"/>
      <c r="N407" s="458"/>
      <c r="O407" s="443"/>
      <c r="P407" s="447"/>
    </row>
    <row r="408" spans="1:16" s="444" customFormat="1" ht="15">
      <c r="A408" s="443"/>
      <c r="B408" s="443"/>
      <c r="C408" s="443"/>
      <c r="D408" s="443"/>
      <c r="E408" s="458"/>
      <c r="F408" s="458"/>
      <c r="G408" s="458"/>
      <c r="H408" s="458"/>
      <c r="I408" s="458"/>
      <c r="J408" s="458"/>
      <c r="K408" s="458"/>
      <c r="L408" s="458"/>
      <c r="M408" s="458"/>
      <c r="N408" s="458"/>
      <c r="O408" s="443"/>
      <c r="P408" s="447"/>
    </row>
    <row r="409" spans="1:16" s="444" customFormat="1" ht="15">
      <c r="A409" s="443"/>
      <c r="B409" s="443"/>
      <c r="C409" s="443"/>
      <c r="D409" s="443"/>
      <c r="E409" s="458"/>
      <c r="F409" s="458"/>
      <c r="G409" s="458"/>
      <c r="H409" s="458"/>
      <c r="I409" s="458"/>
      <c r="J409" s="458"/>
      <c r="K409" s="458"/>
      <c r="L409" s="458"/>
      <c r="M409" s="458"/>
      <c r="N409" s="458"/>
      <c r="O409" s="443"/>
      <c r="P409" s="447"/>
    </row>
    <row r="410" spans="1:16" s="444" customFormat="1" ht="15">
      <c r="A410" s="443"/>
      <c r="B410" s="443"/>
      <c r="C410" s="443"/>
      <c r="D410" s="443"/>
      <c r="E410" s="458"/>
      <c r="F410" s="458"/>
      <c r="G410" s="458"/>
      <c r="H410" s="458"/>
      <c r="I410" s="458"/>
      <c r="J410" s="458"/>
      <c r="K410" s="458"/>
      <c r="L410" s="458"/>
      <c r="M410" s="458"/>
      <c r="N410" s="458"/>
      <c r="O410" s="443"/>
      <c r="P410" s="447"/>
    </row>
    <row r="411" spans="1:16" s="444" customFormat="1" ht="15">
      <c r="A411" s="443"/>
      <c r="B411" s="443"/>
      <c r="C411" s="443"/>
      <c r="D411" s="443"/>
      <c r="E411" s="458"/>
      <c r="F411" s="458"/>
      <c r="G411" s="458"/>
      <c r="H411" s="458"/>
      <c r="I411" s="458"/>
      <c r="J411" s="458"/>
      <c r="K411" s="458"/>
      <c r="L411" s="458"/>
      <c r="M411" s="458"/>
      <c r="N411" s="458"/>
      <c r="O411" s="443"/>
      <c r="P411" s="447"/>
    </row>
    <row r="412" spans="1:16" s="444" customFormat="1" ht="15">
      <c r="A412" s="443"/>
      <c r="B412" s="443"/>
      <c r="C412" s="443"/>
      <c r="D412" s="443"/>
      <c r="E412" s="458"/>
      <c r="F412" s="458"/>
      <c r="G412" s="458"/>
      <c r="H412" s="458"/>
      <c r="I412" s="458"/>
      <c r="J412" s="458"/>
      <c r="K412" s="458"/>
      <c r="L412" s="458"/>
      <c r="M412" s="458"/>
      <c r="N412" s="458"/>
      <c r="O412" s="443"/>
      <c r="P412" s="447"/>
    </row>
    <row r="413" spans="1:16" s="444" customFormat="1" ht="15">
      <c r="A413" s="443"/>
      <c r="B413" s="443"/>
      <c r="C413" s="443"/>
      <c r="D413" s="443"/>
      <c r="E413" s="458"/>
      <c r="F413" s="458"/>
      <c r="G413" s="458"/>
      <c r="H413" s="458"/>
      <c r="I413" s="458"/>
      <c r="J413" s="458"/>
      <c r="K413" s="458"/>
      <c r="L413" s="458"/>
      <c r="M413" s="458"/>
      <c r="N413" s="458"/>
      <c r="O413" s="443"/>
      <c r="P413" s="447"/>
    </row>
    <row r="414" spans="1:16" s="444" customFormat="1" ht="15">
      <c r="A414" s="443"/>
      <c r="B414" s="443"/>
      <c r="C414" s="443"/>
      <c r="D414" s="443"/>
      <c r="E414" s="458"/>
      <c r="F414" s="458"/>
      <c r="G414" s="458"/>
      <c r="H414" s="458"/>
      <c r="I414" s="458"/>
      <c r="J414" s="458"/>
      <c r="K414" s="458"/>
      <c r="L414" s="458"/>
      <c r="M414" s="458"/>
      <c r="N414" s="458"/>
      <c r="O414" s="443"/>
      <c r="P414" s="447"/>
    </row>
    <row r="415" spans="1:16" s="444" customFormat="1" ht="15">
      <c r="A415" s="443"/>
      <c r="B415" s="443"/>
      <c r="C415" s="443"/>
      <c r="D415" s="443"/>
      <c r="E415" s="458"/>
      <c r="F415" s="458"/>
      <c r="G415" s="458"/>
      <c r="H415" s="458"/>
      <c r="I415" s="458"/>
      <c r="J415" s="458"/>
      <c r="K415" s="458"/>
      <c r="L415" s="458"/>
      <c r="M415" s="458"/>
      <c r="N415" s="458"/>
      <c r="O415" s="443"/>
      <c r="P415" s="447"/>
    </row>
    <row r="416" spans="1:16" s="444" customFormat="1" ht="15">
      <c r="A416" s="443"/>
      <c r="B416" s="443"/>
      <c r="C416" s="443"/>
      <c r="D416" s="443"/>
      <c r="E416" s="458"/>
      <c r="F416" s="458"/>
      <c r="G416" s="458"/>
      <c r="H416" s="458"/>
      <c r="I416" s="458"/>
      <c r="J416" s="458"/>
      <c r="K416" s="458"/>
      <c r="L416" s="458"/>
      <c r="M416" s="458"/>
      <c r="N416" s="458"/>
      <c r="O416" s="443"/>
      <c r="P416" s="447"/>
    </row>
    <row r="417" spans="1:16" s="444" customFormat="1" ht="15">
      <c r="A417" s="443"/>
      <c r="B417" s="443"/>
      <c r="C417" s="443"/>
      <c r="D417" s="443"/>
      <c r="E417" s="458"/>
      <c r="F417" s="458"/>
      <c r="G417" s="458"/>
      <c r="H417" s="458"/>
      <c r="I417" s="458"/>
      <c r="J417" s="458"/>
      <c r="K417" s="458"/>
      <c r="L417" s="458"/>
      <c r="M417" s="458"/>
      <c r="N417" s="458"/>
      <c r="O417" s="443"/>
      <c r="P417" s="447"/>
    </row>
    <row r="418" spans="1:16" s="444" customFormat="1" ht="15">
      <c r="A418" s="443"/>
      <c r="B418" s="443"/>
      <c r="C418" s="443"/>
      <c r="D418" s="443"/>
      <c r="E418" s="458"/>
      <c r="F418" s="458"/>
      <c r="G418" s="458"/>
      <c r="H418" s="458"/>
      <c r="I418" s="458"/>
      <c r="J418" s="458"/>
      <c r="K418" s="458"/>
      <c r="L418" s="458"/>
      <c r="M418" s="458"/>
      <c r="N418" s="458"/>
      <c r="O418" s="443"/>
      <c r="P418" s="447"/>
    </row>
    <row r="419" spans="1:16" s="444" customFormat="1" ht="15">
      <c r="A419" s="443"/>
      <c r="B419" s="443"/>
      <c r="C419" s="443"/>
      <c r="D419" s="443"/>
      <c r="E419" s="458"/>
      <c r="F419" s="458"/>
      <c r="G419" s="458"/>
      <c r="H419" s="458"/>
      <c r="I419" s="458"/>
      <c r="J419" s="458"/>
      <c r="K419" s="458"/>
      <c r="L419" s="458"/>
      <c r="M419" s="458"/>
      <c r="N419" s="458"/>
      <c r="O419" s="443"/>
      <c r="P419" s="447"/>
    </row>
    <row r="420" spans="1:16" s="444" customFormat="1" ht="15">
      <c r="A420" s="443"/>
      <c r="B420" s="443"/>
      <c r="C420" s="443"/>
      <c r="D420" s="443"/>
      <c r="E420" s="458"/>
      <c r="F420" s="458"/>
      <c r="G420" s="458"/>
      <c r="H420" s="458"/>
      <c r="I420" s="458"/>
      <c r="J420" s="458"/>
      <c r="K420" s="458"/>
      <c r="L420" s="458"/>
      <c r="M420" s="458"/>
      <c r="N420" s="458"/>
      <c r="O420" s="443"/>
      <c r="P420" s="447"/>
    </row>
    <row r="421" spans="1:16" s="444" customFormat="1" ht="15">
      <c r="A421" s="443"/>
      <c r="B421" s="443"/>
      <c r="C421" s="443"/>
      <c r="D421" s="443"/>
      <c r="E421" s="458"/>
      <c r="F421" s="458"/>
      <c r="G421" s="458"/>
      <c r="H421" s="458"/>
      <c r="I421" s="458"/>
      <c r="J421" s="458"/>
      <c r="K421" s="458"/>
      <c r="L421" s="458"/>
      <c r="M421" s="458"/>
      <c r="N421" s="458"/>
      <c r="O421" s="443"/>
      <c r="P421" s="447"/>
    </row>
    <row r="422" spans="1:16" s="444" customFormat="1" ht="15">
      <c r="A422" s="443"/>
      <c r="B422" s="443"/>
      <c r="C422" s="443"/>
      <c r="D422" s="443"/>
      <c r="E422" s="458"/>
      <c r="F422" s="458"/>
      <c r="G422" s="458"/>
      <c r="H422" s="458"/>
      <c r="I422" s="458"/>
      <c r="J422" s="458"/>
      <c r="K422" s="458"/>
      <c r="L422" s="458"/>
      <c r="M422" s="458"/>
      <c r="N422" s="458"/>
      <c r="O422" s="443"/>
      <c r="P422" s="447"/>
    </row>
    <row r="423" spans="1:16" s="444" customFormat="1" ht="15">
      <c r="A423" s="443"/>
      <c r="B423" s="443"/>
      <c r="C423" s="443"/>
      <c r="D423" s="443"/>
      <c r="E423" s="458"/>
      <c r="F423" s="458"/>
      <c r="G423" s="458"/>
      <c r="H423" s="458"/>
      <c r="I423" s="458"/>
      <c r="J423" s="458"/>
      <c r="K423" s="458"/>
      <c r="L423" s="458"/>
      <c r="M423" s="458"/>
      <c r="N423" s="458"/>
      <c r="O423" s="443"/>
      <c r="P423" s="447"/>
    </row>
    <row r="424" spans="1:16" s="444" customFormat="1" ht="15">
      <c r="A424" s="443"/>
      <c r="B424" s="443"/>
      <c r="C424" s="443"/>
      <c r="D424" s="443"/>
      <c r="E424" s="458"/>
      <c r="F424" s="458"/>
      <c r="G424" s="458"/>
      <c r="H424" s="458"/>
      <c r="I424" s="458"/>
      <c r="J424" s="458"/>
      <c r="K424" s="458"/>
      <c r="L424" s="458"/>
      <c r="M424" s="458"/>
      <c r="N424" s="458"/>
      <c r="O424" s="443"/>
      <c r="P424" s="447"/>
    </row>
    <row r="425" spans="1:16" s="444" customFormat="1" ht="15">
      <c r="A425" s="443"/>
      <c r="B425" s="443"/>
      <c r="C425" s="443"/>
      <c r="D425" s="443"/>
      <c r="E425" s="458"/>
      <c r="F425" s="458"/>
      <c r="G425" s="458"/>
      <c r="H425" s="458"/>
      <c r="I425" s="458"/>
      <c r="J425" s="458"/>
      <c r="K425" s="458"/>
      <c r="L425" s="458"/>
      <c r="M425" s="458"/>
      <c r="N425" s="458"/>
      <c r="O425" s="443"/>
      <c r="P425" s="447"/>
    </row>
    <row r="426" spans="1:16" s="444" customFormat="1" ht="15">
      <c r="A426" s="443"/>
      <c r="B426" s="443"/>
      <c r="C426" s="443"/>
      <c r="D426" s="443"/>
      <c r="E426" s="458"/>
      <c r="F426" s="458"/>
      <c r="G426" s="458"/>
      <c r="H426" s="458"/>
      <c r="I426" s="458"/>
      <c r="J426" s="458"/>
      <c r="K426" s="458"/>
      <c r="L426" s="458"/>
      <c r="M426" s="458"/>
      <c r="N426" s="458"/>
      <c r="O426" s="443"/>
      <c r="P426" s="447"/>
    </row>
    <row r="427" spans="1:16" s="444" customFormat="1" ht="15">
      <c r="A427" s="443"/>
      <c r="B427" s="443"/>
      <c r="C427" s="443"/>
      <c r="D427" s="443"/>
      <c r="E427" s="458"/>
      <c r="F427" s="458"/>
      <c r="G427" s="458"/>
      <c r="H427" s="458"/>
      <c r="I427" s="458"/>
      <c r="J427" s="458"/>
      <c r="K427" s="458"/>
      <c r="L427" s="458"/>
      <c r="M427" s="458"/>
      <c r="N427" s="458"/>
      <c r="O427" s="443"/>
      <c r="P427" s="447"/>
    </row>
    <row r="428" spans="1:16" s="444" customFormat="1" ht="15">
      <c r="A428" s="443"/>
      <c r="B428" s="443"/>
      <c r="C428" s="443"/>
      <c r="D428" s="443"/>
      <c r="E428" s="458"/>
      <c r="F428" s="458"/>
      <c r="G428" s="458"/>
      <c r="H428" s="458"/>
      <c r="I428" s="458"/>
      <c r="J428" s="458"/>
      <c r="K428" s="458"/>
      <c r="L428" s="458"/>
      <c r="M428" s="458"/>
      <c r="N428" s="458"/>
      <c r="O428" s="443"/>
      <c r="P428" s="447"/>
    </row>
    <row r="429" spans="1:16" s="444" customFormat="1" ht="15">
      <c r="A429" s="443"/>
      <c r="B429" s="443"/>
      <c r="C429" s="443"/>
      <c r="D429" s="443"/>
      <c r="E429" s="458"/>
      <c r="F429" s="458"/>
      <c r="G429" s="458"/>
      <c r="H429" s="458"/>
      <c r="I429" s="458"/>
      <c r="J429" s="458"/>
      <c r="K429" s="458"/>
      <c r="L429" s="458"/>
      <c r="M429" s="458"/>
      <c r="N429" s="458"/>
      <c r="O429" s="443"/>
      <c r="P429" s="447"/>
    </row>
    <row r="430" spans="1:16" s="444" customFormat="1" ht="15">
      <c r="A430" s="443"/>
      <c r="B430" s="443"/>
      <c r="C430" s="443"/>
      <c r="D430" s="443"/>
      <c r="E430" s="458"/>
      <c r="F430" s="458"/>
      <c r="G430" s="458"/>
      <c r="H430" s="458"/>
      <c r="I430" s="458"/>
      <c r="J430" s="458"/>
      <c r="K430" s="458"/>
      <c r="L430" s="458"/>
      <c r="M430" s="458"/>
      <c r="N430" s="458"/>
      <c r="O430" s="443"/>
      <c r="P430" s="447"/>
    </row>
    <row r="431" spans="1:16" s="444" customFormat="1" ht="15">
      <c r="A431" s="443"/>
      <c r="B431" s="443"/>
      <c r="C431" s="443"/>
      <c r="D431" s="443"/>
      <c r="E431" s="458"/>
      <c r="F431" s="458"/>
      <c r="G431" s="458"/>
      <c r="H431" s="458"/>
      <c r="I431" s="458"/>
      <c r="J431" s="458"/>
      <c r="K431" s="458"/>
      <c r="L431" s="458"/>
      <c r="M431" s="458"/>
      <c r="N431" s="458"/>
      <c r="O431" s="443"/>
      <c r="P431" s="447"/>
    </row>
    <row r="432" spans="1:16" s="444" customFormat="1" ht="15">
      <c r="A432" s="443"/>
      <c r="B432" s="443"/>
      <c r="C432" s="443"/>
      <c r="D432" s="443"/>
      <c r="E432" s="458"/>
      <c r="F432" s="458"/>
      <c r="G432" s="458"/>
      <c r="H432" s="458"/>
      <c r="I432" s="458"/>
      <c r="J432" s="458"/>
      <c r="K432" s="458"/>
      <c r="L432" s="458"/>
      <c r="M432" s="458"/>
      <c r="N432" s="458"/>
      <c r="O432" s="443"/>
      <c r="P432" s="447"/>
    </row>
    <row r="433" spans="1:16" s="444" customFormat="1" ht="15">
      <c r="A433" s="443"/>
      <c r="B433" s="443"/>
      <c r="C433" s="443"/>
      <c r="D433" s="443"/>
      <c r="E433" s="458"/>
      <c r="F433" s="458"/>
      <c r="G433" s="458"/>
      <c r="H433" s="458"/>
      <c r="I433" s="458"/>
      <c r="J433" s="458"/>
      <c r="K433" s="458"/>
      <c r="L433" s="458"/>
      <c r="M433" s="458"/>
      <c r="N433" s="458"/>
      <c r="O433" s="443"/>
      <c r="P433" s="447"/>
    </row>
    <row r="434" spans="1:16" s="444" customFormat="1" ht="15">
      <c r="A434" s="443"/>
      <c r="B434" s="443"/>
      <c r="C434" s="443"/>
      <c r="D434" s="443"/>
      <c r="E434" s="458"/>
      <c r="F434" s="458"/>
      <c r="G434" s="458"/>
      <c r="H434" s="458"/>
      <c r="I434" s="458"/>
      <c r="J434" s="458"/>
      <c r="K434" s="458"/>
      <c r="L434" s="458"/>
      <c r="M434" s="458"/>
      <c r="N434" s="458"/>
      <c r="O434" s="443"/>
      <c r="P434" s="447"/>
    </row>
    <row r="435" spans="1:16" s="444" customFormat="1" ht="15">
      <c r="A435" s="443"/>
      <c r="B435" s="443"/>
      <c r="C435" s="443"/>
      <c r="D435" s="443"/>
      <c r="E435" s="458"/>
      <c r="F435" s="458"/>
      <c r="G435" s="458"/>
      <c r="H435" s="458"/>
      <c r="I435" s="458"/>
      <c r="J435" s="458"/>
      <c r="K435" s="458"/>
      <c r="L435" s="458"/>
      <c r="M435" s="458"/>
      <c r="N435" s="458"/>
      <c r="O435" s="443"/>
      <c r="P435" s="447"/>
    </row>
    <row r="436" spans="1:16" s="444" customFormat="1" ht="15">
      <c r="A436" s="443"/>
      <c r="B436" s="443"/>
      <c r="C436" s="443"/>
      <c r="D436" s="443"/>
      <c r="E436" s="458"/>
      <c r="F436" s="458"/>
      <c r="G436" s="458"/>
      <c r="H436" s="458"/>
      <c r="I436" s="458"/>
      <c r="J436" s="458"/>
      <c r="K436" s="458"/>
      <c r="L436" s="458"/>
      <c r="M436" s="458"/>
      <c r="N436" s="458"/>
      <c r="O436" s="443"/>
      <c r="P436" s="447"/>
    </row>
    <row r="437" spans="1:16" s="444" customFormat="1" ht="15">
      <c r="A437" s="443"/>
      <c r="B437" s="443"/>
      <c r="C437" s="443"/>
      <c r="D437" s="443"/>
      <c r="E437" s="458"/>
      <c r="F437" s="458"/>
      <c r="G437" s="458"/>
      <c r="H437" s="458"/>
      <c r="I437" s="458"/>
      <c r="J437" s="458"/>
      <c r="K437" s="458"/>
      <c r="L437" s="458"/>
      <c r="M437" s="458"/>
      <c r="N437" s="458"/>
      <c r="O437" s="443"/>
      <c r="P437" s="447"/>
    </row>
    <row r="438" spans="1:16" s="444" customFormat="1" ht="15">
      <c r="A438" s="443"/>
      <c r="B438" s="443"/>
      <c r="C438" s="443"/>
      <c r="D438" s="443"/>
      <c r="E438" s="458"/>
      <c r="F438" s="458"/>
      <c r="G438" s="458"/>
      <c r="H438" s="458"/>
      <c r="I438" s="458"/>
      <c r="J438" s="458"/>
      <c r="K438" s="458"/>
      <c r="L438" s="458"/>
      <c r="M438" s="458"/>
      <c r="N438" s="458"/>
      <c r="O438" s="443"/>
      <c r="P438" s="447"/>
    </row>
    <row r="439" spans="1:16" s="444" customFormat="1" ht="15">
      <c r="A439" s="443"/>
      <c r="B439" s="443"/>
      <c r="C439" s="443"/>
      <c r="D439" s="443"/>
      <c r="E439" s="458"/>
      <c r="F439" s="458"/>
      <c r="G439" s="458"/>
      <c r="H439" s="458"/>
      <c r="I439" s="458"/>
      <c r="J439" s="458"/>
      <c r="K439" s="458"/>
      <c r="L439" s="458"/>
      <c r="M439" s="458"/>
      <c r="N439" s="458"/>
      <c r="O439" s="443"/>
      <c r="P439" s="447"/>
    </row>
    <row r="440" spans="1:16" s="444" customFormat="1" ht="15">
      <c r="A440" s="443"/>
      <c r="B440" s="443"/>
      <c r="C440" s="443"/>
      <c r="D440" s="443"/>
      <c r="E440" s="458"/>
      <c r="F440" s="458"/>
      <c r="G440" s="458"/>
      <c r="H440" s="458"/>
      <c r="I440" s="458"/>
      <c r="J440" s="458"/>
      <c r="K440" s="458"/>
      <c r="L440" s="458"/>
      <c r="M440" s="458"/>
      <c r="N440" s="458"/>
      <c r="O440" s="443"/>
      <c r="P440" s="447"/>
    </row>
    <row r="441" spans="1:16" s="444" customFormat="1" ht="15">
      <c r="A441" s="443"/>
      <c r="B441" s="443"/>
      <c r="C441" s="443"/>
      <c r="D441" s="443"/>
      <c r="E441" s="458"/>
      <c r="F441" s="458"/>
      <c r="G441" s="458"/>
      <c r="H441" s="458"/>
      <c r="I441" s="458"/>
      <c r="J441" s="458"/>
      <c r="K441" s="458"/>
      <c r="L441" s="458"/>
      <c r="M441" s="458"/>
      <c r="N441" s="458"/>
      <c r="O441" s="443"/>
      <c r="P441" s="447"/>
    </row>
    <row r="442" spans="1:16" s="444" customFormat="1" ht="15">
      <c r="A442" s="443"/>
      <c r="B442" s="443"/>
      <c r="C442" s="443"/>
      <c r="D442" s="443"/>
      <c r="E442" s="458"/>
      <c r="F442" s="458"/>
      <c r="G442" s="458"/>
      <c r="H442" s="458"/>
      <c r="I442" s="458"/>
      <c r="J442" s="458"/>
      <c r="K442" s="458"/>
      <c r="L442" s="458"/>
      <c r="M442" s="458"/>
      <c r="N442" s="458"/>
      <c r="O442" s="443"/>
      <c r="P442" s="447"/>
    </row>
    <row r="443" spans="1:16" s="444" customFormat="1" ht="15">
      <c r="A443" s="443"/>
      <c r="B443" s="443"/>
      <c r="C443" s="443"/>
      <c r="D443" s="443"/>
      <c r="E443" s="458"/>
      <c r="F443" s="458"/>
      <c r="G443" s="458"/>
      <c r="H443" s="458"/>
      <c r="I443" s="458"/>
      <c r="J443" s="458"/>
      <c r="K443" s="458"/>
      <c r="L443" s="458"/>
      <c r="M443" s="458"/>
      <c r="N443" s="458"/>
      <c r="O443" s="443"/>
      <c r="P443" s="447"/>
    </row>
    <row r="444" spans="1:16" s="444" customFormat="1" ht="15">
      <c r="A444" s="443"/>
      <c r="B444" s="443"/>
      <c r="C444" s="443"/>
      <c r="D444" s="443"/>
      <c r="E444" s="458"/>
      <c r="F444" s="458"/>
      <c r="G444" s="458"/>
      <c r="H444" s="458"/>
      <c r="I444" s="458"/>
      <c r="J444" s="458"/>
      <c r="K444" s="458"/>
      <c r="L444" s="458"/>
      <c r="M444" s="458"/>
      <c r="N444" s="458"/>
      <c r="O444" s="443"/>
      <c r="P444" s="447"/>
    </row>
    <row r="445" spans="1:16" s="444" customFormat="1" ht="15">
      <c r="A445" s="443"/>
      <c r="B445" s="443"/>
      <c r="C445" s="443"/>
      <c r="D445" s="443"/>
      <c r="E445" s="458"/>
      <c r="F445" s="458"/>
      <c r="G445" s="458"/>
      <c r="H445" s="458"/>
      <c r="I445" s="458"/>
      <c r="J445" s="458"/>
      <c r="K445" s="458"/>
      <c r="L445" s="458"/>
      <c r="M445" s="458"/>
      <c r="N445" s="458"/>
      <c r="O445" s="443"/>
      <c r="P445" s="447"/>
    </row>
    <row r="446" spans="1:16" s="444" customFormat="1" ht="15">
      <c r="A446" s="443"/>
      <c r="B446" s="443"/>
      <c r="C446" s="443"/>
      <c r="D446" s="443"/>
      <c r="E446" s="458"/>
      <c r="F446" s="458"/>
      <c r="G446" s="458"/>
      <c r="H446" s="458"/>
      <c r="I446" s="458"/>
      <c r="J446" s="458"/>
      <c r="K446" s="458"/>
      <c r="L446" s="458"/>
      <c r="M446" s="458"/>
      <c r="N446" s="458"/>
      <c r="O446" s="443"/>
      <c r="P446" s="447"/>
    </row>
    <row r="447" spans="1:16" s="444" customFormat="1" ht="15">
      <c r="A447" s="443"/>
      <c r="B447" s="443"/>
      <c r="C447" s="443"/>
      <c r="D447" s="443"/>
      <c r="E447" s="458"/>
      <c r="F447" s="458"/>
      <c r="G447" s="458"/>
      <c r="H447" s="458"/>
      <c r="I447" s="458"/>
      <c r="J447" s="458"/>
      <c r="K447" s="458"/>
      <c r="L447" s="458"/>
      <c r="M447" s="458"/>
      <c r="N447" s="458"/>
      <c r="O447" s="443"/>
      <c r="P447" s="447"/>
    </row>
    <row r="448" spans="1:16" s="444" customFormat="1" ht="15">
      <c r="A448" s="443"/>
      <c r="B448" s="443"/>
      <c r="C448" s="443"/>
      <c r="D448" s="443"/>
      <c r="E448" s="458"/>
      <c r="F448" s="458"/>
      <c r="G448" s="458"/>
      <c r="H448" s="458"/>
      <c r="I448" s="458"/>
      <c r="J448" s="458"/>
      <c r="K448" s="458"/>
      <c r="L448" s="458"/>
      <c r="M448" s="458"/>
      <c r="N448" s="458"/>
      <c r="O448" s="443"/>
      <c r="P448" s="447"/>
    </row>
    <row r="449" spans="1:16" s="444" customFormat="1" ht="15">
      <c r="A449" s="443"/>
      <c r="B449" s="443"/>
      <c r="C449" s="443"/>
      <c r="D449" s="443"/>
      <c r="E449" s="458"/>
      <c r="F449" s="458"/>
      <c r="G449" s="458"/>
      <c r="H449" s="458"/>
      <c r="I449" s="458"/>
      <c r="J449" s="458"/>
      <c r="K449" s="458"/>
      <c r="L449" s="458"/>
      <c r="M449" s="458"/>
      <c r="N449" s="458"/>
      <c r="O449" s="443"/>
      <c r="P449" s="447"/>
    </row>
    <row r="450" spans="1:16" s="444" customFormat="1" ht="15">
      <c r="A450" s="443"/>
      <c r="B450" s="443"/>
      <c r="C450" s="443"/>
      <c r="D450" s="443"/>
      <c r="E450" s="458"/>
      <c r="F450" s="458"/>
      <c r="G450" s="458"/>
      <c r="H450" s="458"/>
      <c r="I450" s="458"/>
      <c r="J450" s="458"/>
      <c r="K450" s="458"/>
      <c r="L450" s="458"/>
      <c r="M450" s="458"/>
      <c r="N450" s="458"/>
      <c r="O450" s="443"/>
      <c r="P450" s="447"/>
    </row>
    <row r="451" spans="1:16" s="444" customFormat="1" ht="15">
      <c r="A451" s="443"/>
      <c r="B451" s="443"/>
      <c r="C451" s="443"/>
      <c r="D451" s="443"/>
      <c r="E451" s="458"/>
      <c r="F451" s="458"/>
      <c r="G451" s="458"/>
      <c r="H451" s="458"/>
      <c r="I451" s="458"/>
      <c r="J451" s="458"/>
      <c r="K451" s="458"/>
      <c r="L451" s="458"/>
      <c r="M451" s="458"/>
      <c r="N451" s="458"/>
      <c r="O451" s="443"/>
      <c r="P451" s="447"/>
    </row>
    <row r="452" spans="1:16" s="444" customFormat="1" ht="15">
      <c r="A452" s="443"/>
      <c r="B452" s="443"/>
      <c r="C452" s="443"/>
      <c r="D452" s="443"/>
      <c r="E452" s="458"/>
      <c r="F452" s="458"/>
      <c r="G452" s="458"/>
      <c r="H452" s="458"/>
      <c r="I452" s="458"/>
      <c r="J452" s="458"/>
      <c r="K452" s="458"/>
      <c r="L452" s="458"/>
      <c r="M452" s="458"/>
      <c r="N452" s="458"/>
      <c r="O452" s="443"/>
      <c r="P452" s="447"/>
    </row>
    <row r="453" spans="1:16" s="444" customFormat="1" ht="15">
      <c r="A453" s="443"/>
      <c r="B453" s="443"/>
      <c r="C453" s="443"/>
      <c r="D453" s="443"/>
      <c r="E453" s="458"/>
      <c r="F453" s="458"/>
      <c r="G453" s="458"/>
      <c r="H453" s="458"/>
      <c r="I453" s="458"/>
      <c r="J453" s="458"/>
      <c r="K453" s="458"/>
      <c r="L453" s="458"/>
      <c r="M453" s="458"/>
      <c r="N453" s="458"/>
      <c r="O453" s="443"/>
      <c r="P453" s="447"/>
    </row>
    <row r="454" spans="1:16" s="444" customFormat="1" ht="15">
      <c r="A454" s="443"/>
      <c r="B454" s="443"/>
      <c r="C454" s="443"/>
      <c r="D454" s="443"/>
      <c r="E454" s="458"/>
      <c r="F454" s="458"/>
      <c r="G454" s="458"/>
      <c r="H454" s="458"/>
      <c r="I454" s="458"/>
      <c r="J454" s="458"/>
      <c r="K454" s="458"/>
      <c r="L454" s="458"/>
      <c r="M454" s="458"/>
      <c r="N454" s="458"/>
      <c r="O454" s="443"/>
      <c r="P454" s="447"/>
    </row>
    <row r="455" spans="1:16" s="444" customFormat="1" ht="15">
      <c r="A455" s="443"/>
      <c r="B455" s="443"/>
      <c r="C455" s="443"/>
      <c r="D455" s="443"/>
      <c r="E455" s="458"/>
      <c r="F455" s="458"/>
      <c r="G455" s="458"/>
      <c r="H455" s="458"/>
      <c r="I455" s="458"/>
      <c r="J455" s="458"/>
      <c r="K455" s="458"/>
      <c r="L455" s="458"/>
      <c r="M455" s="458"/>
      <c r="N455" s="458"/>
      <c r="O455" s="443"/>
      <c r="P455" s="447"/>
    </row>
    <row r="456" spans="1:16" s="444" customFormat="1" ht="15">
      <c r="A456" s="443"/>
      <c r="B456" s="443"/>
      <c r="C456" s="443"/>
      <c r="D456" s="443"/>
      <c r="E456" s="458"/>
      <c r="F456" s="458"/>
      <c r="G456" s="458"/>
      <c r="H456" s="458"/>
      <c r="I456" s="458"/>
      <c r="J456" s="458"/>
      <c r="K456" s="458"/>
      <c r="L456" s="458"/>
      <c r="M456" s="458"/>
      <c r="N456" s="458"/>
      <c r="O456" s="443"/>
      <c r="P456" s="447"/>
    </row>
    <row r="457" spans="1:16" s="444" customFormat="1" ht="15">
      <c r="A457" s="443"/>
      <c r="B457" s="443"/>
      <c r="C457" s="443"/>
      <c r="D457" s="443"/>
      <c r="E457" s="458"/>
      <c r="F457" s="458"/>
      <c r="G457" s="458"/>
      <c r="H457" s="458"/>
      <c r="I457" s="458"/>
      <c r="J457" s="458"/>
      <c r="K457" s="458"/>
      <c r="L457" s="458"/>
      <c r="M457" s="458"/>
      <c r="N457" s="458"/>
      <c r="O457" s="443"/>
      <c r="P457" s="447"/>
    </row>
    <row r="458" spans="1:16" s="444" customFormat="1" ht="15">
      <c r="A458" s="443"/>
      <c r="B458" s="443"/>
      <c r="C458" s="443"/>
      <c r="D458" s="443"/>
      <c r="E458" s="458"/>
      <c r="F458" s="458"/>
      <c r="G458" s="458"/>
      <c r="H458" s="458"/>
      <c r="I458" s="458"/>
      <c r="J458" s="458"/>
      <c r="K458" s="458"/>
      <c r="L458" s="458"/>
      <c r="M458" s="458"/>
      <c r="N458" s="458"/>
      <c r="O458" s="443"/>
      <c r="P458" s="447"/>
    </row>
    <row r="459" spans="1:16" s="444" customFormat="1" ht="15">
      <c r="A459" s="443"/>
      <c r="B459" s="443"/>
      <c r="C459" s="443"/>
      <c r="D459" s="443"/>
      <c r="E459" s="458"/>
      <c r="F459" s="458"/>
      <c r="G459" s="458"/>
      <c r="H459" s="458"/>
      <c r="I459" s="458"/>
      <c r="J459" s="458"/>
      <c r="K459" s="458"/>
      <c r="L459" s="458"/>
      <c r="M459" s="458"/>
      <c r="N459" s="458"/>
      <c r="O459" s="443"/>
      <c r="P459" s="447"/>
    </row>
    <row r="460" spans="1:16" s="444" customFormat="1" ht="15">
      <c r="A460" s="443"/>
      <c r="B460" s="443"/>
      <c r="C460" s="443"/>
      <c r="D460" s="443"/>
      <c r="E460" s="458"/>
      <c r="F460" s="458"/>
      <c r="G460" s="458"/>
      <c r="H460" s="458"/>
      <c r="I460" s="458"/>
      <c r="J460" s="458"/>
      <c r="K460" s="458"/>
      <c r="L460" s="458"/>
      <c r="M460" s="458"/>
      <c r="N460" s="458"/>
      <c r="O460" s="443"/>
      <c r="P460" s="447"/>
    </row>
    <row r="461" spans="1:16" s="444" customFormat="1" ht="15">
      <c r="A461" s="443"/>
      <c r="B461" s="443"/>
      <c r="C461" s="443"/>
      <c r="D461" s="443"/>
      <c r="E461" s="458"/>
      <c r="F461" s="458"/>
      <c r="G461" s="458"/>
      <c r="H461" s="458"/>
      <c r="I461" s="458"/>
      <c r="J461" s="458"/>
      <c r="K461" s="458"/>
      <c r="L461" s="458"/>
      <c r="M461" s="458"/>
      <c r="N461" s="458"/>
      <c r="O461" s="443"/>
      <c r="P461" s="447"/>
    </row>
    <row r="462" spans="1:16" s="444" customFormat="1" ht="15">
      <c r="A462" s="443"/>
      <c r="B462" s="443"/>
      <c r="C462" s="443"/>
      <c r="D462" s="443"/>
      <c r="E462" s="458"/>
      <c r="F462" s="458"/>
      <c r="G462" s="458"/>
      <c r="H462" s="458"/>
      <c r="I462" s="458"/>
      <c r="J462" s="458"/>
      <c r="K462" s="458"/>
      <c r="L462" s="458"/>
      <c r="M462" s="458"/>
      <c r="N462" s="458"/>
      <c r="O462" s="443"/>
      <c r="P462" s="447"/>
    </row>
    <row r="463" spans="1:16" s="444" customFormat="1" ht="15">
      <c r="A463" s="443"/>
      <c r="B463" s="443"/>
      <c r="C463" s="443"/>
      <c r="D463" s="443"/>
      <c r="E463" s="458"/>
      <c r="F463" s="458"/>
      <c r="G463" s="458"/>
      <c r="H463" s="458"/>
      <c r="I463" s="458"/>
      <c r="J463" s="458"/>
      <c r="K463" s="458"/>
      <c r="L463" s="458"/>
      <c r="M463" s="458"/>
      <c r="N463" s="458"/>
      <c r="O463" s="443"/>
      <c r="P463" s="447"/>
    </row>
    <row r="464" spans="1:16" s="444" customFormat="1" ht="15">
      <c r="A464" s="443"/>
      <c r="B464" s="443"/>
      <c r="C464" s="443"/>
      <c r="D464" s="443"/>
      <c r="E464" s="458"/>
      <c r="F464" s="458"/>
      <c r="G464" s="458"/>
      <c r="H464" s="458"/>
      <c r="I464" s="458"/>
      <c r="J464" s="458"/>
      <c r="K464" s="458"/>
      <c r="L464" s="458"/>
      <c r="M464" s="458"/>
      <c r="N464" s="458"/>
      <c r="O464" s="443"/>
      <c r="P464" s="447"/>
    </row>
    <row r="465" spans="1:16" s="444" customFormat="1" ht="15">
      <c r="A465" s="443"/>
      <c r="B465" s="443"/>
      <c r="C465" s="443"/>
      <c r="D465" s="443"/>
      <c r="E465" s="458"/>
      <c r="F465" s="458"/>
      <c r="G465" s="458"/>
      <c r="H465" s="458"/>
      <c r="I465" s="458"/>
      <c r="J465" s="458"/>
      <c r="K465" s="458"/>
      <c r="L465" s="458"/>
      <c r="M465" s="458"/>
      <c r="N465" s="458"/>
      <c r="O465" s="443"/>
      <c r="P465" s="447"/>
    </row>
    <row r="466" spans="1:16" s="444" customFormat="1" ht="15">
      <c r="A466" s="443"/>
      <c r="B466" s="443"/>
      <c r="C466" s="443"/>
      <c r="D466" s="443"/>
      <c r="E466" s="458"/>
      <c r="F466" s="458"/>
      <c r="G466" s="458"/>
      <c r="H466" s="458"/>
      <c r="I466" s="458"/>
      <c r="J466" s="458"/>
      <c r="K466" s="458"/>
      <c r="L466" s="458"/>
      <c r="M466" s="458"/>
      <c r="N466" s="458"/>
      <c r="O466" s="443"/>
      <c r="P466" s="447"/>
    </row>
    <row r="467" spans="1:16" s="444" customFormat="1" ht="15">
      <c r="A467" s="443"/>
      <c r="B467" s="443"/>
      <c r="C467" s="443"/>
      <c r="D467" s="443"/>
      <c r="E467" s="458"/>
      <c r="F467" s="458"/>
      <c r="G467" s="458"/>
      <c r="H467" s="458"/>
      <c r="I467" s="458"/>
      <c r="J467" s="458"/>
      <c r="K467" s="458"/>
      <c r="L467" s="458"/>
      <c r="M467" s="458"/>
      <c r="N467" s="458"/>
      <c r="O467" s="443"/>
      <c r="P467" s="447"/>
    </row>
    <row r="468" spans="1:16" s="444" customFormat="1" ht="15">
      <c r="A468" s="443"/>
      <c r="B468" s="443"/>
      <c r="C468" s="443"/>
      <c r="D468" s="443"/>
      <c r="E468" s="458"/>
      <c r="F468" s="458"/>
      <c r="G468" s="458"/>
      <c r="H468" s="458"/>
      <c r="I468" s="458"/>
      <c r="J468" s="458"/>
      <c r="K468" s="458"/>
      <c r="L468" s="458"/>
      <c r="M468" s="458"/>
      <c r="N468" s="458"/>
      <c r="O468" s="443"/>
      <c r="P468" s="447"/>
    </row>
    <row r="469" spans="1:16" s="444" customFormat="1" ht="15">
      <c r="A469" s="443"/>
      <c r="B469" s="443"/>
      <c r="C469" s="443"/>
      <c r="D469" s="443"/>
      <c r="E469" s="458"/>
      <c r="F469" s="458"/>
      <c r="G469" s="458"/>
      <c r="H469" s="458"/>
      <c r="I469" s="458"/>
      <c r="J469" s="458"/>
      <c r="K469" s="458"/>
      <c r="L469" s="458"/>
      <c r="M469" s="458"/>
      <c r="N469" s="458"/>
      <c r="O469" s="443"/>
      <c r="P469" s="447"/>
    </row>
    <row r="470" spans="1:16" s="444" customFormat="1" ht="15">
      <c r="A470" s="443"/>
      <c r="B470" s="443"/>
      <c r="C470" s="443"/>
      <c r="D470" s="443"/>
      <c r="E470" s="458"/>
      <c r="F470" s="458"/>
      <c r="G470" s="458"/>
      <c r="H470" s="458"/>
      <c r="I470" s="458"/>
      <c r="J470" s="458"/>
      <c r="K470" s="458"/>
      <c r="L470" s="458"/>
      <c r="M470" s="458"/>
      <c r="N470" s="458"/>
      <c r="O470" s="443"/>
      <c r="P470" s="447"/>
    </row>
    <row r="471" spans="1:16" s="444" customFormat="1" ht="15">
      <c r="A471" s="443"/>
      <c r="B471" s="443"/>
      <c r="C471" s="443"/>
      <c r="D471" s="443"/>
      <c r="E471" s="458"/>
      <c r="F471" s="458"/>
      <c r="G471" s="458"/>
      <c r="H471" s="458"/>
      <c r="I471" s="458"/>
      <c r="J471" s="458"/>
      <c r="K471" s="458"/>
      <c r="L471" s="458"/>
      <c r="M471" s="458"/>
      <c r="N471" s="458"/>
      <c r="O471" s="443"/>
      <c r="P471" s="447"/>
    </row>
    <row r="472" spans="1:16" s="444" customFormat="1" ht="15">
      <c r="A472" s="443"/>
      <c r="B472" s="443"/>
      <c r="C472" s="443"/>
      <c r="D472" s="443"/>
      <c r="E472" s="458"/>
      <c r="F472" s="458"/>
      <c r="G472" s="458"/>
      <c r="H472" s="458"/>
      <c r="I472" s="458"/>
      <c r="J472" s="458"/>
      <c r="K472" s="458"/>
      <c r="L472" s="458"/>
      <c r="M472" s="458"/>
      <c r="N472" s="458"/>
      <c r="O472" s="443"/>
      <c r="P472" s="447"/>
    </row>
    <row r="473" spans="1:16" s="444" customFormat="1" ht="15">
      <c r="A473" s="443"/>
      <c r="B473" s="443"/>
      <c r="C473" s="443"/>
      <c r="D473" s="443"/>
      <c r="E473" s="458"/>
      <c r="F473" s="458"/>
      <c r="G473" s="458"/>
      <c r="H473" s="458"/>
      <c r="I473" s="458"/>
      <c r="J473" s="458"/>
      <c r="K473" s="458"/>
      <c r="L473" s="458"/>
      <c r="M473" s="458"/>
      <c r="N473" s="458"/>
      <c r="O473" s="443"/>
      <c r="P473" s="447"/>
    </row>
    <row r="474" spans="1:16" s="444" customFormat="1" ht="15">
      <c r="A474" s="443"/>
      <c r="B474" s="443"/>
      <c r="C474" s="443"/>
      <c r="D474" s="443"/>
      <c r="E474" s="458"/>
      <c r="F474" s="458"/>
      <c r="G474" s="458"/>
      <c r="H474" s="458"/>
      <c r="I474" s="458"/>
      <c r="J474" s="458"/>
      <c r="K474" s="458"/>
      <c r="L474" s="458"/>
      <c r="M474" s="458"/>
      <c r="N474" s="458"/>
      <c r="O474" s="443"/>
      <c r="P474" s="447"/>
    </row>
    <row r="475" spans="1:16" s="444" customFormat="1" ht="15">
      <c r="A475" s="443"/>
      <c r="B475" s="443"/>
      <c r="C475" s="443"/>
      <c r="D475" s="443"/>
      <c r="E475" s="458"/>
      <c r="F475" s="458"/>
      <c r="G475" s="458"/>
      <c r="H475" s="458"/>
      <c r="I475" s="458"/>
      <c r="J475" s="458"/>
      <c r="K475" s="458"/>
      <c r="L475" s="458"/>
      <c r="M475" s="458"/>
      <c r="N475" s="458"/>
      <c r="O475" s="443"/>
      <c r="P475" s="447"/>
    </row>
    <row r="476" spans="1:16" s="444" customFormat="1" ht="15">
      <c r="A476" s="443"/>
      <c r="B476" s="443"/>
      <c r="C476" s="443"/>
      <c r="D476" s="443"/>
      <c r="E476" s="458"/>
      <c r="F476" s="458"/>
      <c r="G476" s="458"/>
      <c r="H476" s="458"/>
      <c r="I476" s="458"/>
      <c r="J476" s="458"/>
      <c r="K476" s="458"/>
      <c r="L476" s="458"/>
      <c r="M476" s="458"/>
      <c r="N476" s="458"/>
      <c r="O476" s="443"/>
      <c r="P476" s="447"/>
    </row>
    <row r="477" spans="1:16" s="444" customFormat="1" ht="15">
      <c r="A477" s="443"/>
      <c r="B477" s="443"/>
      <c r="C477" s="443"/>
      <c r="D477" s="443"/>
      <c r="E477" s="458"/>
      <c r="F477" s="458"/>
      <c r="G477" s="458"/>
      <c r="H477" s="458"/>
      <c r="I477" s="458"/>
      <c r="J477" s="458"/>
      <c r="K477" s="458"/>
      <c r="L477" s="458"/>
      <c r="M477" s="458"/>
      <c r="N477" s="458"/>
      <c r="O477" s="443"/>
      <c r="P477" s="447"/>
    </row>
    <row r="478" spans="1:16" s="444" customFormat="1" ht="15">
      <c r="A478" s="443"/>
      <c r="B478" s="443"/>
      <c r="C478" s="443"/>
      <c r="D478" s="443"/>
      <c r="E478" s="458"/>
      <c r="F478" s="458"/>
      <c r="G478" s="458"/>
      <c r="H478" s="458"/>
      <c r="I478" s="458"/>
      <c r="J478" s="458"/>
      <c r="K478" s="458"/>
      <c r="L478" s="458"/>
      <c r="M478" s="458"/>
      <c r="N478" s="458"/>
      <c r="O478" s="443"/>
      <c r="P478" s="447"/>
    </row>
    <row r="479" spans="1:16" s="444" customFormat="1" ht="15">
      <c r="A479" s="443"/>
      <c r="B479" s="443"/>
      <c r="C479" s="443"/>
      <c r="D479" s="443"/>
      <c r="E479" s="458"/>
      <c r="F479" s="458"/>
      <c r="G479" s="458"/>
      <c r="H479" s="458"/>
      <c r="I479" s="458"/>
      <c r="J479" s="458"/>
      <c r="K479" s="458"/>
      <c r="L479" s="458"/>
      <c r="M479" s="458"/>
      <c r="N479" s="458"/>
      <c r="O479" s="443"/>
      <c r="P479" s="447"/>
    </row>
    <row r="480" spans="1:16" s="444" customFormat="1" ht="15">
      <c r="A480" s="443"/>
      <c r="B480" s="443"/>
      <c r="C480" s="443"/>
      <c r="D480" s="443"/>
      <c r="E480" s="458"/>
      <c r="F480" s="458"/>
      <c r="G480" s="458"/>
      <c r="H480" s="458"/>
      <c r="I480" s="458"/>
      <c r="J480" s="458"/>
      <c r="K480" s="458"/>
      <c r="L480" s="458"/>
      <c r="M480" s="458"/>
      <c r="N480" s="458"/>
      <c r="O480" s="443"/>
      <c r="P480" s="447"/>
    </row>
    <row r="481" spans="1:16" s="444" customFormat="1" ht="15">
      <c r="A481" s="443"/>
      <c r="B481" s="443"/>
      <c r="C481" s="443"/>
      <c r="D481" s="443"/>
      <c r="E481" s="458"/>
      <c r="F481" s="458"/>
      <c r="G481" s="458"/>
      <c r="H481" s="458"/>
      <c r="I481" s="458"/>
      <c r="J481" s="458"/>
      <c r="K481" s="458"/>
      <c r="L481" s="458"/>
      <c r="M481" s="458"/>
      <c r="N481" s="458"/>
      <c r="O481" s="443"/>
      <c r="P481" s="447"/>
    </row>
    <row r="482" spans="1:16" s="444" customFormat="1" ht="15">
      <c r="A482" s="443"/>
      <c r="B482" s="443"/>
      <c r="C482" s="443"/>
      <c r="D482" s="443"/>
      <c r="E482" s="458"/>
      <c r="F482" s="458"/>
      <c r="G482" s="458"/>
      <c r="H482" s="458"/>
      <c r="I482" s="458"/>
      <c r="J482" s="458"/>
      <c r="K482" s="458"/>
      <c r="L482" s="458"/>
      <c r="M482" s="458"/>
      <c r="N482" s="458"/>
      <c r="O482" s="443"/>
      <c r="P482" s="447"/>
    </row>
    <row r="483" spans="1:16" s="444" customFormat="1" ht="15">
      <c r="A483" s="443"/>
      <c r="B483" s="443"/>
      <c r="C483" s="443"/>
      <c r="D483" s="443"/>
      <c r="E483" s="458"/>
      <c r="F483" s="458"/>
      <c r="G483" s="458"/>
      <c r="H483" s="458"/>
      <c r="I483" s="458"/>
      <c r="J483" s="458"/>
      <c r="K483" s="458"/>
      <c r="L483" s="458"/>
      <c r="M483" s="458"/>
      <c r="N483" s="458"/>
      <c r="O483" s="443"/>
      <c r="P483" s="447"/>
    </row>
    <row r="484" spans="1:16" s="444" customFormat="1" ht="15">
      <c r="A484" s="443"/>
      <c r="B484" s="443"/>
      <c r="C484" s="443"/>
      <c r="D484" s="443"/>
      <c r="E484" s="458"/>
      <c r="F484" s="458"/>
      <c r="G484" s="458"/>
      <c r="H484" s="458"/>
      <c r="I484" s="458"/>
      <c r="J484" s="458"/>
      <c r="K484" s="458"/>
      <c r="L484" s="458"/>
      <c r="M484" s="458"/>
      <c r="N484" s="458"/>
      <c r="O484" s="443"/>
      <c r="P484" s="447"/>
    </row>
    <row r="485" spans="1:16" s="444" customFormat="1" ht="15">
      <c r="A485" s="443"/>
      <c r="B485" s="443"/>
      <c r="C485" s="443"/>
      <c r="D485" s="443"/>
      <c r="E485" s="458"/>
      <c r="F485" s="458"/>
      <c r="G485" s="458"/>
      <c r="H485" s="458"/>
      <c r="I485" s="458"/>
      <c r="J485" s="458"/>
      <c r="K485" s="458"/>
      <c r="L485" s="458"/>
      <c r="M485" s="458"/>
      <c r="N485" s="458"/>
      <c r="O485" s="443"/>
      <c r="P485" s="447"/>
    </row>
    <row r="486" spans="1:16" s="444" customFormat="1" ht="15">
      <c r="A486" s="443"/>
      <c r="B486" s="443"/>
      <c r="C486" s="443"/>
      <c r="D486" s="443"/>
      <c r="E486" s="458"/>
      <c r="F486" s="458"/>
      <c r="G486" s="458"/>
      <c r="H486" s="458"/>
      <c r="I486" s="458"/>
      <c r="J486" s="458"/>
      <c r="K486" s="458"/>
      <c r="L486" s="458"/>
      <c r="M486" s="458"/>
      <c r="N486" s="458"/>
      <c r="O486" s="443"/>
      <c r="P486" s="447"/>
    </row>
    <row r="487" spans="1:16" s="444" customFormat="1" ht="15">
      <c r="A487" s="443"/>
      <c r="B487" s="443"/>
      <c r="C487" s="443"/>
      <c r="D487" s="443"/>
      <c r="E487" s="458"/>
      <c r="F487" s="458"/>
      <c r="G487" s="458"/>
      <c r="H487" s="458"/>
      <c r="I487" s="458"/>
      <c r="J487" s="458"/>
      <c r="K487" s="458"/>
      <c r="L487" s="458"/>
      <c r="M487" s="458"/>
      <c r="N487" s="458"/>
      <c r="O487" s="443"/>
      <c r="P487" s="447"/>
    </row>
    <row r="488" spans="1:16" s="444" customFormat="1" ht="15">
      <c r="A488" s="443"/>
      <c r="B488" s="443"/>
      <c r="C488" s="443"/>
      <c r="D488" s="443"/>
      <c r="E488" s="458"/>
      <c r="F488" s="458"/>
      <c r="G488" s="458"/>
      <c r="H488" s="458"/>
      <c r="I488" s="458"/>
      <c r="J488" s="458"/>
      <c r="K488" s="458"/>
      <c r="L488" s="458"/>
      <c r="M488" s="458"/>
      <c r="N488" s="458"/>
      <c r="O488" s="443"/>
      <c r="P488" s="447"/>
    </row>
    <row r="489" spans="1:16" s="444" customFormat="1" ht="15">
      <c r="A489" s="443"/>
      <c r="B489" s="443"/>
      <c r="C489" s="443"/>
      <c r="D489" s="443"/>
      <c r="E489" s="458"/>
      <c r="F489" s="458"/>
      <c r="G489" s="458"/>
      <c r="H489" s="458"/>
      <c r="I489" s="458"/>
      <c r="J489" s="458"/>
      <c r="K489" s="458"/>
      <c r="L489" s="458"/>
      <c r="M489" s="458"/>
      <c r="N489" s="458"/>
      <c r="O489" s="443"/>
      <c r="P489" s="447"/>
    </row>
    <row r="490" spans="1:16" s="444" customFormat="1" ht="15">
      <c r="A490" s="443"/>
      <c r="B490" s="443"/>
      <c r="C490" s="443"/>
      <c r="D490" s="443"/>
      <c r="E490" s="458"/>
      <c r="F490" s="458"/>
      <c r="G490" s="458"/>
      <c r="H490" s="458"/>
      <c r="I490" s="458"/>
      <c r="J490" s="458"/>
      <c r="K490" s="458"/>
      <c r="L490" s="458"/>
      <c r="M490" s="458"/>
      <c r="N490" s="458"/>
      <c r="O490" s="443"/>
      <c r="P490" s="447"/>
    </row>
    <row r="491" spans="1:16" s="444" customFormat="1" ht="15">
      <c r="A491" s="443"/>
      <c r="B491" s="443"/>
      <c r="C491" s="443"/>
      <c r="D491" s="443"/>
      <c r="E491" s="458"/>
      <c r="F491" s="458"/>
      <c r="G491" s="458"/>
      <c r="H491" s="458"/>
      <c r="I491" s="458"/>
      <c r="J491" s="458"/>
      <c r="K491" s="458"/>
      <c r="L491" s="458"/>
      <c r="M491" s="458"/>
      <c r="N491" s="458"/>
      <c r="O491" s="443"/>
      <c r="P491" s="447"/>
    </row>
    <row r="492" spans="1:16" s="444" customFormat="1" ht="15">
      <c r="A492" s="443"/>
      <c r="B492" s="443"/>
      <c r="C492" s="443"/>
      <c r="D492" s="443"/>
      <c r="E492" s="458"/>
      <c r="F492" s="458"/>
      <c r="G492" s="458"/>
      <c r="H492" s="458"/>
      <c r="I492" s="458"/>
      <c r="J492" s="458"/>
      <c r="K492" s="458"/>
      <c r="L492" s="458"/>
      <c r="M492" s="458"/>
      <c r="N492" s="458"/>
      <c r="O492" s="443"/>
      <c r="P492" s="447"/>
    </row>
    <row r="493" spans="1:16" s="444" customFormat="1" ht="15">
      <c r="A493" s="443"/>
      <c r="B493" s="443"/>
      <c r="C493" s="443"/>
      <c r="D493" s="443"/>
      <c r="E493" s="458"/>
      <c r="F493" s="458"/>
      <c r="G493" s="458"/>
      <c r="H493" s="458"/>
      <c r="I493" s="458"/>
      <c r="J493" s="458"/>
      <c r="K493" s="458"/>
      <c r="L493" s="458"/>
      <c r="M493" s="458"/>
      <c r="N493" s="458"/>
      <c r="O493" s="443"/>
      <c r="P493" s="447"/>
    </row>
    <row r="494" spans="1:16" s="444" customFormat="1" ht="15">
      <c r="A494" s="443"/>
      <c r="B494" s="443"/>
      <c r="C494" s="443"/>
      <c r="D494" s="443"/>
      <c r="E494" s="458"/>
      <c r="F494" s="458"/>
      <c r="G494" s="458"/>
      <c r="H494" s="458"/>
      <c r="I494" s="458"/>
      <c r="J494" s="458"/>
      <c r="K494" s="458"/>
      <c r="L494" s="458"/>
      <c r="M494" s="458"/>
      <c r="N494" s="458"/>
      <c r="O494" s="443"/>
      <c r="P494" s="447"/>
    </row>
    <row r="495" spans="1:16" s="444" customFormat="1" ht="15">
      <c r="A495" s="443"/>
      <c r="B495" s="443"/>
      <c r="C495" s="443"/>
      <c r="D495" s="443"/>
      <c r="E495" s="458"/>
      <c r="F495" s="458"/>
      <c r="G495" s="458"/>
      <c r="H495" s="458"/>
      <c r="I495" s="458"/>
      <c r="J495" s="458"/>
      <c r="K495" s="458"/>
      <c r="L495" s="458"/>
      <c r="M495" s="458"/>
      <c r="N495" s="458"/>
      <c r="O495" s="443"/>
      <c r="P495" s="447"/>
    </row>
    <row r="496" spans="1:16" s="444" customFormat="1" ht="15">
      <c r="A496" s="443"/>
      <c r="B496" s="443"/>
      <c r="C496" s="443"/>
      <c r="D496" s="443"/>
      <c r="E496" s="458"/>
      <c r="F496" s="458"/>
      <c r="G496" s="458"/>
      <c r="H496" s="458"/>
      <c r="I496" s="458"/>
      <c r="J496" s="458"/>
      <c r="K496" s="458"/>
      <c r="L496" s="458"/>
      <c r="M496" s="458"/>
      <c r="N496" s="458"/>
      <c r="O496" s="443"/>
      <c r="P496" s="447"/>
    </row>
    <row r="497" spans="1:16" s="444" customFormat="1" ht="15">
      <c r="A497" s="443"/>
      <c r="B497" s="443"/>
      <c r="C497" s="443"/>
      <c r="D497" s="443"/>
      <c r="E497" s="458"/>
      <c r="F497" s="458"/>
      <c r="G497" s="458"/>
      <c r="H497" s="458"/>
      <c r="I497" s="458"/>
      <c r="J497" s="458"/>
      <c r="K497" s="458"/>
      <c r="L497" s="458"/>
      <c r="M497" s="458"/>
      <c r="N497" s="458"/>
      <c r="O497" s="443"/>
      <c r="P497" s="447"/>
    </row>
    <row r="498" spans="1:16" s="444" customFormat="1" ht="15">
      <c r="A498" s="443"/>
      <c r="B498" s="443"/>
      <c r="C498" s="443"/>
      <c r="D498" s="443"/>
      <c r="E498" s="458"/>
      <c r="F498" s="458"/>
      <c r="G498" s="458"/>
      <c r="H498" s="458"/>
      <c r="I498" s="458"/>
      <c r="J498" s="458"/>
      <c r="K498" s="458"/>
      <c r="L498" s="458"/>
      <c r="M498" s="458"/>
      <c r="N498" s="458"/>
      <c r="O498" s="443"/>
      <c r="P498" s="447"/>
    </row>
    <row r="499" spans="1:16" s="444" customFormat="1" ht="15">
      <c r="A499" s="443"/>
      <c r="B499" s="443"/>
      <c r="C499" s="443"/>
      <c r="D499" s="443"/>
      <c r="E499" s="458"/>
      <c r="F499" s="458"/>
      <c r="G499" s="458"/>
      <c r="H499" s="458"/>
      <c r="I499" s="458"/>
      <c r="J499" s="458"/>
      <c r="K499" s="458"/>
      <c r="L499" s="458"/>
      <c r="M499" s="458"/>
      <c r="N499" s="458"/>
      <c r="O499" s="443"/>
      <c r="P499" s="447"/>
    </row>
    <row r="500" spans="1:16" s="444" customFormat="1" ht="15">
      <c r="A500" s="443"/>
      <c r="B500" s="443"/>
      <c r="C500" s="443"/>
      <c r="D500" s="443"/>
      <c r="E500" s="458"/>
      <c r="F500" s="458"/>
      <c r="G500" s="458"/>
      <c r="H500" s="458"/>
      <c r="I500" s="458"/>
      <c r="J500" s="458"/>
      <c r="K500" s="458"/>
      <c r="L500" s="458"/>
      <c r="M500" s="458"/>
      <c r="N500" s="458"/>
      <c r="O500" s="443"/>
      <c r="P500" s="447"/>
    </row>
    <row r="501" spans="1:16" s="444" customFormat="1" ht="15">
      <c r="A501" s="443"/>
      <c r="B501" s="443"/>
      <c r="C501" s="443"/>
      <c r="D501" s="443"/>
      <c r="E501" s="458"/>
      <c r="F501" s="458"/>
      <c r="G501" s="458"/>
      <c r="H501" s="458"/>
      <c r="I501" s="458"/>
      <c r="J501" s="458"/>
      <c r="K501" s="458"/>
      <c r="L501" s="458"/>
      <c r="M501" s="458"/>
      <c r="N501" s="458"/>
      <c r="O501" s="443"/>
      <c r="P501" s="447"/>
    </row>
    <row r="502" spans="1:16" s="444" customFormat="1" ht="15">
      <c r="A502" s="443"/>
      <c r="B502" s="443"/>
      <c r="C502" s="443"/>
      <c r="D502" s="443"/>
      <c r="E502" s="458"/>
      <c r="F502" s="458"/>
      <c r="G502" s="458"/>
      <c r="H502" s="458"/>
      <c r="I502" s="458"/>
      <c r="J502" s="458"/>
      <c r="K502" s="458"/>
      <c r="L502" s="458"/>
      <c r="M502" s="458"/>
      <c r="N502" s="458"/>
      <c r="O502" s="443"/>
      <c r="P502" s="447"/>
    </row>
    <row r="503" spans="1:16" s="444" customFormat="1" ht="15">
      <c r="A503" s="443"/>
      <c r="B503" s="443"/>
      <c r="C503" s="443"/>
      <c r="D503" s="443"/>
      <c r="E503" s="458"/>
      <c r="F503" s="458"/>
      <c r="G503" s="458"/>
      <c r="H503" s="458"/>
      <c r="I503" s="458"/>
      <c r="J503" s="458"/>
      <c r="K503" s="458"/>
      <c r="L503" s="458"/>
      <c r="M503" s="458"/>
      <c r="N503" s="458"/>
      <c r="O503" s="443"/>
      <c r="P503" s="447"/>
    </row>
    <row r="504" spans="1:16" s="444" customFormat="1" ht="15">
      <c r="A504" s="443"/>
      <c r="B504" s="443"/>
      <c r="C504" s="443"/>
      <c r="D504" s="443"/>
      <c r="E504" s="458"/>
      <c r="F504" s="458"/>
      <c r="G504" s="458"/>
      <c r="H504" s="458"/>
      <c r="I504" s="458"/>
      <c r="J504" s="458"/>
      <c r="K504" s="458"/>
      <c r="L504" s="458"/>
      <c r="M504" s="458"/>
      <c r="N504" s="458"/>
      <c r="O504" s="443"/>
      <c r="P504" s="447"/>
    </row>
    <row r="505" spans="1:16" s="444" customFormat="1" ht="15">
      <c r="A505" s="443"/>
      <c r="B505" s="443"/>
      <c r="C505" s="443"/>
      <c r="D505" s="443"/>
      <c r="E505" s="458"/>
      <c r="F505" s="458"/>
      <c r="G505" s="458"/>
      <c r="H505" s="458"/>
      <c r="I505" s="458"/>
      <c r="J505" s="458"/>
      <c r="K505" s="458"/>
      <c r="L505" s="458"/>
      <c r="M505" s="458"/>
      <c r="N505" s="458"/>
      <c r="O505" s="443"/>
      <c r="P505" s="447"/>
    </row>
    <row r="506" spans="1:16" s="444" customFormat="1" ht="15">
      <c r="A506" s="443"/>
      <c r="B506" s="443"/>
      <c r="C506" s="443"/>
      <c r="D506" s="443"/>
      <c r="E506" s="458"/>
      <c r="F506" s="458"/>
      <c r="G506" s="458"/>
      <c r="H506" s="458"/>
      <c r="I506" s="458"/>
      <c r="J506" s="458"/>
      <c r="K506" s="458"/>
      <c r="L506" s="458"/>
      <c r="M506" s="458"/>
      <c r="N506" s="458"/>
      <c r="O506" s="443"/>
      <c r="P506" s="447"/>
    </row>
    <row r="507" spans="1:16" s="444" customFormat="1" ht="15">
      <c r="A507" s="443"/>
      <c r="B507" s="443"/>
      <c r="C507" s="443"/>
      <c r="D507" s="443"/>
      <c r="E507" s="458"/>
      <c r="F507" s="458"/>
      <c r="G507" s="458"/>
      <c r="H507" s="458"/>
      <c r="I507" s="458"/>
      <c r="J507" s="458"/>
      <c r="K507" s="458"/>
      <c r="L507" s="458"/>
      <c r="M507" s="458"/>
      <c r="N507" s="458"/>
      <c r="O507" s="443"/>
      <c r="P507" s="447"/>
    </row>
    <row r="508" spans="1:16" s="444" customFormat="1" ht="15">
      <c r="A508" s="443"/>
      <c r="B508" s="443"/>
      <c r="C508" s="443"/>
      <c r="D508" s="443"/>
      <c r="E508" s="458"/>
      <c r="F508" s="458"/>
      <c r="G508" s="458"/>
      <c r="H508" s="458"/>
      <c r="I508" s="458"/>
      <c r="J508" s="458"/>
      <c r="K508" s="458"/>
      <c r="L508" s="458"/>
      <c r="M508" s="458"/>
      <c r="N508" s="458"/>
      <c r="O508" s="443"/>
      <c r="P508" s="447"/>
    </row>
    <row r="509" spans="1:16" s="444" customFormat="1" ht="15">
      <c r="A509" s="443"/>
      <c r="B509" s="443"/>
      <c r="C509" s="443"/>
      <c r="D509" s="443"/>
      <c r="E509" s="458"/>
      <c r="F509" s="458"/>
      <c r="G509" s="458"/>
      <c r="H509" s="458"/>
      <c r="I509" s="458"/>
      <c r="J509" s="458"/>
      <c r="K509" s="458"/>
      <c r="L509" s="458"/>
      <c r="M509" s="458"/>
      <c r="N509" s="458"/>
      <c r="O509" s="443"/>
      <c r="P509" s="447"/>
    </row>
    <row r="510" spans="1:16" s="444" customFormat="1" ht="15">
      <c r="A510" s="443"/>
      <c r="B510" s="443"/>
      <c r="C510" s="443"/>
      <c r="D510" s="443"/>
      <c r="E510" s="458"/>
      <c r="F510" s="458"/>
      <c r="G510" s="458"/>
      <c r="H510" s="458"/>
      <c r="I510" s="458"/>
      <c r="J510" s="458"/>
      <c r="K510" s="458"/>
      <c r="L510" s="458"/>
      <c r="M510" s="458"/>
      <c r="N510" s="458"/>
      <c r="O510" s="443"/>
      <c r="P510" s="447"/>
    </row>
    <row r="511" spans="1:16" s="444" customFormat="1" ht="15">
      <c r="A511" s="443"/>
      <c r="B511" s="443"/>
      <c r="C511" s="443"/>
      <c r="D511" s="443"/>
      <c r="E511" s="458"/>
      <c r="F511" s="458"/>
      <c r="G511" s="458"/>
      <c r="H511" s="458"/>
      <c r="I511" s="458"/>
      <c r="J511" s="458"/>
      <c r="K511" s="458"/>
      <c r="L511" s="458"/>
      <c r="M511" s="458"/>
      <c r="N511" s="458"/>
      <c r="O511" s="443"/>
      <c r="P511" s="447"/>
    </row>
    <row r="512" spans="1:16" s="444" customFormat="1" ht="15">
      <c r="A512" s="443"/>
      <c r="B512" s="443"/>
      <c r="C512" s="443"/>
      <c r="D512" s="443"/>
      <c r="E512" s="458"/>
      <c r="F512" s="458"/>
      <c r="G512" s="458"/>
      <c r="H512" s="458"/>
      <c r="I512" s="458"/>
      <c r="J512" s="458"/>
      <c r="K512" s="458"/>
      <c r="L512" s="458"/>
      <c r="M512" s="458"/>
      <c r="N512" s="458"/>
      <c r="O512" s="443"/>
      <c r="P512" s="447"/>
    </row>
    <row r="513" spans="1:16" s="444" customFormat="1" ht="15">
      <c r="A513" s="443"/>
      <c r="B513" s="443"/>
      <c r="C513" s="443"/>
      <c r="D513" s="443"/>
      <c r="E513" s="458"/>
      <c r="F513" s="458"/>
      <c r="G513" s="458"/>
      <c r="H513" s="458"/>
      <c r="I513" s="458"/>
      <c r="J513" s="458"/>
      <c r="K513" s="458"/>
      <c r="L513" s="458"/>
      <c r="M513" s="458"/>
      <c r="N513" s="458"/>
      <c r="O513" s="443"/>
      <c r="P513" s="447"/>
    </row>
    <row r="514" spans="1:16" s="444" customFormat="1" ht="15">
      <c r="A514" s="443"/>
      <c r="B514" s="443"/>
      <c r="C514" s="443"/>
      <c r="D514" s="443"/>
      <c r="E514" s="458"/>
      <c r="F514" s="458"/>
      <c r="G514" s="458"/>
      <c r="H514" s="458"/>
      <c r="I514" s="458"/>
      <c r="J514" s="458"/>
      <c r="K514" s="458"/>
      <c r="L514" s="458"/>
      <c r="M514" s="458"/>
      <c r="N514" s="458"/>
      <c r="O514" s="443"/>
      <c r="P514" s="447"/>
    </row>
    <row r="515" spans="1:16" s="444" customFormat="1" ht="15">
      <c r="A515" s="443"/>
      <c r="B515" s="443"/>
      <c r="C515" s="443"/>
      <c r="D515" s="443"/>
      <c r="E515" s="458"/>
      <c r="F515" s="458"/>
      <c r="G515" s="458"/>
      <c r="H515" s="458"/>
      <c r="I515" s="458"/>
      <c r="J515" s="458"/>
      <c r="K515" s="458"/>
      <c r="L515" s="458"/>
      <c r="M515" s="458"/>
      <c r="N515" s="458"/>
      <c r="O515" s="443"/>
      <c r="P515" s="447"/>
    </row>
    <row r="516" spans="1:16" s="444" customFormat="1" ht="15">
      <c r="A516" s="443"/>
      <c r="B516" s="443"/>
      <c r="C516" s="443"/>
      <c r="D516" s="443"/>
      <c r="E516" s="458"/>
      <c r="F516" s="458"/>
      <c r="G516" s="458"/>
      <c r="H516" s="458"/>
      <c r="I516" s="458"/>
      <c r="J516" s="458"/>
      <c r="K516" s="458"/>
      <c r="L516" s="458"/>
      <c r="M516" s="458"/>
      <c r="N516" s="458"/>
      <c r="O516" s="443"/>
      <c r="P516" s="447"/>
    </row>
    <row r="517" spans="1:16" s="444" customFormat="1" ht="15">
      <c r="A517" s="443"/>
      <c r="B517" s="443"/>
      <c r="C517" s="443"/>
      <c r="D517" s="443"/>
      <c r="E517" s="458"/>
      <c r="F517" s="458"/>
      <c r="G517" s="458"/>
      <c r="H517" s="458"/>
      <c r="I517" s="458"/>
      <c r="J517" s="458"/>
      <c r="K517" s="458"/>
      <c r="L517" s="458"/>
      <c r="M517" s="458"/>
      <c r="N517" s="458"/>
      <c r="O517" s="443"/>
      <c r="P517" s="447"/>
    </row>
    <row r="518" spans="1:16" s="444" customFormat="1" ht="15">
      <c r="A518" s="443"/>
      <c r="B518" s="443"/>
      <c r="C518" s="443"/>
      <c r="D518" s="443"/>
      <c r="E518" s="458"/>
      <c r="F518" s="458"/>
      <c r="G518" s="458"/>
      <c r="H518" s="458"/>
      <c r="I518" s="458"/>
      <c r="J518" s="458"/>
      <c r="K518" s="458"/>
      <c r="L518" s="458"/>
      <c r="M518" s="458"/>
      <c r="N518" s="458"/>
      <c r="O518" s="443"/>
      <c r="P518" s="447"/>
    </row>
    <row r="519" spans="1:16" s="444" customFormat="1" ht="15">
      <c r="A519" s="443"/>
      <c r="B519" s="443"/>
      <c r="C519" s="443"/>
      <c r="D519" s="443"/>
      <c r="E519" s="458"/>
      <c r="F519" s="458"/>
      <c r="G519" s="458"/>
      <c r="H519" s="458"/>
      <c r="I519" s="458"/>
      <c r="J519" s="458"/>
      <c r="K519" s="458"/>
      <c r="L519" s="458"/>
      <c r="M519" s="458"/>
      <c r="N519" s="458"/>
      <c r="O519" s="443"/>
      <c r="P519" s="447"/>
    </row>
    <row r="520" spans="1:16" s="444" customFormat="1" ht="15">
      <c r="A520" s="443"/>
      <c r="B520" s="443"/>
      <c r="C520" s="443"/>
      <c r="D520" s="443"/>
      <c r="E520" s="458"/>
      <c r="F520" s="458"/>
      <c r="G520" s="458"/>
      <c r="H520" s="458"/>
      <c r="I520" s="458"/>
      <c r="J520" s="458"/>
      <c r="K520" s="458"/>
      <c r="L520" s="458"/>
      <c r="M520" s="458"/>
      <c r="N520" s="458"/>
      <c r="O520" s="443"/>
      <c r="P520" s="447"/>
    </row>
    <row r="521" spans="1:16" s="444" customFormat="1" ht="15">
      <c r="A521" s="443"/>
      <c r="B521" s="443"/>
      <c r="C521" s="443"/>
      <c r="D521" s="443"/>
      <c r="E521" s="458"/>
      <c r="F521" s="458"/>
      <c r="G521" s="458"/>
      <c r="H521" s="458"/>
      <c r="I521" s="458"/>
      <c r="J521" s="458"/>
      <c r="K521" s="458"/>
      <c r="L521" s="458"/>
      <c r="M521" s="458"/>
      <c r="N521" s="458"/>
      <c r="O521" s="443"/>
      <c r="P521" s="447"/>
    </row>
    <row r="522" spans="1:16" s="444" customFormat="1" ht="15">
      <c r="A522" s="443"/>
      <c r="B522" s="443"/>
      <c r="C522" s="443"/>
      <c r="D522" s="443"/>
      <c r="E522" s="458"/>
      <c r="F522" s="458"/>
      <c r="G522" s="458"/>
      <c r="H522" s="458"/>
      <c r="I522" s="458"/>
      <c r="J522" s="458"/>
      <c r="K522" s="458"/>
      <c r="L522" s="458"/>
      <c r="M522" s="458"/>
      <c r="N522" s="458"/>
      <c r="O522" s="443"/>
      <c r="P522" s="447"/>
    </row>
    <row r="523" spans="1:16" s="444" customFormat="1" ht="15">
      <c r="A523" s="443"/>
      <c r="B523" s="443"/>
      <c r="C523" s="443"/>
      <c r="D523" s="443"/>
      <c r="E523" s="458"/>
      <c r="F523" s="458"/>
      <c r="G523" s="458"/>
      <c r="H523" s="458"/>
      <c r="I523" s="458"/>
      <c r="J523" s="458"/>
      <c r="K523" s="458"/>
      <c r="L523" s="458"/>
      <c r="M523" s="458"/>
      <c r="N523" s="458"/>
      <c r="O523" s="443"/>
      <c r="P523" s="447"/>
    </row>
    <row r="524" spans="1:16" s="444" customFormat="1" ht="15">
      <c r="A524" s="443"/>
      <c r="B524" s="443"/>
      <c r="C524" s="443"/>
      <c r="D524" s="443"/>
      <c r="E524" s="458"/>
      <c r="F524" s="458"/>
      <c r="G524" s="458"/>
      <c r="H524" s="458"/>
      <c r="I524" s="458"/>
      <c r="J524" s="458"/>
      <c r="K524" s="458"/>
      <c r="L524" s="458"/>
      <c r="M524" s="458"/>
      <c r="N524" s="458"/>
      <c r="O524" s="443"/>
      <c r="P524" s="447"/>
    </row>
    <row r="525" spans="1:16" s="444" customFormat="1" ht="15">
      <c r="A525" s="443"/>
      <c r="B525" s="443"/>
      <c r="C525" s="443"/>
      <c r="D525" s="443"/>
      <c r="E525" s="458"/>
      <c r="F525" s="458"/>
      <c r="G525" s="458"/>
      <c r="H525" s="458"/>
      <c r="I525" s="458"/>
      <c r="J525" s="458"/>
      <c r="K525" s="458"/>
      <c r="L525" s="458"/>
      <c r="M525" s="458"/>
      <c r="N525" s="458"/>
      <c r="O525" s="443"/>
      <c r="P525" s="447"/>
    </row>
    <row r="526" spans="1:16" s="444" customFormat="1" ht="15">
      <c r="A526" s="443"/>
      <c r="B526" s="443"/>
      <c r="C526" s="443"/>
      <c r="D526" s="443"/>
      <c r="E526" s="458"/>
      <c r="F526" s="458"/>
      <c r="G526" s="458"/>
      <c r="H526" s="458"/>
      <c r="I526" s="458"/>
      <c r="J526" s="458"/>
      <c r="K526" s="458"/>
      <c r="L526" s="458"/>
      <c r="M526" s="458"/>
      <c r="N526" s="458"/>
      <c r="O526" s="443"/>
      <c r="P526" s="447"/>
    </row>
    <row r="527" spans="1:16" s="444" customFormat="1" ht="15">
      <c r="A527" s="443"/>
      <c r="B527" s="443"/>
      <c r="C527" s="443"/>
      <c r="D527" s="443"/>
      <c r="E527" s="458"/>
      <c r="F527" s="458"/>
      <c r="G527" s="458"/>
      <c r="H527" s="458"/>
      <c r="I527" s="458"/>
      <c r="J527" s="458"/>
      <c r="K527" s="458"/>
      <c r="L527" s="458"/>
      <c r="M527" s="458"/>
      <c r="N527" s="458"/>
      <c r="O527" s="443"/>
      <c r="P527" s="447"/>
    </row>
    <row r="528" spans="1:16" s="444" customFormat="1" ht="15">
      <c r="A528" s="443"/>
      <c r="B528" s="443"/>
      <c r="C528" s="443"/>
      <c r="D528" s="443"/>
      <c r="E528" s="458"/>
      <c r="F528" s="458"/>
      <c r="G528" s="458"/>
      <c r="H528" s="458"/>
      <c r="I528" s="458"/>
      <c r="J528" s="458"/>
      <c r="K528" s="458"/>
      <c r="L528" s="458"/>
      <c r="M528" s="458"/>
      <c r="N528" s="458"/>
      <c r="O528" s="443"/>
      <c r="P528" s="447"/>
    </row>
    <row r="529" spans="1:16" s="444" customFormat="1" ht="15">
      <c r="A529" s="443"/>
      <c r="B529" s="443"/>
      <c r="C529" s="443"/>
      <c r="D529" s="443"/>
      <c r="E529" s="458"/>
      <c r="F529" s="458"/>
      <c r="G529" s="458"/>
      <c r="H529" s="458"/>
      <c r="I529" s="458"/>
      <c r="J529" s="458"/>
      <c r="K529" s="458"/>
      <c r="L529" s="458"/>
      <c r="M529" s="458"/>
      <c r="N529" s="458"/>
      <c r="O529" s="443"/>
      <c r="P529" s="447"/>
    </row>
    <row r="530" spans="1:16" s="444" customFormat="1" ht="15">
      <c r="A530" s="443"/>
      <c r="B530" s="443"/>
      <c r="C530" s="443"/>
      <c r="D530" s="443"/>
      <c r="E530" s="458"/>
      <c r="F530" s="458"/>
      <c r="G530" s="458"/>
      <c r="H530" s="458"/>
      <c r="I530" s="458"/>
      <c r="J530" s="458"/>
      <c r="K530" s="458"/>
      <c r="L530" s="458"/>
      <c r="M530" s="458"/>
      <c r="N530" s="458"/>
      <c r="O530" s="443"/>
      <c r="P530" s="447"/>
    </row>
    <row r="531" spans="1:16" s="444" customFormat="1" ht="15">
      <c r="A531" s="443"/>
      <c r="B531" s="443"/>
      <c r="C531" s="443"/>
      <c r="D531" s="443"/>
      <c r="E531" s="458"/>
      <c r="F531" s="458"/>
      <c r="G531" s="458"/>
      <c r="H531" s="458"/>
      <c r="I531" s="458"/>
      <c r="J531" s="458"/>
      <c r="K531" s="458"/>
      <c r="L531" s="458"/>
      <c r="M531" s="458"/>
      <c r="N531" s="458"/>
      <c r="O531" s="443"/>
      <c r="P531" s="447"/>
    </row>
    <row r="532" spans="1:16" s="444" customFormat="1" ht="15">
      <c r="A532" s="443"/>
      <c r="B532" s="443"/>
      <c r="C532" s="443"/>
      <c r="D532" s="443"/>
      <c r="E532" s="458"/>
      <c r="F532" s="458"/>
      <c r="G532" s="458"/>
      <c r="H532" s="458"/>
      <c r="I532" s="458"/>
      <c r="J532" s="458"/>
      <c r="K532" s="458"/>
      <c r="L532" s="458"/>
      <c r="M532" s="458"/>
      <c r="N532" s="458"/>
      <c r="O532" s="443"/>
      <c r="P532" s="447"/>
    </row>
    <row r="533" spans="1:16" s="444" customFormat="1" ht="15">
      <c r="A533" s="443"/>
      <c r="B533" s="443"/>
      <c r="C533" s="443"/>
      <c r="D533" s="443"/>
      <c r="E533" s="458"/>
      <c r="F533" s="458"/>
      <c r="G533" s="458"/>
      <c r="H533" s="458"/>
      <c r="I533" s="458"/>
      <c r="J533" s="458"/>
      <c r="K533" s="458"/>
      <c r="L533" s="458"/>
      <c r="M533" s="458"/>
      <c r="N533" s="458"/>
      <c r="O533" s="443"/>
      <c r="P533" s="447"/>
    </row>
    <row r="534" spans="1:16" s="444" customFormat="1" ht="15">
      <c r="A534" s="443"/>
      <c r="B534" s="443"/>
      <c r="C534" s="443"/>
      <c r="D534" s="443"/>
      <c r="E534" s="458"/>
      <c r="F534" s="458"/>
      <c r="G534" s="458"/>
      <c r="H534" s="458"/>
      <c r="I534" s="458"/>
      <c r="J534" s="458"/>
      <c r="K534" s="458"/>
      <c r="L534" s="458"/>
      <c r="M534" s="458"/>
      <c r="N534" s="458"/>
      <c r="O534" s="443"/>
      <c r="P534" s="447"/>
    </row>
    <row r="535" spans="1:16" s="444" customFormat="1" ht="15">
      <c r="A535" s="443"/>
      <c r="B535" s="443"/>
      <c r="C535" s="443"/>
      <c r="D535" s="443"/>
      <c r="E535" s="458"/>
      <c r="F535" s="458"/>
      <c r="G535" s="458"/>
      <c r="H535" s="458"/>
      <c r="I535" s="458"/>
      <c r="J535" s="458"/>
      <c r="K535" s="458"/>
      <c r="L535" s="458"/>
      <c r="M535" s="458"/>
      <c r="N535" s="458"/>
      <c r="O535" s="443"/>
      <c r="P535" s="447"/>
    </row>
    <row r="536" spans="1:16" s="444" customFormat="1" ht="15">
      <c r="A536" s="443"/>
      <c r="B536" s="443"/>
      <c r="C536" s="443"/>
      <c r="D536" s="443"/>
      <c r="E536" s="458"/>
      <c r="F536" s="458"/>
      <c r="G536" s="458"/>
      <c r="H536" s="458"/>
      <c r="I536" s="458"/>
      <c r="J536" s="458"/>
      <c r="K536" s="458"/>
      <c r="L536" s="458"/>
      <c r="M536" s="458"/>
      <c r="N536" s="458"/>
      <c r="O536" s="443"/>
      <c r="P536" s="447"/>
    </row>
    <row r="537" spans="1:16" s="444" customFormat="1" ht="15">
      <c r="A537" s="443"/>
      <c r="B537" s="443"/>
      <c r="C537" s="443"/>
      <c r="D537" s="443"/>
      <c r="E537" s="458"/>
      <c r="F537" s="458"/>
      <c r="G537" s="458"/>
      <c r="H537" s="458"/>
      <c r="I537" s="458"/>
      <c r="J537" s="458"/>
      <c r="K537" s="458"/>
      <c r="L537" s="458"/>
      <c r="M537" s="458"/>
      <c r="N537" s="458"/>
      <c r="O537" s="443"/>
      <c r="P537" s="447"/>
    </row>
    <row r="538" spans="1:16" s="444" customFormat="1" ht="15">
      <c r="A538" s="443"/>
      <c r="B538" s="443"/>
      <c r="C538" s="443"/>
      <c r="D538" s="443"/>
      <c r="E538" s="458"/>
      <c r="F538" s="458"/>
      <c r="G538" s="458"/>
      <c r="H538" s="458"/>
      <c r="I538" s="458"/>
      <c r="J538" s="458"/>
      <c r="K538" s="458"/>
      <c r="L538" s="458"/>
      <c r="M538" s="458"/>
      <c r="N538" s="458"/>
      <c r="O538" s="443"/>
      <c r="P538" s="447"/>
    </row>
    <row r="539" spans="1:16" s="444" customFormat="1" ht="15">
      <c r="A539" s="443"/>
      <c r="B539" s="443"/>
      <c r="C539" s="443"/>
      <c r="D539" s="443"/>
      <c r="E539" s="458"/>
      <c r="F539" s="458"/>
      <c r="G539" s="458"/>
      <c r="H539" s="458"/>
      <c r="I539" s="458"/>
      <c r="J539" s="458"/>
      <c r="K539" s="458"/>
      <c r="L539" s="458"/>
      <c r="M539" s="458"/>
      <c r="N539" s="458"/>
      <c r="O539" s="443"/>
      <c r="P539" s="447"/>
    </row>
    <row r="540" spans="1:16" s="444" customFormat="1" ht="15">
      <c r="A540" s="443"/>
      <c r="B540" s="443"/>
      <c r="C540" s="443"/>
      <c r="D540" s="443"/>
      <c r="E540" s="458"/>
      <c r="F540" s="458"/>
      <c r="G540" s="458"/>
      <c r="H540" s="458"/>
      <c r="I540" s="458"/>
      <c r="J540" s="458"/>
      <c r="K540" s="458"/>
      <c r="L540" s="458"/>
      <c r="M540" s="458"/>
      <c r="N540" s="458"/>
      <c r="O540" s="443"/>
      <c r="P540" s="447"/>
    </row>
    <row r="541" spans="1:16" s="444" customFormat="1" ht="15">
      <c r="A541" s="443"/>
      <c r="B541" s="443"/>
      <c r="C541" s="443"/>
      <c r="D541" s="443"/>
      <c r="E541" s="458"/>
      <c r="F541" s="458"/>
      <c r="G541" s="458"/>
      <c r="H541" s="458"/>
      <c r="I541" s="458"/>
      <c r="J541" s="458"/>
      <c r="K541" s="458"/>
      <c r="L541" s="458"/>
      <c r="M541" s="458"/>
      <c r="N541" s="458"/>
      <c r="O541" s="443"/>
      <c r="P541" s="447"/>
    </row>
    <row r="542" spans="1:16" s="444" customFormat="1" ht="15">
      <c r="A542" s="443"/>
      <c r="B542" s="443"/>
      <c r="C542" s="443"/>
      <c r="D542" s="443"/>
      <c r="E542" s="458"/>
      <c r="F542" s="458"/>
      <c r="G542" s="458"/>
      <c r="H542" s="458"/>
      <c r="I542" s="458"/>
      <c r="J542" s="458"/>
      <c r="K542" s="458"/>
      <c r="L542" s="458"/>
      <c r="M542" s="458"/>
      <c r="N542" s="458"/>
      <c r="O542" s="443"/>
      <c r="P542" s="447"/>
    </row>
    <row r="543" spans="1:16" s="444" customFormat="1" ht="15">
      <c r="A543" s="443"/>
      <c r="B543" s="443"/>
      <c r="C543" s="443"/>
      <c r="D543" s="443"/>
      <c r="E543" s="458"/>
      <c r="F543" s="458"/>
      <c r="G543" s="458"/>
      <c r="H543" s="458"/>
      <c r="I543" s="458"/>
      <c r="J543" s="458"/>
      <c r="K543" s="458"/>
      <c r="L543" s="458"/>
      <c r="M543" s="458"/>
      <c r="N543" s="458"/>
      <c r="O543" s="443"/>
      <c r="P543" s="447"/>
    </row>
    <row r="544" spans="1:16" s="444" customFormat="1" ht="15">
      <c r="A544" s="443"/>
      <c r="B544" s="443"/>
      <c r="C544" s="443"/>
      <c r="D544" s="443"/>
      <c r="E544" s="458"/>
      <c r="F544" s="458"/>
      <c r="G544" s="458"/>
      <c r="H544" s="458"/>
      <c r="I544" s="458"/>
      <c r="J544" s="458"/>
      <c r="K544" s="458"/>
      <c r="L544" s="458"/>
      <c r="M544" s="458"/>
      <c r="N544" s="458"/>
      <c r="O544" s="443"/>
      <c r="P544" s="447"/>
    </row>
    <row r="545" spans="1:16" s="444" customFormat="1" ht="15">
      <c r="A545" s="443"/>
      <c r="B545" s="443"/>
      <c r="C545" s="443"/>
      <c r="D545" s="443"/>
      <c r="E545" s="458"/>
      <c r="F545" s="458"/>
      <c r="G545" s="458"/>
      <c r="H545" s="458"/>
      <c r="I545" s="458"/>
      <c r="J545" s="458"/>
      <c r="K545" s="458"/>
      <c r="L545" s="458"/>
      <c r="M545" s="458"/>
      <c r="N545" s="458"/>
      <c r="O545" s="443"/>
      <c r="P545" s="447"/>
    </row>
    <row r="546" spans="1:16" s="444" customFormat="1" ht="15">
      <c r="A546" s="443"/>
      <c r="B546" s="443"/>
      <c r="C546" s="443"/>
      <c r="D546" s="443"/>
      <c r="E546" s="458"/>
      <c r="F546" s="458"/>
      <c r="G546" s="458"/>
      <c r="H546" s="458"/>
      <c r="I546" s="458"/>
      <c r="J546" s="458"/>
      <c r="K546" s="458"/>
      <c r="L546" s="458"/>
      <c r="M546" s="458"/>
      <c r="N546" s="458"/>
      <c r="O546" s="443"/>
      <c r="P546" s="447"/>
    </row>
    <row r="547" spans="1:16" s="444" customFormat="1" ht="15">
      <c r="A547" s="443"/>
      <c r="B547" s="443"/>
      <c r="C547" s="443"/>
      <c r="D547" s="443"/>
      <c r="E547" s="458"/>
      <c r="F547" s="458"/>
      <c r="G547" s="458"/>
      <c r="H547" s="458"/>
      <c r="I547" s="458"/>
      <c r="J547" s="458"/>
      <c r="K547" s="458"/>
      <c r="L547" s="458"/>
      <c r="M547" s="458"/>
      <c r="N547" s="458"/>
      <c r="O547" s="443"/>
      <c r="P547" s="447"/>
    </row>
    <row r="548" spans="1:16" s="444" customFormat="1" ht="15">
      <c r="A548" s="443"/>
      <c r="B548" s="443"/>
      <c r="C548" s="443"/>
      <c r="D548" s="443"/>
      <c r="E548" s="458"/>
      <c r="F548" s="458"/>
      <c r="G548" s="458"/>
      <c r="H548" s="458"/>
      <c r="I548" s="458"/>
      <c r="J548" s="458"/>
      <c r="K548" s="458"/>
      <c r="L548" s="458"/>
      <c r="M548" s="458"/>
      <c r="N548" s="458"/>
      <c r="O548" s="443"/>
      <c r="P548" s="447"/>
    </row>
    <row r="549" spans="1:16" s="444" customFormat="1" ht="15">
      <c r="A549" s="443"/>
      <c r="B549" s="443"/>
      <c r="C549" s="443"/>
      <c r="D549" s="443"/>
      <c r="E549" s="458"/>
      <c r="F549" s="458"/>
      <c r="G549" s="458"/>
      <c r="H549" s="458"/>
      <c r="I549" s="458"/>
      <c r="J549" s="458"/>
      <c r="K549" s="458"/>
      <c r="L549" s="458"/>
      <c r="M549" s="458"/>
      <c r="N549" s="458"/>
      <c r="O549" s="443"/>
      <c r="P549" s="447"/>
    </row>
    <row r="550" spans="1:16" s="444" customFormat="1" ht="15">
      <c r="A550" s="443"/>
      <c r="B550" s="443"/>
      <c r="C550" s="443"/>
      <c r="D550" s="443"/>
      <c r="E550" s="458"/>
      <c r="F550" s="458"/>
      <c r="G550" s="458"/>
      <c r="H550" s="458"/>
      <c r="I550" s="458"/>
      <c r="J550" s="458"/>
      <c r="K550" s="458"/>
      <c r="L550" s="458"/>
      <c r="M550" s="458"/>
      <c r="N550" s="458"/>
      <c r="O550" s="443"/>
      <c r="P550" s="447"/>
    </row>
    <row r="551" spans="1:16" s="444" customFormat="1" ht="15">
      <c r="A551" s="443"/>
      <c r="B551" s="443"/>
      <c r="C551" s="443"/>
      <c r="D551" s="443"/>
      <c r="E551" s="458"/>
      <c r="F551" s="458"/>
      <c r="G551" s="458"/>
      <c r="H551" s="458"/>
      <c r="I551" s="458"/>
      <c r="J551" s="458"/>
      <c r="K551" s="458"/>
      <c r="L551" s="458"/>
      <c r="M551" s="458"/>
      <c r="N551" s="458"/>
      <c r="O551" s="443"/>
      <c r="P551" s="447"/>
    </row>
    <row r="552" spans="1:16" s="444" customFormat="1" ht="15">
      <c r="A552" s="443"/>
      <c r="B552" s="443"/>
      <c r="C552" s="443"/>
      <c r="D552" s="443"/>
      <c r="E552" s="458"/>
      <c r="F552" s="458"/>
      <c r="G552" s="458"/>
      <c r="H552" s="458"/>
      <c r="I552" s="458"/>
      <c r="J552" s="458"/>
      <c r="K552" s="458"/>
      <c r="L552" s="458"/>
      <c r="M552" s="458"/>
      <c r="N552" s="458"/>
      <c r="O552" s="443"/>
      <c r="P552" s="447"/>
    </row>
    <row r="553" spans="1:16" s="444" customFormat="1" ht="15">
      <c r="A553" s="443"/>
      <c r="B553" s="443"/>
      <c r="C553" s="443"/>
      <c r="D553" s="443"/>
      <c r="E553" s="458"/>
      <c r="F553" s="458"/>
      <c r="G553" s="458"/>
      <c r="H553" s="458"/>
      <c r="I553" s="458"/>
      <c r="J553" s="458"/>
      <c r="K553" s="458"/>
      <c r="L553" s="458"/>
      <c r="M553" s="458"/>
      <c r="N553" s="458"/>
      <c r="O553" s="443"/>
      <c r="P553" s="447"/>
    </row>
    <row r="554" spans="1:16" s="444" customFormat="1" ht="15">
      <c r="A554" s="443"/>
      <c r="B554" s="443"/>
      <c r="C554" s="443"/>
      <c r="D554" s="443"/>
      <c r="E554" s="458"/>
      <c r="F554" s="458"/>
      <c r="G554" s="458"/>
      <c r="H554" s="458"/>
      <c r="I554" s="458"/>
      <c r="J554" s="458"/>
      <c r="K554" s="458"/>
      <c r="L554" s="458"/>
      <c r="M554" s="458"/>
      <c r="N554" s="458"/>
      <c r="O554" s="443"/>
      <c r="P554" s="447"/>
    </row>
    <row r="555" spans="1:16" s="444" customFormat="1" ht="15">
      <c r="A555" s="443"/>
      <c r="B555" s="443"/>
      <c r="C555" s="443"/>
      <c r="D555" s="443"/>
      <c r="E555" s="458"/>
      <c r="F555" s="458"/>
      <c r="G555" s="458"/>
      <c r="H555" s="458"/>
      <c r="I555" s="458"/>
      <c r="J555" s="458"/>
      <c r="K555" s="458"/>
      <c r="L555" s="458"/>
      <c r="M555" s="458"/>
      <c r="N555" s="458"/>
      <c r="O555" s="443"/>
      <c r="P555" s="447"/>
    </row>
    <row r="556" spans="1:16" s="444" customFormat="1" ht="15">
      <c r="A556" s="443"/>
      <c r="B556" s="443"/>
      <c r="C556" s="443"/>
      <c r="D556" s="443"/>
      <c r="E556" s="458"/>
      <c r="F556" s="458"/>
      <c r="G556" s="458"/>
      <c r="H556" s="458"/>
      <c r="I556" s="458"/>
      <c r="J556" s="458"/>
      <c r="K556" s="458"/>
      <c r="L556" s="458"/>
      <c r="M556" s="458"/>
      <c r="N556" s="458"/>
      <c r="O556" s="443"/>
      <c r="P556" s="447"/>
    </row>
    <row r="557" spans="1:16" s="444" customFormat="1" ht="15">
      <c r="A557" s="443"/>
      <c r="B557" s="443"/>
      <c r="C557" s="443"/>
      <c r="D557" s="443"/>
      <c r="E557" s="458"/>
      <c r="F557" s="458"/>
      <c r="G557" s="458"/>
      <c r="H557" s="458"/>
      <c r="I557" s="458"/>
      <c r="J557" s="458"/>
      <c r="K557" s="458"/>
      <c r="L557" s="458"/>
      <c r="M557" s="458"/>
      <c r="N557" s="458"/>
      <c r="O557" s="443"/>
      <c r="P557" s="447"/>
    </row>
    <row r="558" spans="1:16" s="444" customFormat="1" ht="15">
      <c r="A558" s="443"/>
      <c r="B558" s="443"/>
      <c r="C558" s="443"/>
      <c r="D558" s="443"/>
      <c r="E558" s="458"/>
      <c r="F558" s="458"/>
      <c r="G558" s="458"/>
      <c r="H558" s="458"/>
      <c r="I558" s="458"/>
      <c r="J558" s="458"/>
      <c r="K558" s="458"/>
      <c r="L558" s="458"/>
      <c r="M558" s="458"/>
      <c r="N558" s="458"/>
      <c r="O558" s="443"/>
      <c r="P558" s="447"/>
    </row>
    <row r="559" spans="1:16" s="444" customFormat="1" ht="15">
      <c r="A559" s="443"/>
      <c r="B559" s="443"/>
      <c r="C559" s="443"/>
      <c r="D559" s="443"/>
      <c r="E559" s="458"/>
      <c r="F559" s="458"/>
      <c r="G559" s="458"/>
      <c r="H559" s="458"/>
      <c r="I559" s="458"/>
      <c r="J559" s="458"/>
      <c r="K559" s="458"/>
      <c r="L559" s="458"/>
      <c r="M559" s="458"/>
      <c r="N559" s="458"/>
      <c r="O559" s="443"/>
      <c r="P559" s="447"/>
    </row>
    <row r="560" spans="1:16" s="444" customFormat="1" ht="15">
      <c r="A560" s="443"/>
      <c r="B560" s="443"/>
      <c r="C560" s="443"/>
      <c r="D560" s="443"/>
      <c r="E560" s="458"/>
      <c r="F560" s="458"/>
      <c r="G560" s="458"/>
      <c r="H560" s="458"/>
      <c r="I560" s="458"/>
      <c r="J560" s="458"/>
      <c r="K560" s="458"/>
      <c r="L560" s="458"/>
      <c r="M560" s="458"/>
      <c r="N560" s="458"/>
      <c r="O560" s="443"/>
      <c r="P560" s="447"/>
    </row>
    <row r="561" spans="1:16" s="444" customFormat="1" ht="15">
      <c r="A561" s="443"/>
      <c r="B561" s="443"/>
      <c r="C561" s="443"/>
      <c r="D561" s="443"/>
      <c r="E561" s="458"/>
      <c r="F561" s="458"/>
      <c r="G561" s="458"/>
      <c r="H561" s="458"/>
      <c r="I561" s="458"/>
      <c r="J561" s="458"/>
      <c r="K561" s="458"/>
      <c r="L561" s="458"/>
      <c r="M561" s="458"/>
      <c r="N561" s="458"/>
      <c r="O561" s="443"/>
      <c r="P561" s="447"/>
    </row>
    <row r="562" spans="1:16" s="444" customFormat="1" ht="15">
      <c r="A562" s="443"/>
      <c r="B562" s="443"/>
      <c r="C562" s="443"/>
      <c r="D562" s="443"/>
      <c r="E562" s="458"/>
      <c r="F562" s="458"/>
      <c r="G562" s="458"/>
      <c r="H562" s="458"/>
      <c r="I562" s="458"/>
      <c r="J562" s="458"/>
      <c r="K562" s="458"/>
      <c r="L562" s="458"/>
      <c r="M562" s="458"/>
      <c r="N562" s="458"/>
      <c r="O562" s="443"/>
      <c r="P562" s="447"/>
    </row>
    <row r="563" spans="1:16" s="444" customFormat="1" ht="15">
      <c r="A563" s="443"/>
      <c r="B563" s="443"/>
      <c r="C563" s="443"/>
      <c r="D563" s="443"/>
      <c r="E563" s="458"/>
      <c r="F563" s="458"/>
      <c r="G563" s="458"/>
      <c r="H563" s="458"/>
      <c r="I563" s="458"/>
      <c r="J563" s="458"/>
      <c r="K563" s="458"/>
      <c r="L563" s="458"/>
      <c r="M563" s="458"/>
      <c r="N563" s="458"/>
      <c r="O563" s="443"/>
      <c r="P563" s="447"/>
    </row>
    <row r="564" spans="1:16" s="444" customFormat="1" ht="15">
      <c r="A564" s="443"/>
      <c r="B564" s="443"/>
      <c r="C564" s="443"/>
      <c r="D564" s="443"/>
      <c r="E564" s="458"/>
      <c r="F564" s="458"/>
      <c r="G564" s="458"/>
      <c r="H564" s="458"/>
      <c r="I564" s="458"/>
      <c r="J564" s="458"/>
      <c r="K564" s="458"/>
      <c r="L564" s="458"/>
      <c r="M564" s="458"/>
      <c r="N564" s="458"/>
      <c r="O564" s="443"/>
      <c r="P564" s="447"/>
    </row>
    <row r="565" spans="1:16" s="444" customFormat="1" ht="15">
      <c r="A565" s="443"/>
      <c r="B565" s="443"/>
      <c r="C565" s="443"/>
      <c r="D565" s="443"/>
      <c r="E565" s="458"/>
      <c r="F565" s="458"/>
      <c r="G565" s="458"/>
      <c r="H565" s="458"/>
      <c r="I565" s="458"/>
      <c r="J565" s="458"/>
      <c r="K565" s="458"/>
      <c r="L565" s="458"/>
      <c r="M565" s="458"/>
      <c r="N565" s="458"/>
      <c r="O565" s="443"/>
      <c r="P565" s="447"/>
    </row>
    <row r="566" spans="1:16" s="444" customFormat="1" ht="15">
      <c r="A566" s="443"/>
      <c r="B566" s="443"/>
      <c r="C566" s="443"/>
      <c r="D566" s="443"/>
      <c r="E566" s="458"/>
      <c r="F566" s="458"/>
      <c r="G566" s="458"/>
      <c r="H566" s="458"/>
      <c r="I566" s="458"/>
      <c r="J566" s="458"/>
      <c r="K566" s="458"/>
      <c r="L566" s="458"/>
      <c r="M566" s="458"/>
      <c r="N566" s="458"/>
      <c r="O566" s="443"/>
      <c r="P566" s="447"/>
    </row>
    <row r="567" spans="1:16" s="444" customFormat="1" ht="15">
      <c r="A567" s="443"/>
      <c r="B567" s="443"/>
      <c r="C567" s="443"/>
      <c r="D567" s="443"/>
      <c r="E567" s="458"/>
      <c r="F567" s="458"/>
      <c r="G567" s="458"/>
      <c r="H567" s="458"/>
      <c r="I567" s="458"/>
      <c r="J567" s="458"/>
      <c r="K567" s="458"/>
      <c r="L567" s="458"/>
      <c r="M567" s="458"/>
      <c r="N567" s="458"/>
      <c r="O567" s="443"/>
      <c r="P567" s="447"/>
    </row>
    <row r="568" spans="1:16" s="444" customFormat="1" ht="15">
      <c r="A568" s="443"/>
      <c r="B568" s="443"/>
      <c r="C568" s="443"/>
      <c r="D568" s="443"/>
      <c r="E568" s="458"/>
      <c r="F568" s="458"/>
      <c r="G568" s="458"/>
      <c r="H568" s="458"/>
      <c r="I568" s="458"/>
      <c r="J568" s="458"/>
      <c r="K568" s="458"/>
      <c r="L568" s="458"/>
      <c r="M568" s="458"/>
      <c r="N568" s="458"/>
      <c r="O568" s="443"/>
      <c r="P568" s="447"/>
    </row>
    <row r="569" spans="1:16" s="444" customFormat="1" ht="15">
      <c r="A569" s="443"/>
      <c r="B569" s="443"/>
      <c r="C569" s="443"/>
      <c r="D569" s="443"/>
      <c r="E569" s="458"/>
      <c r="F569" s="458"/>
      <c r="G569" s="458"/>
      <c r="H569" s="458"/>
      <c r="I569" s="458"/>
      <c r="J569" s="458"/>
      <c r="K569" s="458"/>
      <c r="L569" s="458"/>
      <c r="M569" s="458"/>
      <c r="N569" s="458"/>
      <c r="O569" s="443"/>
      <c r="P569" s="447"/>
    </row>
    <row r="570" spans="1:16" s="444" customFormat="1" ht="15">
      <c r="A570" s="443"/>
      <c r="B570" s="443"/>
      <c r="C570" s="443"/>
      <c r="D570" s="443"/>
      <c r="E570" s="458"/>
      <c r="F570" s="458"/>
      <c r="G570" s="458"/>
      <c r="H570" s="458"/>
      <c r="I570" s="458"/>
      <c r="J570" s="458"/>
      <c r="K570" s="458"/>
      <c r="L570" s="458"/>
      <c r="M570" s="458"/>
      <c r="N570" s="458"/>
      <c r="O570" s="443"/>
      <c r="P570" s="447"/>
    </row>
    <row r="571" spans="1:16" s="444" customFormat="1" ht="15">
      <c r="A571" s="443"/>
      <c r="B571" s="443"/>
      <c r="C571" s="443"/>
      <c r="D571" s="443"/>
      <c r="E571" s="458"/>
      <c r="F571" s="458"/>
      <c r="G571" s="458"/>
      <c r="H571" s="458"/>
      <c r="I571" s="458"/>
      <c r="J571" s="458"/>
      <c r="K571" s="458"/>
      <c r="L571" s="458"/>
      <c r="M571" s="458"/>
      <c r="N571" s="458"/>
      <c r="O571" s="443"/>
      <c r="P571" s="447"/>
    </row>
    <row r="572" spans="1:16" s="444" customFormat="1" ht="15">
      <c r="A572" s="443"/>
      <c r="B572" s="443"/>
      <c r="C572" s="443"/>
      <c r="D572" s="443"/>
      <c r="E572" s="458"/>
      <c r="F572" s="458"/>
      <c r="G572" s="458"/>
      <c r="H572" s="458"/>
      <c r="I572" s="458"/>
      <c r="J572" s="458"/>
      <c r="K572" s="458"/>
      <c r="L572" s="458"/>
      <c r="M572" s="458"/>
      <c r="N572" s="458"/>
      <c r="O572" s="443"/>
      <c r="P572" s="447"/>
    </row>
    <row r="573" spans="1:16" s="444" customFormat="1" ht="15">
      <c r="A573" s="443"/>
      <c r="B573" s="443"/>
      <c r="C573" s="443"/>
      <c r="D573" s="443"/>
      <c r="E573" s="458"/>
      <c r="F573" s="458"/>
      <c r="G573" s="458"/>
      <c r="H573" s="458"/>
      <c r="I573" s="458"/>
      <c r="J573" s="458"/>
      <c r="K573" s="458"/>
      <c r="L573" s="458"/>
      <c r="M573" s="458"/>
      <c r="N573" s="458"/>
      <c r="O573" s="443"/>
      <c r="P573" s="447"/>
    </row>
    <row r="574" spans="1:16" s="444" customFormat="1" ht="15">
      <c r="A574" s="443"/>
      <c r="B574" s="443"/>
      <c r="C574" s="443"/>
      <c r="D574" s="443"/>
      <c r="E574" s="458"/>
      <c r="F574" s="458"/>
      <c r="G574" s="458"/>
      <c r="H574" s="458"/>
      <c r="I574" s="458"/>
      <c r="J574" s="458"/>
      <c r="K574" s="458"/>
      <c r="L574" s="458"/>
      <c r="M574" s="458"/>
      <c r="N574" s="458"/>
      <c r="O574" s="443"/>
      <c r="P574" s="447"/>
    </row>
    <row r="575" spans="1:16" s="444" customFormat="1" ht="15">
      <c r="A575" s="443"/>
      <c r="B575" s="443"/>
      <c r="C575" s="443"/>
      <c r="D575" s="443"/>
      <c r="E575" s="458"/>
      <c r="F575" s="458"/>
      <c r="G575" s="458"/>
      <c r="H575" s="458"/>
      <c r="I575" s="458"/>
      <c r="J575" s="458"/>
      <c r="K575" s="458"/>
      <c r="L575" s="458"/>
      <c r="M575" s="458"/>
      <c r="N575" s="458"/>
      <c r="O575" s="443"/>
      <c r="P575" s="447"/>
    </row>
    <row r="576" spans="1:16" s="444" customFormat="1" ht="15">
      <c r="A576" s="443"/>
      <c r="B576" s="443"/>
      <c r="C576" s="443"/>
      <c r="D576" s="443"/>
      <c r="E576" s="458"/>
      <c r="F576" s="458"/>
      <c r="G576" s="458"/>
      <c r="H576" s="458"/>
      <c r="I576" s="458"/>
      <c r="J576" s="458"/>
      <c r="K576" s="458"/>
      <c r="L576" s="458"/>
      <c r="M576" s="458"/>
      <c r="N576" s="458"/>
      <c r="O576" s="443"/>
      <c r="P576" s="447"/>
    </row>
    <row r="577" spans="1:16" s="444" customFormat="1" ht="15">
      <c r="A577" s="443"/>
      <c r="B577" s="443"/>
      <c r="C577" s="443"/>
      <c r="D577" s="443"/>
      <c r="E577" s="458"/>
      <c r="F577" s="458"/>
      <c r="G577" s="458"/>
      <c r="H577" s="458"/>
      <c r="I577" s="458"/>
      <c r="J577" s="458"/>
      <c r="K577" s="458"/>
      <c r="L577" s="458"/>
      <c r="M577" s="458"/>
      <c r="N577" s="458"/>
      <c r="O577" s="443"/>
      <c r="P577" s="447"/>
    </row>
    <row r="578" spans="1:16" s="444" customFormat="1" ht="15">
      <c r="A578" s="443"/>
      <c r="B578" s="443"/>
      <c r="C578" s="443"/>
      <c r="D578" s="443"/>
      <c r="E578" s="458"/>
      <c r="F578" s="458"/>
      <c r="G578" s="458"/>
      <c r="H578" s="458"/>
      <c r="I578" s="458"/>
      <c r="J578" s="458"/>
      <c r="K578" s="458"/>
      <c r="L578" s="458"/>
      <c r="M578" s="458"/>
      <c r="N578" s="458"/>
      <c r="O578" s="443"/>
      <c r="P578" s="447"/>
    </row>
    <row r="579" spans="1:16" s="444" customFormat="1" ht="15">
      <c r="A579" s="443"/>
      <c r="B579" s="443"/>
      <c r="C579" s="443"/>
      <c r="D579" s="443"/>
      <c r="E579" s="458"/>
      <c r="F579" s="458"/>
      <c r="G579" s="458"/>
      <c r="H579" s="458"/>
      <c r="I579" s="458"/>
      <c r="J579" s="458"/>
      <c r="K579" s="458"/>
      <c r="L579" s="458"/>
      <c r="M579" s="458"/>
      <c r="N579" s="458"/>
      <c r="O579" s="443"/>
      <c r="P579" s="447"/>
    </row>
    <row r="580" spans="1:16" s="444" customFormat="1" ht="15">
      <c r="A580" s="443"/>
      <c r="B580" s="443"/>
      <c r="C580" s="443"/>
      <c r="D580" s="443"/>
      <c r="E580" s="458"/>
      <c r="F580" s="458"/>
      <c r="G580" s="458"/>
      <c r="H580" s="458"/>
      <c r="I580" s="458"/>
      <c r="J580" s="458"/>
      <c r="K580" s="458"/>
      <c r="L580" s="458"/>
      <c r="M580" s="458"/>
      <c r="N580" s="458"/>
      <c r="O580" s="443"/>
      <c r="P580" s="447"/>
    </row>
    <row r="581" spans="1:16" s="444" customFormat="1" ht="15">
      <c r="A581" s="443"/>
      <c r="B581" s="443"/>
      <c r="C581" s="443"/>
      <c r="D581" s="443"/>
      <c r="E581" s="458"/>
      <c r="F581" s="458"/>
      <c r="G581" s="458"/>
      <c r="H581" s="458"/>
      <c r="I581" s="458"/>
      <c r="J581" s="458"/>
      <c r="K581" s="458"/>
      <c r="L581" s="458"/>
      <c r="M581" s="458"/>
      <c r="N581" s="458"/>
      <c r="O581" s="443"/>
      <c r="P581" s="447"/>
    </row>
    <row r="582" spans="1:16" s="444" customFormat="1" ht="15">
      <c r="A582" s="443"/>
      <c r="B582" s="443"/>
      <c r="C582" s="443"/>
      <c r="D582" s="443"/>
      <c r="E582" s="458"/>
      <c r="F582" s="458"/>
      <c r="G582" s="458"/>
      <c r="H582" s="458"/>
      <c r="I582" s="458"/>
      <c r="J582" s="458"/>
      <c r="K582" s="458"/>
      <c r="L582" s="458"/>
      <c r="M582" s="458"/>
      <c r="N582" s="458"/>
      <c r="O582" s="443"/>
      <c r="P582" s="447"/>
    </row>
    <row r="583" spans="1:16" s="444" customFormat="1" ht="15">
      <c r="A583" s="443"/>
      <c r="B583" s="443"/>
      <c r="C583" s="443"/>
      <c r="D583" s="443"/>
      <c r="E583" s="458"/>
      <c r="F583" s="458"/>
      <c r="G583" s="458"/>
      <c r="H583" s="458"/>
      <c r="I583" s="458"/>
      <c r="J583" s="458"/>
      <c r="K583" s="458"/>
      <c r="L583" s="458"/>
      <c r="M583" s="458"/>
      <c r="N583" s="458"/>
      <c r="O583" s="443"/>
      <c r="P583" s="447"/>
    </row>
    <row r="584" spans="1:16" s="444" customFormat="1" ht="15">
      <c r="A584" s="443"/>
      <c r="B584" s="443"/>
      <c r="C584" s="443"/>
      <c r="D584" s="443"/>
      <c r="E584" s="458"/>
      <c r="F584" s="458"/>
      <c r="G584" s="458"/>
      <c r="H584" s="458"/>
      <c r="I584" s="458"/>
      <c r="J584" s="458"/>
      <c r="K584" s="458"/>
      <c r="L584" s="458"/>
      <c r="M584" s="458"/>
      <c r="N584" s="458"/>
      <c r="O584" s="443"/>
      <c r="P584" s="447"/>
    </row>
    <row r="585" spans="1:16" s="444" customFormat="1" ht="15">
      <c r="A585" s="443"/>
      <c r="B585" s="443"/>
      <c r="C585" s="443"/>
      <c r="D585" s="443"/>
      <c r="E585" s="458"/>
      <c r="F585" s="458"/>
      <c r="G585" s="458"/>
      <c r="H585" s="458"/>
      <c r="I585" s="458"/>
      <c r="J585" s="458"/>
      <c r="K585" s="458"/>
      <c r="L585" s="458"/>
      <c r="M585" s="458"/>
      <c r="N585" s="458"/>
      <c r="O585" s="443"/>
      <c r="P585" s="447"/>
    </row>
    <row r="586" spans="1:16" s="444" customFormat="1" ht="15">
      <c r="A586" s="443"/>
      <c r="B586" s="443"/>
      <c r="C586" s="443"/>
      <c r="D586" s="443"/>
      <c r="E586" s="458"/>
      <c r="F586" s="458"/>
      <c r="G586" s="458"/>
      <c r="H586" s="458"/>
      <c r="I586" s="458"/>
      <c r="J586" s="458"/>
      <c r="K586" s="458"/>
      <c r="L586" s="458"/>
      <c r="M586" s="458"/>
      <c r="N586" s="458"/>
      <c r="O586" s="443"/>
      <c r="P586" s="447"/>
    </row>
    <row r="587" spans="1:16" s="444" customFormat="1" ht="15">
      <c r="A587" s="443"/>
      <c r="B587" s="443"/>
      <c r="C587" s="443"/>
      <c r="D587" s="443"/>
      <c r="E587" s="458"/>
      <c r="F587" s="458"/>
      <c r="G587" s="458"/>
      <c r="H587" s="458"/>
      <c r="I587" s="458"/>
      <c r="J587" s="458"/>
      <c r="K587" s="458"/>
      <c r="L587" s="458"/>
      <c r="M587" s="458"/>
      <c r="N587" s="458"/>
      <c r="O587" s="443"/>
      <c r="P587" s="447"/>
    </row>
    <row r="588" spans="1:16" s="444" customFormat="1" ht="15">
      <c r="A588" s="443"/>
      <c r="B588" s="443"/>
      <c r="C588" s="443"/>
      <c r="D588" s="443"/>
      <c r="E588" s="458"/>
      <c r="F588" s="458"/>
      <c r="G588" s="458"/>
      <c r="H588" s="458"/>
      <c r="I588" s="458"/>
      <c r="J588" s="458"/>
      <c r="K588" s="458"/>
      <c r="L588" s="458"/>
      <c r="M588" s="458"/>
      <c r="N588" s="458"/>
      <c r="O588" s="443"/>
      <c r="P588" s="447"/>
    </row>
    <row r="589" spans="1:16" s="444" customFormat="1" ht="15">
      <c r="A589" s="443"/>
      <c r="B589" s="443"/>
      <c r="C589" s="443"/>
      <c r="D589" s="443"/>
      <c r="E589" s="458"/>
      <c r="F589" s="458"/>
      <c r="G589" s="458"/>
      <c r="H589" s="458"/>
      <c r="I589" s="458"/>
      <c r="J589" s="458"/>
      <c r="K589" s="458"/>
      <c r="L589" s="458"/>
      <c r="M589" s="458"/>
      <c r="N589" s="458"/>
      <c r="O589" s="443"/>
      <c r="P589" s="447"/>
    </row>
    <row r="590" spans="1:16" s="444" customFormat="1" ht="15">
      <c r="A590" s="443"/>
      <c r="B590" s="443"/>
      <c r="C590" s="443"/>
      <c r="D590" s="443"/>
      <c r="E590" s="458"/>
      <c r="F590" s="458"/>
      <c r="G590" s="458"/>
      <c r="H590" s="458"/>
      <c r="I590" s="458"/>
      <c r="J590" s="458"/>
      <c r="K590" s="458"/>
      <c r="L590" s="458"/>
      <c r="M590" s="458"/>
      <c r="N590" s="458"/>
      <c r="O590" s="443"/>
      <c r="P590" s="447"/>
    </row>
    <row r="591" spans="1:16" s="444" customFormat="1" ht="15">
      <c r="A591" s="443"/>
      <c r="B591" s="443"/>
      <c r="C591" s="443"/>
      <c r="D591" s="443"/>
      <c r="E591" s="458"/>
      <c r="F591" s="458"/>
      <c r="G591" s="458"/>
      <c r="H591" s="458"/>
      <c r="I591" s="458"/>
      <c r="J591" s="458"/>
      <c r="K591" s="458"/>
      <c r="L591" s="458"/>
      <c r="M591" s="458"/>
      <c r="N591" s="458"/>
      <c r="O591" s="443"/>
      <c r="P591" s="447"/>
    </row>
    <row r="592" spans="1:16" s="444" customFormat="1" ht="15">
      <c r="A592" s="443"/>
      <c r="B592" s="443"/>
      <c r="C592" s="443"/>
      <c r="D592" s="443"/>
      <c r="E592" s="458"/>
      <c r="F592" s="458"/>
      <c r="G592" s="458"/>
      <c r="H592" s="458"/>
      <c r="I592" s="458"/>
      <c r="J592" s="458"/>
      <c r="K592" s="458"/>
      <c r="L592" s="458"/>
      <c r="M592" s="458"/>
      <c r="N592" s="458"/>
      <c r="O592" s="443"/>
      <c r="P592" s="447"/>
    </row>
    <row r="593" spans="1:16" s="444" customFormat="1" ht="15">
      <c r="A593" s="443"/>
      <c r="B593" s="443"/>
      <c r="C593" s="443"/>
      <c r="D593" s="443"/>
      <c r="E593" s="458"/>
      <c r="F593" s="458"/>
      <c r="G593" s="458"/>
      <c r="H593" s="458"/>
      <c r="I593" s="458"/>
      <c r="J593" s="458"/>
      <c r="K593" s="458"/>
      <c r="L593" s="458"/>
      <c r="M593" s="458"/>
      <c r="N593" s="458"/>
      <c r="O593" s="443"/>
      <c r="P593" s="447"/>
    </row>
    <row r="594" spans="1:16" s="444" customFormat="1" ht="15">
      <c r="A594" s="443"/>
      <c r="B594" s="443"/>
      <c r="C594" s="443"/>
      <c r="D594" s="443"/>
      <c r="E594" s="458"/>
      <c r="F594" s="458"/>
      <c r="G594" s="458"/>
      <c r="H594" s="458"/>
      <c r="I594" s="458"/>
      <c r="J594" s="458"/>
      <c r="K594" s="458"/>
      <c r="L594" s="458"/>
      <c r="M594" s="458"/>
      <c r="N594" s="458"/>
      <c r="O594" s="443"/>
      <c r="P594" s="447"/>
    </row>
    <row r="595" spans="1:16" s="444" customFormat="1" ht="15">
      <c r="A595" s="443"/>
      <c r="B595" s="443"/>
      <c r="C595" s="443"/>
      <c r="D595" s="443"/>
      <c r="E595" s="458"/>
      <c r="F595" s="458"/>
      <c r="G595" s="458"/>
      <c r="H595" s="458"/>
      <c r="I595" s="458"/>
      <c r="J595" s="458"/>
      <c r="K595" s="458"/>
      <c r="L595" s="458"/>
      <c r="M595" s="458"/>
      <c r="N595" s="458"/>
      <c r="O595" s="443"/>
      <c r="P595" s="447"/>
    </row>
    <row r="596" spans="1:16" s="444" customFormat="1" ht="15">
      <c r="A596" s="443"/>
      <c r="B596" s="443"/>
      <c r="C596" s="443"/>
      <c r="D596" s="443"/>
      <c r="E596" s="458"/>
      <c r="F596" s="458"/>
      <c r="G596" s="458"/>
      <c r="H596" s="458"/>
      <c r="I596" s="458"/>
      <c r="J596" s="458"/>
      <c r="K596" s="458"/>
      <c r="L596" s="458"/>
      <c r="M596" s="458"/>
      <c r="N596" s="458"/>
      <c r="O596" s="443"/>
      <c r="P596" s="447"/>
    </row>
    <row r="597" spans="1:16" s="444" customFormat="1" ht="15">
      <c r="A597" s="443"/>
      <c r="B597" s="443"/>
      <c r="C597" s="443"/>
      <c r="D597" s="443"/>
      <c r="E597" s="458"/>
      <c r="F597" s="458"/>
      <c r="G597" s="458"/>
      <c r="H597" s="458"/>
      <c r="I597" s="458"/>
      <c r="J597" s="458"/>
      <c r="K597" s="458"/>
      <c r="L597" s="458"/>
      <c r="M597" s="458"/>
      <c r="N597" s="458"/>
      <c r="O597" s="443"/>
      <c r="P597" s="447"/>
    </row>
    <row r="598" spans="1:16" s="444" customFormat="1" ht="15">
      <c r="A598" s="443"/>
      <c r="B598" s="443"/>
      <c r="C598" s="443"/>
      <c r="D598" s="443"/>
      <c r="E598" s="458"/>
      <c r="F598" s="458"/>
      <c r="G598" s="458"/>
      <c r="H598" s="458"/>
      <c r="I598" s="458"/>
      <c r="J598" s="458"/>
      <c r="K598" s="458"/>
      <c r="L598" s="458"/>
      <c r="M598" s="458"/>
      <c r="N598" s="458"/>
      <c r="O598" s="443"/>
      <c r="P598" s="447"/>
    </row>
    <row r="599" spans="1:16" s="444" customFormat="1" ht="15">
      <c r="A599" s="443"/>
      <c r="B599" s="443"/>
      <c r="C599" s="443"/>
      <c r="D599" s="443"/>
      <c r="E599" s="458"/>
      <c r="F599" s="458"/>
      <c r="G599" s="458"/>
      <c r="H599" s="458"/>
      <c r="I599" s="458"/>
      <c r="J599" s="458"/>
      <c r="K599" s="458"/>
      <c r="L599" s="458"/>
      <c r="M599" s="458"/>
      <c r="N599" s="458"/>
      <c r="O599" s="443"/>
      <c r="P599" s="447"/>
    </row>
    <row r="600" spans="1:16" s="444" customFormat="1" ht="15">
      <c r="A600" s="443"/>
      <c r="B600" s="443"/>
      <c r="C600" s="443"/>
      <c r="D600" s="443"/>
      <c r="E600" s="458"/>
      <c r="F600" s="458"/>
      <c r="G600" s="458"/>
      <c r="H600" s="458"/>
      <c r="I600" s="458"/>
      <c r="J600" s="458"/>
      <c r="K600" s="458"/>
      <c r="L600" s="458"/>
      <c r="M600" s="458"/>
      <c r="N600" s="458"/>
      <c r="O600" s="443"/>
      <c r="P600" s="447"/>
    </row>
    <row r="601" spans="1:16" s="444" customFormat="1" ht="15">
      <c r="A601" s="443"/>
      <c r="B601" s="443"/>
      <c r="C601" s="443"/>
      <c r="D601" s="443"/>
      <c r="E601" s="458"/>
      <c r="F601" s="458"/>
      <c r="G601" s="458"/>
      <c r="H601" s="458"/>
      <c r="I601" s="458"/>
      <c r="J601" s="458"/>
      <c r="K601" s="458"/>
      <c r="L601" s="458"/>
      <c r="M601" s="458"/>
      <c r="N601" s="458"/>
      <c r="O601" s="443"/>
      <c r="P601" s="447"/>
    </row>
    <row r="602" spans="1:16" s="444" customFormat="1" ht="15">
      <c r="A602" s="443"/>
      <c r="B602" s="443"/>
      <c r="C602" s="443"/>
      <c r="D602" s="443"/>
      <c r="E602" s="458"/>
      <c r="F602" s="458"/>
      <c r="G602" s="458"/>
      <c r="H602" s="458"/>
      <c r="I602" s="458"/>
      <c r="J602" s="458"/>
      <c r="K602" s="458"/>
      <c r="L602" s="458"/>
      <c r="M602" s="458"/>
      <c r="N602" s="458"/>
      <c r="O602" s="443"/>
      <c r="P602" s="447"/>
    </row>
    <row r="603" spans="1:16" s="444" customFormat="1" ht="15">
      <c r="A603" s="443"/>
      <c r="B603" s="443"/>
      <c r="C603" s="443"/>
      <c r="D603" s="443"/>
      <c r="E603" s="458"/>
      <c r="F603" s="458"/>
      <c r="G603" s="458"/>
      <c r="H603" s="458"/>
      <c r="I603" s="458"/>
      <c r="J603" s="458"/>
      <c r="K603" s="458"/>
      <c r="L603" s="458"/>
      <c r="M603" s="458"/>
      <c r="N603" s="458"/>
      <c r="O603" s="443"/>
      <c r="P603" s="447"/>
    </row>
    <row r="604" spans="1:16" s="444" customFormat="1" ht="15">
      <c r="A604" s="443"/>
      <c r="B604" s="443"/>
      <c r="C604" s="443"/>
      <c r="D604" s="443"/>
      <c r="E604" s="458"/>
      <c r="F604" s="458"/>
      <c r="G604" s="458"/>
      <c r="H604" s="458"/>
      <c r="I604" s="458"/>
      <c r="J604" s="458"/>
      <c r="K604" s="458"/>
      <c r="L604" s="458"/>
      <c r="M604" s="458"/>
      <c r="N604" s="458"/>
      <c r="O604" s="443"/>
      <c r="P604" s="447"/>
    </row>
    <row r="605" spans="1:16" s="444" customFormat="1" ht="15">
      <c r="A605" s="443"/>
      <c r="B605" s="443"/>
      <c r="C605" s="443"/>
      <c r="D605" s="443"/>
      <c r="E605" s="458"/>
      <c r="F605" s="458"/>
      <c r="G605" s="458"/>
      <c r="H605" s="458"/>
      <c r="I605" s="458"/>
      <c r="J605" s="458"/>
      <c r="K605" s="458"/>
      <c r="L605" s="458"/>
      <c r="M605" s="458"/>
      <c r="N605" s="458"/>
      <c r="O605" s="443"/>
      <c r="P605" s="447"/>
    </row>
    <row r="606" spans="1:16" s="444" customFormat="1" ht="15">
      <c r="A606" s="443"/>
      <c r="B606" s="443"/>
      <c r="C606" s="443"/>
      <c r="D606" s="443"/>
      <c r="E606" s="458"/>
      <c r="F606" s="458"/>
      <c r="G606" s="458"/>
      <c r="H606" s="458"/>
      <c r="I606" s="458"/>
      <c r="J606" s="458"/>
      <c r="K606" s="458"/>
      <c r="L606" s="458"/>
      <c r="M606" s="458"/>
      <c r="N606" s="458"/>
      <c r="O606" s="443"/>
      <c r="P606" s="447"/>
    </row>
    <row r="607" spans="1:16" s="444" customFormat="1" ht="15">
      <c r="A607" s="443"/>
      <c r="B607" s="443"/>
      <c r="C607" s="443"/>
      <c r="D607" s="443"/>
      <c r="E607" s="458"/>
      <c r="F607" s="458"/>
      <c r="G607" s="458"/>
      <c r="H607" s="458"/>
      <c r="I607" s="458"/>
      <c r="J607" s="458"/>
      <c r="K607" s="458"/>
      <c r="L607" s="458"/>
      <c r="M607" s="458"/>
      <c r="N607" s="458"/>
      <c r="O607" s="443"/>
      <c r="P607" s="447"/>
    </row>
    <row r="608" spans="1:16" s="444" customFormat="1" ht="15">
      <c r="A608" s="443"/>
      <c r="B608" s="443"/>
      <c r="C608" s="443"/>
      <c r="D608" s="443"/>
      <c r="E608" s="458"/>
      <c r="F608" s="458"/>
      <c r="G608" s="458"/>
      <c r="H608" s="458"/>
      <c r="I608" s="458"/>
      <c r="J608" s="458"/>
      <c r="K608" s="458"/>
      <c r="L608" s="458"/>
      <c r="M608" s="458"/>
      <c r="N608" s="458"/>
      <c r="O608" s="443"/>
      <c r="P608" s="447"/>
    </row>
    <row r="609" spans="1:16" s="444" customFormat="1" ht="15">
      <c r="A609" s="443"/>
      <c r="B609" s="443"/>
      <c r="C609" s="443"/>
      <c r="D609" s="443"/>
      <c r="E609" s="458"/>
      <c r="F609" s="458"/>
      <c r="G609" s="458"/>
      <c r="H609" s="458"/>
      <c r="I609" s="458"/>
      <c r="J609" s="458"/>
      <c r="K609" s="458"/>
      <c r="L609" s="458"/>
      <c r="M609" s="458"/>
      <c r="N609" s="458"/>
      <c r="O609" s="443"/>
      <c r="P609" s="447"/>
    </row>
    <row r="610" spans="1:16" s="444" customFormat="1" ht="15">
      <c r="A610" s="443"/>
      <c r="B610" s="443"/>
      <c r="C610" s="443"/>
      <c r="D610" s="443"/>
      <c r="E610" s="458"/>
      <c r="F610" s="458"/>
      <c r="G610" s="458"/>
      <c r="H610" s="458"/>
      <c r="I610" s="458"/>
      <c r="J610" s="458"/>
      <c r="K610" s="458"/>
      <c r="L610" s="458"/>
      <c r="M610" s="458"/>
      <c r="N610" s="458"/>
      <c r="O610" s="443"/>
      <c r="P610" s="447"/>
    </row>
    <row r="611" spans="1:16" s="444" customFormat="1" ht="15">
      <c r="A611" s="443"/>
      <c r="B611" s="443"/>
      <c r="C611" s="443"/>
      <c r="D611" s="443"/>
      <c r="E611" s="458"/>
      <c r="F611" s="458"/>
      <c r="G611" s="458"/>
      <c r="H611" s="458"/>
      <c r="I611" s="458"/>
      <c r="J611" s="458"/>
      <c r="K611" s="458"/>
      <c r="L611" s="458"/>
      <c r="M611" s="458"/>
      <c r="N611" s="458"/>
      <c r="O611" s="443"/>
      <c r="P611" s="447"/>
    </row>
    <row r="612" spans="1:16" s="444" customFormat="1" ht="15">
      <c r="A612" s="443"/>
      <c r="B612" s="443"/>
      <c r="C612" s="443"/>
      <c r="D612" s="443"/>
      <c r="E612" s="458"/>
      <c r="F612" s="458"/>
      <c r="G612" s="458"/>
      <c r="H612" s="458"/>
      <c r="I612" s="458"/>
      <c r="J612" s="458"/>
      <c r="K612" s="458"/>
      <c r="L612" s="458"/>
      <c r="M612" s="458"/>
      <c r="N612" s="458"/>
      <c r="O612" s="443"/>
      <c r="P612" s="447"/>
    </row>
    <row r="613" spans="1:16" s="444" customFormat="1" ht="15">
      <c r="A613" s="443"/>
      <c r="B613" s="443"/>
      <c r="C613" s="443"/>
      <c r="D613" s="443"/>
      <c r="E613" s="458"/>
      <c r="F613" s="458"/>
      <c r="G613" s="458"/>
      <c r="H613" s="458"/>
      <c r="I613" s="458"/>
      <c r="J613" s="458"/>
      <c r="K613" s="458"/>
      <c r="L613" s="458"/>
      <c r="M613" s="458"/>
      <c r="N613" s="458"/>
      <c r="O613" s="443"/>
      <c r="P613" s="447"/>
    </row>
    <row r="614" spans="1:16" s="444" customFormat="1" ht="15">
      <c r="A614" s="443"/>
      <c r="B614" s="443"/>
      <c r="C614" s="443"/>
      <c r="D614" s="443"/>
      <c r="E614" s="458"/>
      <c r="F614" s="458"/>
      <c r="G614" s="458"/>
      <c r="H614" s="458"/>
      <c r="I614" s="458"/>
      <c r="J614" s="458"/>
      <c r="K614" s="458"/>
      <c r="L614" s="458"/>
      <c r="M614" s="458"/>
      <c r="N614" s="458"/>
      <c r="O614" s="443"/>
      <c r="P614" s="447"/>
    </row>
    <row r="615" spans="1:16" s="444" customFormat="1" ht="15">
      <c r="A615" s="443"/>
      <c r="B615" s="443"/>
      <c r="C615" s="443"/>
      <c r="D615" s="443"/>
      <c r="E615" s="458"/>
      <c r="F615" s="458"/>
      <c r="G615" s="458"/>
      <c r="H615" s="458"/>
      <c r="I615" s="458"/>
      <c r="J615" s="458"/>
      <c r="K615" s="458"/>
      <c r="L615" s="458"/>
      <c r="M615" s="458"/>
      <c r="N615" s="458"/>
      <c r="O615" s="443"/>
      <c r="P615" s="447"/>
    </row>
    <row r="616" spans="1:16" s="444" customFormat="1" ht="15">
      <c r="A616" s="443"/>
      <c r="B616" s="443"/>
      <c r="C616" s="443"/>
      <c r="D616" s="443"/>
      <c r="E616" s="458"/>
      <c r="F616" s="458"/>
      <c r="G616" s="458"/>
      <c r="H616" s="458"/>
      <c r="I616" s="458"/>
      <c r="J616" s="458"/>
      <c r="K616" s="458"/>
      <c r="L616" s="458"/>
      <c r="M616" s="458"/>
      <c r="N616" s="458"/>
      <c r="O616" s="443"/>
      <c r="P616" s="447"/>
    </row>
    <row r="617" spans="1:16" s="444" customFormat="1" ht="15">
      <c r="A617" s="443"/>
      <c r="B617" s="443"/>
      <c r="C617" s="443"/>
      <c r="D617" s="443"/>
      <c r="E617" s="458"/>
      <c r="F617" s="458"/>
      <c r="G617" s="458"/>
      <c r="H617" s="458"/>
      <c r="I617" s="458"/>
      <c r="J617" s="458"/>
      <c r="K617" s="458"/>
      <c r="L617" s="458"/>
      <c r="M617" s="458"/>
      <c r="N617" s="458"/>
      <c r="O617" s="443"/>
      <c r="P617" s="447"/>
    </row>
    <row r="618" spans="1:16" s="444" customFormat="1" ht="15">
      <c r="A618" s="443"/>
      <c r="B618" s="443"/>
      <c r="C618" s="443"/>
      <c r="D618" s="443"/>
      <c r="E618" s="458"/>
      <c r="F618" s="458"/>
      <c r="G618" s="458"/>
      <c r="H618" s="458"/>
      <c r="I618" s="458"/>
      <c r="J618" s="458"/>
      <c r="K618" s="458"/>
      <c r="L618" s="458"/>
      <c r="M618" s="458"/>
      <c r="N618" s="458"/>
      <c r="O618" s="443"/>
      <c r="P618" s="447"/>
    </row>
    <row r="619" spans="1:16" s="444" customFormat="1" ht="15">
      <c r="A619" s="443"/>
      <c r="B619" s="443"/>
      <c r="C619" s="443"/>
      <c r="D619" s="443"/>
      <c r="E619" s="458"/>
      <c r="F619" s="458"/>
      <c r="G619" s="458"/>
      <c r="H619" s="458"/>
      <c r="I619" s="458"/>
      <c r="J619" s="458"/>
      <c r="K619" s="458"/>
      <c r="L619" s="458"/>
      <c r="M619" s="458"/>
      <c r="N619" s="458"/>
      <c r="O619" s="443"/>
      <c r="P619" s="447"/>
    </row>
    <row r="620" spans="1:16" s="444" customFormat="1" ht="15">
      <c r="A620" s="443"/>
      <c r="B620" s="443"/>
      <c r="C620" s="443"/>
      <c r="D620" s="443"/>
      <c r="E620" s="458"/>
      <c r="F620" s="458"/>
      <c r="G620" s="458"/>
      <c r="H620" s="458"/>
      <c r="I620" s="458"/>
      <c r="J620" s="458"/>
      <c r="K620" s="458"/>
      <c r="L620" s="458"/>
      <c r="M620" s="458"/>
      <c r="N620" s="458"/>
      <c r="O620" s="443"/>
      <c r="P620" s="447"/>
    </row>
    <row r="621" spans="1:16" s="444" customFormat="1" ht="15">
      <c r="A621" s="443"/>
      <c r="B621" s="443"/>
      <c r="C621" s="443"/>
      <c r="D621" s="443"/>
      <c r="E621" s="458"/>
      <c r="F621" s="458"/>
      <c r="G621" s="458"/>
      <c r="H621" s="458"/>
      <c r="I621" s="458"/>
      <c r="J621" s="458"/>
      <c r="K621" s="458"/>
      <c r="L621" s="458"/>
      <c r="M621" s="458"/>
      <c r="N621" s="458"/>
      <c r="O621" s="443"/>
      <c r="P621" s="447"/>
    </row>
    <row r="622" spans="1:16" s="444" customFormat="1" ht="15">
      <c r="A622" s="443"/>
      <c r="B622" s="443"/>
      <c r="C622" s="443"/>
      <c r="D622" s="443"/>
      <c r="E622" s="458"/>
      <c r="F622" s="458"/>
      <c r="G622" s="458"/>
      <c r="H622" s="458"/>
      <c r="I622" s="458"/>
      <c r="J622" s="458"/>
      <c r="K622" s="458"/>
      <c r="L622" s="458"/>
      <c r="M622" s="458"/>
      <c r="N622" s="458"/>
      <c r="O622" s="443"/>
      <c r="P622" s="447"/>
    </row>
    <row r="623" spans="1:16" s="444" customFormat="1" ht="15">
      <c r="A623" s="443"/>
      <c r="B623" s="443"/>
      <c r="C623" s="443"/>
      <c r="D623" s="443"/>
      <c r="E623" s="458"/>
      <c r="F623" s="458"/>
      <c r="G623" s="458"/>
      <c r="H623" s="458"/>
      <c r="I623" s="458"/>
      <c r="J623" s="458"/>
      <c r="K623" s="458"/>
      <c r="L623" s="458"/>
      <c r="M623" s="458"/>
      <c r="N623" s="458"/>
      <c r="O623" s="443"/>
      <c r="P623" s="447"/>
    </row>
    <row r="624" spans="1:16" s="444" customFormat="1" ht="15">
      <c r="A624" s="443"/>
      <c r="B624" s="443"/>
      <c r="C624" s="443"/>
      <c r="D624" s="443"/>
      <c r="E624" s="458"/>
      <c r="F624" s="458"/>
      <c r="G624" s="458"/>
      <c r="H624" s="458"/>
      <c r="I624" s="458"/>
      <c r="J624" s="458"/>
      <c r="K624" s="458"/>
      <c r="L624" s="458"/>
      <c r="M624" s="458"/>
      <c r="N624" s="458"/>
      <c r="O624" s="443"/>
      <c r="P624" s="447"/>
    </row>
    <row r="625" spans="1:16" s="444" customFormat="1" ht="15">
      <c r="A625" s="443"/>
      <c r="B625" s="443"/>
      <c r="C625" s="443"/>
      <c r="D625" s="443"/>
      <c r="E625" s="458"/>
      <c r="F625" s="458"/>
      <c r="G625" s="458"/>
      <c r="H625" s="458"/>
      <c r="I625" s="458"/>
      <c r="J625" s="458"/>
      <c r="K625" s="458"/>
      <c r="L625" s="458"/>
      <c r="M625" s="458"/>
      <c r="N625" s="458"/>
      <c r="O625" s="443"/>
      <c r="P625" s="447"/>
    </row>
    <row r="626" spans="1:16" s="444" customFormat="1" ht="15">
      <c r="A626" s="443"/>
      <c r="B626" s="443"/>
      <c r="C626" s="443"/>
      <c r="D626" s="443"/>
      <c r="E626" s="458"/>
      <c r="F626" s="458"/>
      <c r="G626" s="458"/>
      <c r="H626" s="458"/>
      <c r="I626" s="458"/>
      <c r="J626" s="458"/>
      <c r="K626" s="458"/>
      <c r="L626" s="458"/>
      <c r="M626" s="458"/>
      <c r="N626" s="458"/>
      <c r="O626" s="443"/>
      <c r="P626" s="447"/>
    </row>
    <row r="627" spans="1:16" s="444" customFormat="1" ht="15">
      <c r="A627" s="443"/>
      <c r="B627" s="443"/>
      <c r="C627" s="443"/>
      <c r="D627" s="443"/>
      <c r="E627" s="458"/>
      <c r="F627" s="458"/>
      <c r="G627" s="458"/>
      <c r="H627" s="458"/>
      <c r="I627" s="458"/>
      <c r="J627" s="458"/>
      <c r="K627" s="458"/>
      <c r="L627" s="458"/>
      <c r="M627" s="458"/>
      <c r="N627" s="458"/>
      <c r="O627" s="443"/>
      <c r="P627" s="447"/>
    </row>
    <row r="628" spans="1:16" s="444" customFormat="1" ht="15">
      <c r="A628" s="443"/>
      <c r="B628" s="443"/>
      <c r="C628" s="443"/>
      <c r="D628" s="443"/>
      <c r="E628" s="458"/>
      <c r="F628" s="458"/>
      <c r="G628" s="458"/>
      <c r="H628" s="458"/>
      <c r="I628" s="458"/>
      <c r="J628" s="458"/>
      <c r="K628" s="458"/>
      <c r="L628" s="458"/>
      <c r="M628" s="458"/>
      <c r="N628" s="458"/>
      <c r="O628" s="443"/>
      <c r="P628" s="447"/>
    </row>
    <row r="629" spans="1:16" s="444" customFormat="1" ht="15">
      <c r="A629" s="443"/>
      <c r="B629" s="443"/>
      <c r="C629" s="443"/>
      <c r="D629" s="443"/>
      <c r="E629" s="458"/>
      <c r="F629" s="458"/>
      <c r="G629" s="458"/>
      <c r="H629" s="458"/>
      <c r="I629" s="458"/>
      <c r="J629" s="458"/>
      <c r="K629" s="458"/>
      <c r="L629" s="458"/>
      <c r="M629" s="458"/>
      <c r="N629" s="458"/>
      <c r="O629" s="443"/>
      <c r="P629" s="447"/>
    </row>
    <row r="630" spans="1:16" s="444" customFormat="1" ht="15">
      <c r="A630" s="443"/>
      <c r="B630" s="443"/>
      <c r="C630" s="443"/>
      <c r="D630" s="443"/>
      <c r="E630" s="458"/>
      <c r="F630" s="458"/>
      <c r="G630" s="458"/>
      <c r="H630" s="458"/>
      <c r="I630" s="458"/>
      <c r="J630" s="458"/>
      <c r="K630" s="458"/>
      <c r="L630" s="458"/>
      <c r="M630" s="458"/>
      <c r="N630" s="458"/>
      <c r="O630" s="443"/>
      <c r="P630" s="447"/>
    </row>
    <row r="631" spans="1:16" s="444" customFormat="1" ht="15">
      <c r="A631" s="443"/>
      <c r="B631" s="443"/>
      <c r="C631" s="443"/>
      <c r="D631" s="443"/>
      <c r="E631" s="458"/>
      <c r="F631" s="458"/>
      <c r="G631" s="458"/>
      <c r="H631" s="458"/>
      <c r="I631" s="458"/>
      <c r="J631" s="458"/>
      <c r="K631" s="458"/>
      <c r="L631" s="458"/>
      <c r="M631" s="458"/>
      <c r="N631" s="458"/>
      <c r="O631" s="443"/>
      <c r="P631" s="447"/>
    </row>
    <row r="632" spans="1:16" s="444" customFormat="1" ht="15">
      <c r="A632" s="443"/>
      <c r="B632" s="443"/>
      <c r="C632" s="443"/>
      <c r="D632" s="443"/>
      <c r="E632" s="458"/>
      <c r="F632" s="458"/>
      <c r="G632" s="458"/>
      <c r="H632" s="458"/>
      <c r="I632" s="458"/>
      <c r="J632" s="458"/>
      <c r="K632" s="458"/>
      <c r="L632" s="458"/>
      <c r="M632" s="458"/>
      <c r="N632" s="458"/>
      <c r="O632" s="443"/>
      <c r="P632" s="447"/>
    </row>
    <row r="633" spans="1:16" s="444" customFormat="1" ht="15">
      <c r="A633" s="443"/>
      <c r="B633" s="443"/>
      <c r="C633" s="443"/>
      <c r="D633" s="443"/>
      <c r="E633" s="458"/>
      <c r="F633" s="458"/>
      <c r="G633" s="458"/>
      <c r="H633" s="458"/>
      <c r="I633" s="458"/>
      <c r="J633" s="458"/>
      <c r="K633" s="458"/>
      <c r="L633" s="458"/>
      <c r="M633" s="458"/>
      <c r="N633" s="458"/>
      <c r="O633" s="443"/>
      <c r="P633" s="447"/>
    </row>
    <row r="634" spans="1:16" s="444" customFormat="1" ht="15">
      <c r="A634" s="443"/>
      <c r="B634" s="443"/>
      <c r="C634" s="443"/>
      <c r="D634" s="443"/>
      <c r="E634" s="458"/>
      <c r="F634" s="458"/>
      <c r="G634" s="458"/>
      <c r="H634" s="458"/>
      <c r="I634" s="458"/>
      <c r="J634" s="458"/>
      <c r="K634" s="458"/>
      <c r="L634" s="458"/>
      <c r="M634" s="458"/>
      <c r="N634" s="458"/>
      <c r="O634" s="443"/>
      <c r="P634" s="447"/>
    </row>
    <row r="635" spans="1:16" s="444" customFormat="1" ht="15">
      <c r="A635" s="443"/>
      <c r="B635" s="443"/>
      <c r="C635" s="443"/>
      <c r="D635" s="443"/>
      <c r="E635" s="458"/>
      <c r="F635" s="458"/>
      <c r="G635" s="458"/>
      <c r="H635" s="458"/>
      <c r="I635" s="458"/>
      <c r="J635" s="458"/>
      <c r="K635" s="458"/>
      <c r="L635" s="458"/>
      <c r="M635" s="458"/>
      <c r="N635" s="458"/>
      <c r="O635" s="443"/>
      <c r="P635" s="447"/>
    </row>
    <row r="636" spans="1:16" s="444" customFormat="1" ht="15">
      <c r="A636" s="443"/>
      <c r="B636" s="443"/>
      <c r="C636" s="443"/>
      <c r="D636" s="443"/>
      <c r="E636" s="458"/>
      <c r="F636" s="458"/>
      <c r="G636" s="458"/>
      <c r="H636" s="458"/>
      <c r="I636" s="458"/>
      <c r="J636" s="458"/>
      <c r="K636" s="458"/>
      <c r="L636" s="458"/>
      <c r="M636" s="458"/>
      <c r="N636" s="458"/>
      <c r="O636" s="443"/>
      <c r="P636" s="447"/>
    </row>
    <row r="637" spans="1:16" s="444" customFormat="1" ht="15">
      <c r="A637" s="443"/>
      <c r="B637" s="443"/>
      <c r="C637" s="443"/>
      <c r="D637" s="443"/>
      <c r="E637" s="458"/>
      <c r="F637" s="458"/>
      <c r="G637" s="458"/>
      <c r="H637" s="458"/>
      <c r="I637" s="458"/>
      <c r="J637" s="458"/>
      <c r="K637" s="458"/>
      <c r="L637" s="458"/>
      <c r="M637" s="458"/>
      <c r="N637" s="458"/>
      <c r="O637" s="443"/>
      <c r="P637" s="447"/>
    </row>
    <row r="638" spans="1:16" s="444" customFormat="1" ht="15">
      <c r="A638" s="443"/>
      <c r="B638" s="443"/>
      <c r="C638" s="443"/>
      <c r="D638" s="443"/>
      <c r="E638" s="458"/>
      <c r="F638" s="458"/>
      <c r="G638" s="458"/>
      <c r="H638" s="458"/>
      <c r="I638" s="458"/>
      <c r="J638" s="458"/>
      <c r="K638" s="458"/>
      <c r="L638" s="458"/>
      <c r="M638" s="458"/>
      <c r="N638" s="458"/>
      <c r="O638" s="443"/>
      <c r="P638" s="447"/>
    </row>
    <row r="639" spans="1:16" s="444" customFormat="1" ht="15">
      <c r="A639" s="443"/>
      <c r="B639" s="443"/>
      <c r="C639" s="443"/>
      <c r="D639" s="443"/>
      <c r="E639" s="458"/>
      <c r="F639" s="458"/>
      <c r="G639" s="458"/>
      <c r="H639" s="458"/>
      <c r="I639" s="458"/>
      <c r="J639" s="458"/>
      <c r="K639" s="458"/>
      <c r="L639" s="458"/>
      <c r="M639" s="458"/>
      <c r="N639" s="458"/>
      <c r="O639" s="443"/>
      <c r="P639" s="447"/>
    </row>
    <row r="640" spans="1:16" s="444" customFormat="1" ht="15">
      <c r="A640" s="443"/>
      <c r="B640" s="443"/>
      <c r="C640" s="443"/>
      <c r="D640" s="443"/>
      <c r="E640" s="458"/>
      <c r="F640" s="458"/>
      <c r="G640" s="458"/>
      <c r="H640" s="458"/>
      <c r="I640" s="458"/>
      <c r="J640" s="458"/>
      <c r="K640" s="458"/>
      <c r="L640" s="458"/>
      <c r="M640" s="458"/>
      <c r="N640" s="458"/>
      <c r="O640" s="443"/>
      <c r="P640" s="447"/>
    </row>
    <row r="641" spans="1:16" s="444" customFormat="1" ht="15">
      <c r="A641" s="443"/>
      <c r="B641" s="443"/>
      <c r="C641" s="443"/>
      <c r="D641" s="443"/>
      <c r="E641" s="458"/>
      <c r="F641" s="458"/>
      <c r="G641" s="458"/>
      <c r="H641" s="458"/>
      <c r="I641" s="458"/>
      <c r="J641" s="458"/>
      <c r="K641" s="458"/>
      <c r="L641" s="458"/>
      <c r="M641" s="458"/>
      <c r="N641" s="458"/>
      <c r="O641" s="443"/>
      <c r="P641" s="447"/>
    </row>
    <row r="642" spans="1:16" s="444" customFormat="1" ht="15">
      <c r="A642" s="443"/>
      <c r="B642" s="443"/>
      <c r="C642" s="443"/>
      <c r="D642" s="443"/>
      <c r="E642" s="458"/>
      <c r="F642" s="458"/>
      <c r="G642" s="458"/>
      <c r="H642" s="458"/>
      <c r="I642" s="458"/>
      <c r="J642" s="458"/>
      <c r="K642" s="458"/>
      <c r="L642" s="458"/>
      <c r="M642" s="458"/>
      <c r="N642" s="458"/>
      <c r="O642" s="443"/>
      <c r="P642" s="447"/>
    </row>
    <row r="643" spans="1:16" s="444" customFormat="1" ht="15">
      <c r="A643" s="443"/>
      <c r="B643" s="443"/>
      <c r="C643" s="443"/>
      <c r="D643" s="443"/>
      <c r="E643" s="458"/>
      <c r="F643" s="458"/>
      <c r="G643" s="458"/>
      <c r="H643" s="458"/>
      <c r="I643" s="458"/>
      <c r="J643" s="458"/>
      <c r="K643" s="458"/>
      <c r="L643" s="458"/>
      <c r="M643" s="458"/>
      <c r="N643" s="458"/>
      <c r="O643" s="443"/>
      <c r="P643" s="447"/>
    </row>
    <row r="644" spans="1:16" s="444" customFormat="1" ht="15">
      <c r="A644" s="443"/>
      <c r="B644" s="443"/>
      <c r="C644" s="443"/>
      <c r="D644" s="443"/>
      <c r="E644" s="458"/>
      <c r="F644" s="458"/>
      <c r="G644" s="458"/>
      <c r="H644" s="458"/>
      <c r="I644" s="458"/>
      <c r="J644" s="458"/>
      <c r="K644" s="458"/>
      <c r="L644" s="458"/>
      <c r="M644" s="458"/>
      <c r="N644" s="458"/>
      <c r="O644" s="443"/>
      <c r="P644" s="447"/>
    </row>
    <row r="645" spans="1:16" s="444" customFormat="1" ht="15">
      <c r="A645" s="443"/>
      <c r="B645" s="443"/>
      <c r="C645" s="443"/>
      <c r="D645" s="443"/>
      <c r="E645" s="458"/>
      <c r="F645" s="458"/>
      <c r="G645" s="458"/>
      <c r="H645" s="458"/>
      <c r="I645" s="458"/>
      <c r="J645" s="458"/>
      <c r="K645" s="458"/>
      <c r="L645" s="458"/>
      <c r="M645" s="458"/>
      <c r="N645" s="458"/>
      <c r="O645" s="443"/>
      <c r="P645" s="447"/>
    </row>
    <row r="646" spans="1:16" s="444" customFormat="1" ht="15">
      <c r="A646" s="443"/>
      <c r="B646" s="443"/>
      <c r="C646" s="443"/>
      <c r="D646" s="443"/>
      <c r="E646" s="458"/>
      <c r="F646" s="458"/>
      <c r="G646" s="458"/>
      <c r="H646" s="458"/>
      <c r="I646" s="458"/>
      <c r="J646" s="458"/>
      <c r="K646" s="458"/>
      <c r="L646" s="458"/>
      <c r="M646" s="458"/>
      <c r="N646" s="458"/>
      <c r="O646" s="443"/>
      <c r="P646" s="447"/>
    </row>
    <row r="647" spans="1:16" s="444" customFormat="1" ht="15">
      <c r="A647" s="443"/>
      <c r="B647" s="443"/>
      <c r="C647" s="443"/>
      <c r="D647" s="443"/>
      <c r="E647" s="458"/>
      <c r="F647" s="458"/>
      <c r="G647" s="458"/>
      <c r="H647" s="458"/>
      <c r="I647" s="458"/>
      <c r="J647" s="458"/>
      <c r="K647" s="458"/>
      <c r="L647" s="458"/>
      <c r="M647" s="458"/>
      <c r="N647" s="458"/>
      <c r="O647" s="443"/>
      <c r="P647" s="447"/>
    </row>
    <row r="648" spans="1:16" s="444" customFormat="1" ht="15">
      <c r="A648" s="443"/>
      <c r="B648" s="443"/>
      <c r="C648" s="443"/>
      <c r="D648" s="443"/>
      <c r="E648" s="458"/>
      <c r="F648" s="458"/>
      <c r="G648" s="458"/>
      <c r="H648" s="458"/>
      <c r="I648" s="458"/>
      <c r="J648" s="458"/>
      <c r="K648" s="458"/>
      <c r="L648" s="458"/>
      <c r="M648" s="458"/>
      <c r="N648" s="458"/>
      <c r="O648" s="443"/>
      <c r="P648" s="447"/>
    </row>
    <row r="649" spans="1:16" s="444" customFormat="1" ht="15">
      <c r="A649" s="443"/>
      <c r="B649" s="443"/>
      <c r="C649" s="443"/>
      <c r="D649" s="443"/>
      <c r="E649" s="458"/>
      <c r="F649" s="458"/>
      <c r="G649" s="458"/>
      <c r="H649" s="458"/>
      <c r="I649" s="458"/>
      <c r="J649" s="458"/>
      <c r="K649" s="458"/>
      <c r="L649" s="458"/>
      <c r="M649" s="458"/>
      <c r="N649" s="458"/>
      <c r="O649" s="443"/>
      <c r="P649" s="447"/>
    </row>
    <row r="650" spans="1:16" s="444" customFormat="1" ht="15">
      <c r="A650" s="443"/>
      <c r="B650" s="443"/>
      <c r="C650" s="443"/>
      <c r="D650" s="443"/>
      <c r="E650" s="458"/>
      <c r="F650" s="458"/>
      <c r="G650" s="458"/>
      <c r="H650" s="458"/>
      <c r="I650" s="458"/>
      <c r="J650" s="458"/>
      <c r="K650" s="458"/>
      <c r="L650" s="458"/>
      <c r="M650" s="458"/>
      <c r="N650" s="458"/>
      <c r="O650" s="443"/>
      <c r="P650" s="447"/>
    </row>
    <row r="651" spans="1:16" s="444" customFormat="1" ht="15">
      <c r="A651" s="443"/>
      <c r="B651" s="443"/>
      <c r="C651" s="443"/>
      <c r="D651" s="443"/>
      <c r="E651" s="458"/>
      <c r="F651" s="458"/>
      <c r="G651" s="458"/>
      <c r="H651" s="458"/>
      <c r="I651" s="458"/>
      <c r="J651" s="458"/>
      <c r="K651" s="458"/>
      <c r="L651" s="458"/>
      <c r="M651" s="458"/>
      <c r="N651" s="458"/>
      <c r="O651" s="443"/>
      <c r="P651" s="447"/>
    </row>
    <row r="652" spans="1:16" s="444" customFormat="1" ht="15">
      <c r="A652" s="443"/>
      <c r="B652" s="443"/>
      <c r="C652" s="443"/>
      <c r="D652" s="443"/>
      <c r="E652" s="458"/>
      <c r="F652" s="458"/>
      <c r="G652" s="458"/>
      <c r="H652" s="458"/>
      <c r="I652" s="458"/>
      <c r="J652" s="458"/>
      <c r="K652" s="458"/>
      <c r="L652" s="458"/>
      <c r="M652" s="458"/>
      <c r="N652" s="458"/>
      <c r="O652" s="443"/>
      <c r="P652" s="447"/>
    </row>
    <row r="653" spans="1:16" s="444" customFormat="1" ht="15">
      <c r="A653" s="443"/>
      <c r="B653" s="443"/>
      <c r="C653" s="443"/>
      <c r="D653" s="443"/>
      <c r="E653" s="458"/>
      <c r="F653" s="458"/>
      <c r="G653" s="458"/>
      <c r="H653" s="458"/>
      <c r="I653" s="458"/>
      <c r="J653" s="458"/>
      <c r="K653" s="458"/>
      <c r="L653" s="458"/>
      <c r="M653" s="458"/>
      <c r="N653" s="458"/>
      <c r="O653" s="443"/>
      <c r="P653" s="447"/>
    </row>
    <row r="654" spans="1:16" s="444" customFormat="1" ht="15">
      <c r="A654" s="443"/>
      <c r="B654" s="443"/>
      <c r="C654" s="443"/>
      <c r="D654" s="443"/>
      <c r="E654" s="458"/>
      <c r="F654" s="458"/>
      <c r="G654" s="458"/>
      <c r="H654" s="458"/>
      <c r="I654" s="458"/>
      <c r="J654" s="458"/>
      <c r="K654" s="458"/>
      <c r="L654" s="458"/>
      <c r="M654" s="458"/>
      <c r="N654" s="458"/>
      <c r="O654" s="443"/>
      <c r="P654" s="447"/>
    </row>
    <row r="655" spans="1:16" s="444" customFormat="1" ht="15">
      <c r="A655" s="443"/>
      <c r="B655" s="443"/>
      <c r="C655" s="443"/>
      <c r="D655" s="443"/>
      <c r="E655" s="458"/>
      <c r="F655" s="458"/>
      <c r="G655" s="458"/>
      <c r="H655" s="458"/>
      <c r="I655" s="458"/>
      <c r="J655" s="458"/>
      <c r="K655" s="458"/>
      <c r="L655" s="458"/>
      <c r="M655" s="458"/>
      <c r="N655" s="458"/>
      <c r="O655" s="443"/>
      <c r="P655" s="447"/>
    </row>
    <row r="656" spans="1:16" s="444" customFormat="1" ht="15">
      <c r="A656" s="443"/>
      <c r="B656" s="443"/>
      <c r="C656" s="443"/>
      <c r="D656" s="443"/>
      <c r="E656" s="458"/>
      <c r="F656" s="458"/>
      <c r="G656" s="458"/>
      <c r="H656" s="458"/>
      <c r="I656" s="458"/>
      <c r="J656" s="458"/>
      <c r="K656" s="458"/>
      <c r="L656" s="458"/>
      <c r="M656" s="458"/>
      <c r="N656" s="458"/>
      <c r="O656" s="443"/>
      <c r="P656" s="447"/>
    </row>
    <row r="657" spans="1:16" s="444" customFormat="1" ht="15">
      <c r="A657" s="443"/>
      <c r="B657" s="443"/>
      <c r="C657" s="443"/>
      <c r="D657" s="443"/>
      <c r="E657" s="458"/>
      <c r="F657" s="458"/>
      <c r="G657" s="458"/>
      <c r="H657" s="458"/>
      <c r="I657" s="458"/>
      <c r="J657" s="458"/>
      <c r="K657" s="458"/>
      <c r="L657" s="458"/>
      <c r="M657" s="458"/>
      <c r="N657" s="458"/>
      <c r="O657" s="443"/>
      <c r="P657" s="447"/>
    </row>
    <row r="658" spans="1:16" s="444" customFormat="1" ht="15">
      <c r="A658" s="443"/>
      <c r="B658" s="443"/>
      <c r="C658" s="443"/>
      <c r="D658" s="443"/>
      <c r="E658" s="458"/>
      <c r="F658" s="458"/>
      <c r="G658" s="458"/>
      <c r="H658" s="458"/>
      <c r="I658" s="458"/>
      <c r="J658" s="458"/>
      <c r="K658" s="458"/>
      <c r="L658" s="458"/>
      <c r="M658" s="458"/>
      <c r="N658" s="458"/>
      <c r="O658" s="443"/>
      <c r="P658" s="447"/>
    </row>
    <row r="659" spans="1:16" s="444" customFormat="1" ht="15">
      <c r="A659" s="443"/>
      <c r="B659" s="443"/>
      <c r="C659" s="443"/>
      <c r="D659" s="443"/>
      <c r="E659" s="458"/>
      <c r="F659" s="458"/>
      <c r="G659" s="458"/>
      <c r="H659" s="458"/>
      <c r="I659" s="458"/>
      <c r="J659" s="458"/>
      <c r="K659" s="458"/>
      <c r="L659" s="458"/>
      <c r="M659" s="458"/>
      <c r="N659" s="458"/>
      <c r="O659" s="443"/>
      <c r="P659" s="447"/>
    </row>
    <row r="660" spans="1:16" s="444" customFormat="1" ht="15">
      <c r="A660" s="443"/>
      <c r="B660" s="443"/>
      <c r="C660" s="443"/>
      <c r="D660" s="443"/>
      <c r="E660" s="458"/>
      <c r="F660" s="458"/>
      <c r="G660" s="458"/>
      <c r="H660" s="458"/>
      <c r="I660" s="458"/>
      <c r="J660" s="458"/>
      <c r="K660" s="458"/>
      <c r="L660" s="458"/>
      <c r="M660" s="458"/>
      <c r="N660" s="458"/>
      <c r="O660" s="443"/>
      <c r="P660" s="447"/>
    </row>
    <row r="661" spans="1:16" s="444" customFormat="1" ht="15">
      <c r="A661" s="443"/>
      <c r="B661" s="443"/>
      <c r="C661" s="443"/>
      <c r="D661" s="443"/>
      <c r="E661" s="458"/>
      <c r="F661" s="458"/>
      <c r="G661" s="458"/>
      <c r="H661" s="458"/>
      <c r="I661" s="458"/>
      <c r="J661" s="458"/>
      <c r="K661" s="458"/>
      <c r="L661" s="458"/>
      <c r="M661" s="458"/>
      <c r="N661" s="458"/>
      <c r="O661" s="443"/>
      <c r="P661" s="447"/>
    </row>
    <row r="662" spans="1:16" s="444" customFormat="1" ht="15">
      <c r="A662" s="443"/>
      <c r="B662" s="443"/>
      <c r="C662" s="443"/>
      <c r="D662" s="443"/>
      <c r="E662" s="458"/>
      <c r="F662" s="458"/>
      <c r="G662" s="458"/>
      <c r="H662" s="458"/>
      <c r="I662" s="458"/>
      <c r="J662" s="458"/>
      <c r="K662" s="458"/>
      <c r="L662" s="458"/>
      <c r="M662" s="458"/>
      <c r="N662" s="458"/>
      <c r="O662" s="443"/>
      <c r="P662" s="447"/>
    </row>
    <row r="663" spans="1:16" s="444" customFormat="1" ht="15">
      <c r="A663" s="443"/>
      <c r="B663" s="443"/>
      <c r="C663" s="443"/>
      <c r="D663" s="443"/>
      <c r="E663" s="458"/>
      <c r="F663" s="458"/>
      <c r="G663" s="458"/>
      <c r="H663" s="458"/>
      <c r="I663" s="458"/>
      <c r="J663" s="458"/>
      <c r="K663" s="458"/>
      <c r="L663" s="458"/>
      <c r="M663" s="458"/>
      <c r="N663" s="458"/>
      <c r="O663" s="443"/>
      <c r="P663" s="447"/>
    </row>
    <row r="664" spans="1:16" s="444" customFormat="1" ht="15">
      <c r="A664" s="443"/>
      <c r="B664" s="443"/>
      <c r="C664" s="443"/>
      <c r="D664" s="443"/>
      <c r="E664" s="458"/>
      <c r="F664" s="458"/>
      <c r="G664" s="458"/>
      <c r="H664" s="458"/>
      <c r="I664" s="458"/>
      <c r="J664" s="458"/>
      <c r="K664" s="458"/>
      <c r="L664" s="458"/>
      <c r="M664" s="458"/>
      <c r="N664" s="458"/>
      <c r="O664" s="443"/>
      <c r="P664" s="447"/>
    </row>
    <row r="665" spans="1:16" s="444" customFormat="1" ht="15">
      <c r="A665" s="443"/>
      <c r="B665" s="443"/>
      <c r="C665" s="443"/>
      <c r="D665" s="443"/>
      <c r="E665" s="458"/>
      <c r="F665" s="458"/>
      <c r="G665" s="458"/>
      <c r="H665" s="458"/>
      <c r="I665" s="458"/>
      <c r="J665" s="458"/>
      <c r="K665" s="458"/>
      <c r="L665" s="458"/>
      <c r="M665" s="458"/>
      <c r="N665" s="458"/>
      <c r="O665" s="443"/>
      <c r="P665" s="447"/>
    </row>
    <row r="666" spans="1:16" s="444" customFormat="1" ht="15">
      <c r="A666" s="443"/>
      <c r="B666" s="443"/>
      <c r="C666" s="443"/>
      <c r="D666" s="443"/>
      <c r="E666" s="458"/>
      <c r="F666" s="458"/>
      <c r="G666" s="458"/>
      <c r="H666" s="458"/>
      <c r="I666" s="458"/>
      <c r="J666" s="458"/>
      <c r="K666" s="458"/>
      <c r="L666" s="458"/>
      <c r="M666" s="458"/>
      <c r="N666" s="458"/>
      <c r="O666" s="443"/>
      <c r="P666" s="447"/>
    </row>
    <row r="667" spans="1:16" s="444" customFormat="1" ht="15">
      <c r="A667" s="443"/>
      <c r="B667" s="443"/>
      <c r="C667" s="443"/>
      <c r="D667" s="443"/>
      <c r="E667" s="458"/>
      <c r="F667" s="458"/>
      <c r="G667" s="458"/>
      <c r="H667" s="458"/>
      <c r="I667" s="458"/>
      <c r="J667" s="458"/>
      <c r="K667" s="458"/>
      <c r="L667" s="458"/>
      <c r="M667" s="458"/>
      <c r="N667" s="458"/>
      <c r="O667" s="443"/>
      <c r="P667" s="447"/>
    </row>
    <row r="668" spans="1:16" s="444" customFormat="1" ht="15">
      <c r="A668" s="443"/>
      <c r="B668" s="443"/>
      <c r="C668" s="443"/>
      <c r="D668" s="443"/>
      <c r="E668" s="458"/>
      <c r="F668" s="458"/>
      <c r="G668" s="458"/>
      <c r="H668" s="458"/>
      <c r="I668" s="458"/>
      <c r="J668" s="458"/>
      <c r="K668" s="458"/>
      <c r="L668" s="458"/>
      <c r="M668" s="458"/>
      <c r="N668" s="458"/>
      <c r="O668" s="443"/>
      <c r="P668" s="447"/>
    </row>
    <row r="669" spans="1:16" s="444" customFormat="1" ht="15">
      <c r="A669" s="443"/>
      <c r="B669" s="443"/>
      <c r="C669" s="443"/>
      <c r="D669" s="443"/>
      <c r="E669" s="458"/>
      <c r="F669" s="458"/>
      <c r="G669" s="458"/>
      <c r="H669" s="458"/>
      <c r="I669" s="458"/>
      <c r="J669" s="458"/>
      <c r="K669" s="458"/>
      <c r="L669" s="458"/>
      <c r="M669" s="458"/>
      <c r="N669" s="458"/>
      <c r="O669" s="443"/>
      <c r="P669" s="447"/>
    </row>
    <row r="670" spans="1:16" s="444" customFormat="1" ht="15">
      <c r="A670" s="443"/>
      <c r="B670" s="443"/>
      <c r="C670" s="443"/>
      <c r="D670" s="443"/>
      <c r="E670" s="458"/>
      <c r="F670" s="458"/>
      <c r="G670" s="458"/>
      <c r="H670" s="458"/>
      <c r="I670" s="458"/>
      <c r="J670" s="458"/>
      <c r="K670" s="458"/>
      <c r="L670" s="458"/>
      <c r="M670" s="458"/>
      <c r="N670" s="458"/>
      <c r="O670" s="443"/>
      <c r="P670" s="447"/>
    </row>
    <row r="671" spans="1:16" s="444" customFormat="1" ht="15">
      <c r="A671" s="443"/>
      <c r="B671" s="443"/>
      <c r="C671" s="443"/>
      <c r="D671" s="443"/>
      <c r="E671" s="458"/>
      <c r="F671" s="458"/>
      <c r="G671" s="458"/>
      <c r="H671" s="458"/>
      <c r="I671" s="458"/>
      <c r="J671" s="458"/>
      <c r="K671" s="458"/>
      <c r="L671" s="458"/>
      <c r="M671" s="458"/>
      <c r="N671" s="458"/>
      <c r="O671" s="443"/>
      <c r="P671" s="447"/>
    </row>
    <row r="672" spans="1:16" s="444" customFormat="1" ht="15">
      <c r="A672" s="443"/>
      <c r="B672" s="443"/>
      <c r="C672" s="443"/>
      <c r="D672" s="443"/>
      <c r="E672" s="458"/>
      <c r="F672" s="458"/>
      <c r="G672" s="458"/>
      <c r="H672" s="458"/>
      <c r="I672" s="458"/>
      <c r="J672" s="458"/>
      <c r="K672" s="458"/>
      <c r="L672" s="458"/>
      <c r="M672" s="458"/>
      <c r="N672" s="458"/>
      <c r="O672" s="443"/>
      <c r="P672" s="447"/>
    </row>
    <row r="673" spans="1:16" s="444" customFormat="1" ht="15">
      <c r="A673" s="443"/>
      <c r="B673" s="443"/>
      <c r="C673" s="443"/>
      <c r="D673" s="443"/>
      <c r="E673" s="458"/>
      <c r="F673" s="458"/>
      <c r="G673" s="458"/>
      <c r="H673" s="458"/>
      <c r="I673" s="458"/>
      <c r="J673" s="458"/>
      <c r="K673" s="458"/>
      <c r="L673" s="458"/>
      <c r="M673" s="458"/>
      <c r="N673" s="458"/>
      <c r="O673" s="443"/>
      <c r="P673" s="447"/>
    </row>
    <row r="674" spans="1:16" s="444" customFormat="1" ht="15">
      <c r="A674" s="443"/>
      <c r="B674" s="443"/>
      <c r="C674" s="443"/>
      <c r="D674" s="443"/>
      <c r="E674" s="458"/>
      <c r="F674" s="458"/>
      <c r="G674" s="458"/>
      <c r="H674" s="458"/>
      <c r="I674" s="458"/>
      <c r="J674" s="458"/>
      <c r="K674" s="458"/>
      <c r="L674" s="458"/>
      <c r="M674" s="458"/>
      <c r="N674" s="458"/>
      <c r="O674" s="443"/>
      <c r="P674" s="447"/>
    </row>
    <row r="675" spans="1:16" s="444" customFormat="1" ht="15">
      <c r="A675" s="443"/>
      <c r="B675" s="443"/>
      <c r="C675" s="443"/>
      <c r="D675" s="443"/>
      <c r="E675" s="458"/>
      <c r="F675" s="458"/>
      <c r="G675" s="458"/>
      <c r="H675" s="458"/>
      <c r="I675" s="458"/>
      <c r="J675" s="458"/>
      <c r="K675" s="458"/>
      <c r="L675" s="458"/>
      <c r="M675" s="458"/>
      <c r="N675" s="458"/>
      <c r="O675" s="443"/>
      <c r="P675" s="447"/>
    </row>
    <row r="676" spans="1:16" s="444" customFormat="1" ht="15">
      <c r="A676" s="443"/>
      <c r="B676" s="443"/>
      <c r="C676" s="443"/>
      <c r="D676" s="443"/>
      <c r="E676" s="458"/>
      <c r="F676" s="458"/>
      <c r="G676" s="458"/>
      <c r="H676" s="458"/>
      <c r="I676" s="458"/>
      <c r="J676" s="458"/>
      <c r="K676" s="458"/>
      <c r="L676" s="458"/>
      <c r="M676" s="458"/>
      <c r="N676" s="458"/>
      <c r="O676" s="443"/>
      <c r="P676" s="447"/>
    </row>
    <row r="677" spans="1:16" s="444" customFormat="1" ht="15">
      <c r="A677" s="443"/>
      <c r="B677" s="443"/>
      <c r="C677" s="443"/>
      <c r="D677" s="443"/>
      <c r="E677" s="458"/>
      <c r="F677" s="458"/>
      <c r="G677" s="458"/>
      <c r="H677" s="458"/>
      <c r="I677" s="458"/>
      <c r="J677" s="458"/>
      <c r="K677" s="458"/>
      <c r="L677" s="458"/>
      <c r="M677" s="458"/>
      <c r="N677" s="458"/>
      <c r="O677" s="443"/>
      <c r="P677" s="447"/>
    </row>
    <row r="678" spans="1:16" s="444" customFormat="1" ht="15">
      <c r="A678" s="443"/>
      <c r="B678" s="443"/>
      <c r="C678" s="443"/>
      <c r="D678" s="443"/>
      <c r="E678" s="458"/>
      <c r="F678" s="458"/>
      <c r="G678" s="458"/>
      <c r="H678" s="458"/>
      <c r="I678" s="458"/>
      <c r="J678" s="458"/>
      <c r="K678" s="458"/>
      <c r="L678" s="458"/>
      <c r="M678" s="458"/>
      <c r="N678" s="458"/>
      <c r="O678" s="443"/>
      <c r="P678" s="447"/>
    </row>
    <row r="679" spans="1:16" s="444" customFormat="1" ht="15">
      <c r="A679" s="443"/>
      <c r="B679" s="443"/>
      <c r="C679" s="443"/>
      <c r="D679" s="443"/>
      <c r="E679" s="458"/>
      <c r="F679" s="458"/>
      <c r="G679" s="458"/>
      <c r="H679" s="458"/>
      <c r="I679" s="458"/>
      <c r="J679" s="458"/>
      <c r="K679" s="458"/>
      <c r="L679" s="458"/>
      <c r="M679" s="458"/>
      <c r="N679" s="458"/>
      <c r="O679" s="443"/>
      <c r="P679" s="447"/>
    </row>
    <row r="680" spans="1:16" s="444" customFormat="1" ht="15">
      <c r="A680" s="443"/>
      <c r="B680" s="443"/>
      <c r="C680" s="443"/>
      <c r="D680" s="443"/>
      <c r="E680" s="458"/>
      <c r="F680" s="458"/>
      <c r="G680" s="458"/>
      <c r="H680" s="458"/>
      <c r="I680" s="458"/>
      <c r="J680" s="458"/>
      <c r="K680" s="458"/>
      <c r="L680" s="458"/>
      <c r="M680" s="458"/>
      <c r="N680" s="458"/>
      <c r="O680" s="443"/>
      <c r="P680" s="447"/>
    </row>
    <row r="681" spans="1:16" s="444" customFormat="1" ht="15">
      <c r="A681" s="443"/>
      <c r="B681" s="443"/>
      <c r="C681" s="443"/>
      <c r="D681" s="443"/>
      <c r="E681" s="458"/>
      <c r="F681" s="458"/>
      <c r="G681" s="458"/>
      <c r="H681" s="458"/>
      <c r="I681" s="458"/>
      <c r="J681" s="458"/>
      <c r="K681" s="458"/>
      <c r="L681" s="458"/>
      <c r="M681" s="458"/>
      <c r="N681" s="458"/>
      <c r="O681" s="443"/>
      <c r="P681" s="447"/>
    </row>
    <row r="682" spans="1:16" s="444" customFormat="1" ht="15">
      <c r="A682" s="443"/>
      <c r="B682" s="443"/>
      <c r="C682" s="443"/>
      <c r="D682" s="443"/>
      <c r="E682" s="458"/>
      <c r="F682" s="458"/>
      <c r="G682" s="458"/>
      <c r="H682" s="458"/>
      <c r="I682" s="458"/>
      <c r="J682" s="458"/>
      <c r="K682" s="458"/>
      <c r="L682" s="458"/>
      <c r="M682" s="458"/>
      <c r="N682" s="458"/>
      <c r="O682" s="443"/>
      <c r="P682" s="447"/>
    </row>
    <row r="683" spans="1:16" s="444" customFormat="1" ht="15">
      <c r="A683" s="443"/>
      <c r="B683" s="443"/>
      <c r="C683" s="443"/>
      <c r="D683" s="443"/>
      <c r="E683" s="458"/>
      <c r="F683" s="458"/>
      <c r="G683" s="458"/>
      <c r="H683" s="458"/>
      <c r="I683" s="458"/>
      <c r="J683" s="458"/>
      <c r="K683" s="458"/>
      <c r="L683" s="458"/>
      <c r="M683" s="458"/>
      <c r="N683" s="458"/>
      <c r="O683" s="443"/>
      <c r="P683" s="447"/>
    </row>
    <row r="684" spans="1:16" s="444" customFormat="1" ht="15">
      <c r="A684" s="443"/>
      <c r="B684" s="443"/>
      <c r="C684" s="443"/>
      <c r="D684" s="443"/>
      <c r="E684" s="458"/>
      <c r="F684" s="458"/>
      <c r="G684" s="458"/>
      <c r="H684" s="458"/>
      <c r="I684" s="458"/>
      <c r="J684" s="458"/>
      <c r="K684" s="458"/>
      <c r="L684" s="458"/>
      <c r="M684" s="458"/>
      <c r="N684" s="458"/>
      <c r="O684" s="443"/>
      <c r="P684" s="447"/>
    </row>
    <row r="685" spans="1:16" s="444" customFormat="1" ht="15">
      <c r="A685" s="443"/>
      <c r="B685" s="443"/>
      <c r="C685" s="443"/>
      <c r="D685" s="443"/>
      <c r="E685" s="458"/>
      <c r="F685" s="458"/>
      <c r="G685" s="458"/>
      <c r="H685" s="458"/>
      <c r="I685" s="458"/>
      <c r="J685" s="458"/>
      <c r="K685" s="458"/>
      <c r="L685" s="458"/>
      <c r="M685" s="458"/>
      <c r="N685" s="458"/>
      <c r="O685" s="443"/>
      <c r="P685" s="447"/>
    </row>
    <row r="686" spans="1:16" s="444" customFormat="1" ht="15">
      <c r="A686" s="443"/>
      <c r="B686" s="443"/>
      <c r="C686" s="443"/>
      <c r="D686" s="443"/>
      <c r="E686" s="458"/>
      <c r="F686" s="458"/>
      <c r="G686" s="458"/>
      <c r="H686" s="458"/>
      <c r="I686" s="458"/>
      <c r="J686" s="458"/>
      <c r="K686" s="458"/>
      <c r="L686" s="458"/>
      <c r="M686" s="458"/>
      <c r="N686" s="458"/>
      <c r="O686" s="443"/>
      <c r="P686" s="447"/>
    </row>
    <row r="687" spans="1:16" s="444" customFormat="1" ht="15">
      <c r="A687" s="443"/>
      <c r="B687" s="443"/>
      <c r="C687" s="443"/>
      <c r="D687" s="443"/>
      <c r="E687" s="458"/>
      <c r="F687" s="458"/>
      <c r="G687" s="458"/>
      <c r="H687" s="458"/>
      <c r="I687" s="458"/>
      <c r="J687" s="458"/>
      <c r="K687" s="458"/>
      <c r="L687" s="458"/>
      <c r="M687" s="458"/>
      <c r="N687" s="458"/>
      <c r="O687" s="443"/>
      <c r="P687" s="447"/>
    </row>
    <row r="688" spans="1:16" s="444" customFormat="1" ht="15">
      <c r="A688" s="443"/>
      <c r="B688" s="443"/>
      <c r="C688" s="443"/>
      <c r="D688" s="443"/>
      <c r="E688" s="458"/>
      <c r="F688" s="458"/>
      <c r="G688" s="458"/>
      <c r="H688" s="458"/>
      <c r="I688" s="458"/>
      <c r="J688" s="458"/>
      <c r="K688" s="458"/>
      <c r="L688" s="458"/>
      <c r="M688" s="458"/>
      <c r="N688" s="458"/>
      <c r="O688" s="443"/>
      <c r="P688" s="447"/>
    </row>
    <row r="689" spans="1:16" s="444" customFormat="1" ht="15">
      <c r="A689" s="443"/>
      <c r="B689" s="443"/>
      <c r="C689" s="443"/>
      <c r="D689" s="443"/>
      <c r="E689" s="458"/>
      <c r="F689" s="458"/>
      <c r="G689" s="458"/>
      <c r="H689" s="458"/>
      <c r="I689" s="458"/>
      <c r="J689" s="458"/>
      <c r="K689" s="458"/>
      <c r="L689" s="458"/>
      <c r="M689" s="458"/>
      <c r="N689" s="458"/>
      <c r="O689" s="443"/>
      <c r="P689" s="447"/>
    </row>
    <row r="690" spans="1:16" s="444" customFormat="1" ht="15">
      <c r="A690" s="443"/>
      <c r="B690" s="443"/>
      <c r="C690" s="443"/>
      <c r="D690" s="443"/>
      <c r="E690" s="458"/>
      <c r="F690" s="458"/>
      <c r="G690" s="458"/>
      <c r="H690" s="458"/>
      <c r="I690" s="458"/>
      <c r="J690" s="458"/>
      <c r="K690" s="458"/>
      <c r="L690" s="458"/>
      <c r="M690" s="458"/>
      <c r="N690" s="458"/>
      <c r="O690" s="443"/>
      <c r="P690" s="447"/>
    </row>
    <row r="691" spans="1:16" s="444" customFormat="1" ht="15">
      <c r="A691" s="443"/>
      <c r="B691" s="443"/>
      <c r="C691" s="443"/>
      <c r="D691" s="443"/>
      <c r="E691" s="458"/>
      <c r="F691" s="458"/>
      <c r="G691" s="458"/>
      <c r="H691" s="458"/>
      <c r="I691" s="458"/>
      <c r="J691" s="458"/>
      <c r="K691" s="458"/>
      <c r="L691" s="458"/>
      <c r="M691" s="458"/>
      <c r="N691" s="458"/>
      <c r="O691" s="443"/>
      <c r="P691" s="447"/>
    </row>
    <row r="692" spans="1:16" s="444" customFormat="1" ht="15">
      <c r="A692" s="443"/>
      <c r="B692" s="443"/>
      <c r="C692" s="443"/>
      <c r="D692" s="443"/>
      <c r="E692" s="458"/>
      <c r="F692" s="458"/>
      <c r="G692" s="458"/>
      <c r="H692" s="458"/>
      <c r="I692" s="458"/>
      <c r="J692" s="458"/>
      <c r="K692" s="458"/>
      <c r="L692" s="458"/>
      <c r="M692" s="458"/>
      <c r="N692" s="458"/>
      <c r="O692" s="443"/>
      <c r="P692" s="447"/>
    </row>
    <row r="693" spans="1:16" s="444" customFormat="1" ht="15">
      <c r="A693" s="443"/>
      <c r="B693" s="443"/>
      <c r="C693" s="443"/>
      <c r="D693" s="443"/>
      <c r="E693" s="458"/>
      <c r="F693" s="458"/>
      <c r="G693" s="458"/>
      <c r="H693" s="458"/>
      <c r="I693" s="458"/>
      <c r="J693" s="458"/>
      <c r="K693" s="458"/>
      <c r="L693" s="458"/>
      <c r="M693" s="458"/>
      <c r="N693" s="458"/>
      <c r="O693" s="443"/>
      <c r="P693" s="447"/>
    </row>
    <row r="694" spans="1:16" s="444" customFormat="1" ht="15">
      <c r="A694" s="443"/>
      <c r="B694" s="443"/>
      <c r="C694" s="443"/>
      <c r="D694" s="443"/>
      <c r="E694" s="458"/>
      <c r="F694" s="458"/>
      <c r="G694" s="458"/>
      <c r="H694" s="458"/>
      <c r="I694" s="458"/>
      <c r="J694" s="458"/>
      <c r="K694" s="458"/>
      <c r="L694" s="458"/>
      <c r="M694" s="458"/>
      <c r="N694" s="458"/>
      <c r="O694" s="443"/>
      <c r="P694" s="447"/>
    </row>
    <row r="695" spans="1:16" s="444" customFormat="1" ht="15">
      <c r="A695" s="443"/>
      <c r="B695" s="443"/>
      <c r="C695" s="443"/>
      <c r="D695" s="443"/>
      <c r="E695" s="458"/>
      <c r="F695" s="458"/>
      <c r="G695" s="458"/>
      <c r="H695" s="458"/>
      <c r="I695" s="458"/>
      <c r="J695" s="458"/>
      <c r="K695" s="458"/>
      <c r="L695" s="458"/>
      <c r="M695" s="458"/>
      <c r="N695" s="458"/>
      <c r="O695" s="443"/>
      <c r="P695" s="447"/>
    </row>
    <row r="696" spans="1:16" s="444" customFormat="1" ht="15">
      <c r="A696" s="443"/>
      <c r="B696" s="443"/>
      <c r="C696" s="443"/>
      <c r="D696" s="443"/>
      <c r="E696" s="458"/>
      <c r="F696" s="458"/>
      <c r="G696" s="458"/>
      <c r="H696" s="458"/>
      <c r="I696" s="458"/>
      <c r="J696" s="458"/>
      <c r="K696" s="458"/>
      <c r="L696" s="458"/>
      <c r="M696" s="458"/>
      <c r="N696" s="458"/>
      <c r="O696" s="443"/>
      <c r="P696" s="447"/>
    </row>
    <row r="697" spans="1:16" s="444" customFormat="1" ht="15">
      <c r="A697" s="443"/>
      <c r="B697" s="443"/>
      <c r="C697" s="443"/>
      <c r="D697" s="443"/>
      <c r="E697" s="458"/>
      <c r="F697" s="458"/>
      <c r="G697" s="458"/>
      <c r="H697" s="458"/>
      <c r="I697" s="458"/>
      <c r="J697" s="458"/>
      <c r="K697" s="458"/>
      <c r="L697" s="458"/>
      <c r="M697" s="458"/>
      <c r="N697" s="458"/>
      <c r="O697" s="443"/>
      <c r="P697" s="447"/>
    </row>
    <row r="698" spans="1:16" s="444" customFormat="1" ht="15">
      <c r="A698" s="443"/>
      <c r="B698" s="443"/>
      <c r="C698" s="443"/>
      <c r="D698" s="443"/>
      <c r="E698" s="458"/>
      <c r="F698" s="458"/>
      <c r="G698" s="458"/>
      <c r="H698" s="458"/>
      <c r="I698" s="458"/>
      <c r="J698" s="458"/>
      <c r="K698" s="458"/>
      <c r="L698" s="458"/>
      <c r="M698" s="458"/>
      <c r="N698" s="458"/>
      <c r="O698" s="443"/>
      <c r="P698" s="447"/>
    </row>
    <row r="699" spans="1:16" s="444" customFormat="1" ht="15">
      <c r="A699" s="443"/>
      <c r="B699" s="443"/>
      <c r="C699" s="443"/>
      <c r="D699" s="443"/>
      <c r="E699" s="458"/>
      <c r="F699" s="458"/>
      <c r="G699" s="458"/>
      <c r="H699" s="458"/>
      <c r="I699" s="458"/>
      <c r="J699" s="458"/>
      <c r="K699" s="458"/>
      <c r="L699" s="458"/>
      <c r="M699" s="458"/>
      <c r="N699" s="458"/>
      <c r="O699" s="443"/>
      <c r="P699" s="447"/>
    </row>
    <row r="700" spans="1:16" s="444" customFormat="1" ht="15">
      <c r="A700" s="443"/>
      <c r="B700" s="443"/>
      <c r="C700" s="443"/>
      <c r="D700" s="443"/>
      <c r="E700" s="458"/>
      <c r="F700" s="458"/>
      <c r="G700" s="458"/>
      <c r="H700" s="458"/>
      <c r="I700" s="458"/>
      <c r="J700" s="458"/>
      <c r="K700" s="458"/>
      <c r="L700" s="458"/>
      <c r="M700" s="458"/>
      <c r="N700" s="458"/>
      <c r="O700" s="443"/>
      <c r="P700" s="447"/>
    </row>
    <row r="701" spans="1:16" s="444" customFormat="1" ht="15">
      <c r="A701" s="443"/>
      <c r="B701" s="443"/>
      <c r="C701" s="443"/>
      <c r="D701" s="443"/>
      <c r="E701" s="458"/>
      <c r="F701" s="458"/>
      <c r="G701" s="458"/>
      <c r="H701" s="458"/>
      <c r="I701" s="458"/>
      <c r="J701" s="458"/>
      <c r="K701" s="458"/>
      <c r="L701" s="458"/>
      <c r="M701" s="458"/>
      <c r="N701" s="458"/>
      <c r="O701" s="443"/>
      <c r="P701" s="447"/>
    </row>
    <row r="702" spans="1:16" s="444" customFormat="1" ht="15">
      <c r="A702" s="443"/>
      <c r="B702" s="443"/>
      <c r="C702" s="443"/>
      <c r="D702" s="443"/>
      <c r="E702" s="458"/>
      <c r="F702" s="458"/>
      <c r="G702" s="458"/>
      <c r="H702" s="458"/>
      <c r="I702" s="458"/>
      <c r="J702" s="458"/>
      <c r="K702" s="458"/>
      <c r="L702" s="458"/>
      <c r="M702" s="458"/>
      <c r="N702" s="458"/>
      <c r="O702" s="443"/>
      <c r="P702" s="447"/>
    </row>
    <row r="703" spans="1:16" s="444" customFormat="1" ht="15">
      <c r="A703" s="443"/>
      <c r="B703" s="443"/>
      <c r="C703" s="443"/>
      <c r="D703" s="443"/>
      <c r="E703" s="458"/>
      <c r="F703" s="458"/>
      <c r="G703" s="458"/>
      <c r="H703" s="458"/>
      <c r="I703" s="458"/>
      <c r="J703" s="458"/>
      <c r="K703" s="458"/>
      <c r="L703" s="458"/>
      <c r="M703" s="458"/>
      <c r="N703" s="458"/>
      <c r="O703" s="443"/>
      <c r="P703" s="447"/>
    </row>
    <row r="704" spans="1:16" s="444" customFormat="1" ht="15">
      <c r="A704" s="443"/>
      <c r="B704" s="443"/>
      <c r="C704" s="443"/>
      <c r="D704" s="443"/>
      <c r="E704" s="458"/>
      <c r="F704" s="458"/>
      <c r="G704" s="458"/>
      <c r="H704" s="458"/>
      <c r="I704" s="458"/>
      <c r="J704" s="458"/>
      <c r="K704" s="458"/>
      <c r="L704" s="458"/>
      <c r="M704" s="458"/>
      <c r="N704" s="458"/>
      <c r="O704" s="443"/>
      <c r="P704" s="447"/>
    </row>
    <row r="705" spans="1:16" s="444" customFormat="1" ht="15">
      <c r="A705" s="443"/>
      <c r="B705" s="443"/>
      <c r="C705" s="443"/>
      <c r="D705" s="443"/>
      <c r="E705" s="458"/>
      <c r="F705" s="458"/>
      <c r="G705" s="458"/>
      <c r="H705" s="458"/>
      <c r="I705" s="458"/>
      <c r="J705" s="458"/>
      <c r="K705" s="458"/>
      <c r="L705" s="458"/>
      <c r="M705" s="458"/>
      <c r="N705" s="458"/>
      <c r="O705" s="443"/>
      <c r="P705" s="447"/>
    </row>
    <row r="706" spans="1:16" s="444" customFormat="1" ht="15">
      <c r="A706" s="443"/>
      <c r="B706" s="443"/>
      <c r="C706" s="443"/>
      <c r="D706" s="443"/>
      <c r="E706" s="458"/>
      <c r="F706" s="458"/>
      <c r="G706" s="458"/>
      <c r="H706" s="458"/>
      <c r="I706" s="458"/>
      <c r="J706" s="458"/>
      <c r="K706" s="458"/>
      <c r="L706" s="458"/>
      <c r="M706" s="458"/>
      <c r="N706" s="458"/>
      <c r="O706" s="443"/>
      <c r="P706" s="447"/>
    </row>
    <row r="707" spans="1:16" s="444" customFormat="1" ht="15">
      <c r="A707" s="443"/>
      <c r="B707" s="443"/>
      <c r="C707" s="443"/>
      <c r="D707" s="443"/>
      <c r="E707" s="458"/>
      <c r="F707" s="458"/>
      <c r="G707" s="458"/>
      <c r="H707" s="458"/>
      <c r="I707" s="458"/>
      <c r="J707" s="458"/>
      <c r="K707" s="458"/>
      <c r="L707" s="458"/>
      <c r="M707" s="458"/>
      <c r="N707" s="458"/>
      <c r="O707" s="443"/>
      <c r="P707" s="447"/>
    </row>
    <row r="708" spans="1:16" s="444" customFormat="1" ht="15">
      <c r="A708" s="443"/>
      <c r="B708" s="443"/>
      <c r="C708" s="443"/>
      <c r="D708" s="443"/>
      <c r="E708" s="458"/>
      <c r="F708" s="458"/>
      <c r="G708" s="458"/>
      <c r="H708" s="458"/>
      <c r="I708" s="458"/>
      <c r="J708" s="458"/>
      <c r="K708" s="458"/>
      <c r="L708" s="458"/>
      <c r="M708" s="458"/>
      <c r="N708" s="458"/>
      <c r="O708" s="443"/>
      <c r="P708" s="447"/>
    </row>
    <row r="709" spans="1:16" s="444" customFormat="1" ht="15">
      <c r="A709" s="443"/>
      <c r="B709" s="443"/>
      <c r="C709" s="443"/>
      <c r="D709" s="443"/>
      <c r="E709" s="458"/>
      <c r="F709" s="458"/>
      <c r="G709" s="458"/>
      <c r="H709" s="458"/>
      <c r="I709" s="458"/>
      <c r="J709" s="458"/>
      <c r="K709" s="458"/>
      <c r="L709" s="458"/>
      <c r="M709" s="458"/>
      <c r="N709" s="458"/>
      <c r="O709" s="443"/>
      <c r="P709" s="447"/>
    </row>
    <row r="710" spans="1:16" s="444" customFormat="1" ht="15">
      <c r="A710" s="443"/>
      <c r="B710" s="443"/>
      <c r="C710" s="443"/>
      <c r="D710" s="443"/>
      <c r="E710" s="458"/>
      <c r="F710" s="458"/>
      <c r="G710" s="458"/>
      <c r="H710" s="458"/>
      <c r="I710" s="458"/>
      <c r="J710" s="458"/>
      <c r="K710" s="458"/>
      <c r="L710" s="458"/>
      <c r="M710" s="458"/>
      <c r="N710" s="458"/>
      <c r="O710" s="443"/>
      <c r="P710" s="447"/>
    </row>
    <row r="711" spans="1:16" s="444" customFormat="1" ht="15">
      <c r="A711" s="443"/>
      <c r="B711" s="443"/>
      <c r="C711" s="443"/>
      <c r="D711" s="443"/>
      <c r="E711" s="458"/>
      <c r="F711" s="458"/>
      <c r="G711" s="458"/>
      <c r="H711" s="458"/>
      <c r="I711" s="458"/>
      <c r="J711" s="458"/>
      <c r="K711" s="458"/>
      <c r="L711" s="458"/>
      <c r="M711" s="458"/>
      <c r="N711" s="458"/>
      <c r="O711" s="443"/>
      <c r="P711" s="447"/>
    </row>
    <row r="712" spans="1:16" s="444" customFormat="1" ht="15">
      <c r="A712" s="443"/>
      <c r="B712" s="443"/>
      <c r="C712" s="443"/>
      <c r="D712" s="443"/>
      <c r="E712" s="458"/>
      <c r="F712" s="458"/>
      <c r="G712" s="458"/>
      <c r="H712" s="458"/>
      <c r="I712" s="458"/>
      <c r="J712" s="458"/>
      <c r="K712" s="458"/>
      <c r="L712" s="458"/>
      <c r="M712" s="458"/>
      <c r="N712" s="458"/>
      <c r="O712" s="443"/>
      <c r="P712" s="447"/>
    </row>
    <row r="713" spans="1:16" s="444" customFormat="1" ht="15">
      <c r="A713" s="443"/>
      <c r="B713" s="443"/>
      <c r="C713" s="443"/>
      <c r="D713" s="443"/>
      <c r="E713" s="458"/>
      <c r="F713" s="458"/>
      <c r="G713" s="458"/>
      <c r="H713" s="458"/>
      <c r="I713" s="458"/>
      <c r="J713" s="458"/>
      <c r="K713" s="458"/>
      <c r="L713" s="458"/>
      <c r="M713" s="458"/>
      <c r="N713" s="458"/>
      <c r="O713" s="443"/>
      <c r="P713" s="447"/>
    </row>
    <row r="714" spans="1:16" s="444" customFormat="1" ht="15">
      <c r="A714" s="443"/>
      <c r="B714" s="443"/>
      <c r="C714" s="443"/>
      <c r="D714" s="443"/>
      <c r="E714" s="458"/>
      <c r="F714" s="458"/>
      <c r="G714" s="458"/>
      <c r="H714" s="458"/>
      <c r="I714" s="458"/>
      <c r="J714" s="458"/>
      <c r="K714" s="458"/>
      <c r="L714" s="458"/>
      <c r="M714" s="458"/>
      <c r="N714" s="458"/>
      <c r="O714" s="443"/>
      <c r="P714" s="447"/>
    </row>
    <row r="715" spans="1:16" s="444" customFormat="1" ht="15">
      <c r="A715" s="443"/>
      <c r="B715" s="443"/>
      <c r="C715" s="443"/>
      <c r="D715" s="443"/>
      <c r="E715" s="458"/>
      <c r="F715" s="458"/>
      <c r="G715" s="458"/>
      <c r="H715" s="458"/>
      <c r="I715" s="458"/>
      <c r="J715" s="458"/>
      <c r="K715" s="458"/>
      <c r="L715" s="458"/>
      <c r="M715" s="458"/>
      <c r="N715" s="458"/>
      <c r="O715" s="443"/>
      <c r="P715" s="447"/>
    </row>
    <row r="716" spans="1:16" s="444" customFormat="1" ht="15">
      <c r="A716" s="443"/>
      <c r="B716" s="443"/>
      <c r="C716" s="443"/>
      <c r="D716" s="443"/>
      <c r="E716" s="458"/>
      <c r="F716" s="458"/>
      <c r="G716" s="458"/>
      <c r="H716" s="458"/>
      <c r="I716" s="458"/>
      <c r="J716" s="458"/>
      <c r="K716" s="458"/>
      <c r="L716" s="458"/>
      <c r="M716" s="458"/>
      <c r="N716" s="458"/>
      <c r="O716" s="443"/>
      <c r="P716" s="447"/>
    </row>
    <row r="717" spans="1:16" s="444" customFormat="1" ht="15">
      <c r="A717" s="443"/>
      <c r="B717" s="443"/>
      <c r="C717" s="443"/>
      <c r="D717" s="443"/>
      <c r="E717" s="458"/>
      <c r="F717" s="458"/>
      <c r="G717" s="458"/>
      <c r="H717" s="458"/>
      <c r="I717" s="458"/>
      <c r="J717" s="458"/>
      <c r="K717" s="458"/>
      <c r="L717" s="458"/>
      <c r="M717" s="458"/>
      <c r="N717" s="458"/>
      <c r="O717" s="443"/>
      <c r="P717" s="447"/>
    </row>
    <row r="718" spans="1:16" s="444" customFormat="1" ht="15">
      <c r="A718" s="443"/>
      <c r="B718" s="443"/>
      <c r="C718" s="443"/>
      <c r="D718" s="443"/>
      <c r="E718" s="458"/>
      <c r="F718" s="458"/>
      <c r="G718" s="458"/>
      <c r="H718" s="458"/>
      <c r="I718" s="458"/>
      <c r="J718" s="458"/>
      <c r="K718" s="458"/>
      <c r="L718" s="458"/>
      <c r="M718" s="458"/>
      <c r="N718" s="458"/>
      <c r="O718" s="443"/>
      <c r="P718" s="447"/>
    </row>
    <row r="719" spans="1:16" s="444" customFormat="1" ht="15">
      <c r="A719" s="443"/>
      <c r="B719" s="443"/>
      <c r="C719" s="443"/>
      <c r="D719" s="443"/>
      <c r="E719" s="458"/>
      <c r="F719" s="458"/>
      <c r="G719" s="458"/>
      <c r="H719" s="458"/>
      <c r="I719" s="458"/>
      <c r="J719" s="458"/>
      <c r="K719" s="458"/>
      <c r="L719" s="458"/>
      <c r="M719" s="458"/>
      <c r="N719" s="458"/>
      <c r="O719" s="443"/>
      <c r="P719" s="447"/>
    </row>
    <row r="720" spans="1:16" s="444" customFormat="1" ht="15">
      <c r="A720" s="443"/>
      <c r="B720" s="443"/>
      <c r="C720" s="443"/>
      <c r="D720" s="443"/>
      <c r="E720" s="458"/>
      <c r="F720" s="458"/>
      <c r="G720" s="458"/>
      <c r="H720" s="458"/>
      <c r="I720" s="458"/>
      <c r="J720" s="458"/>
      <c r="K720" s="458"/>
      <c r="L720" s="458"/>
      <c r="M720" s="458"/>
      <c r="N720" s="458"/>
      <c r="O720" s="443"/>
      <c r="P720" s="447"/>
    </row>
    <row r="721" spans="1:16" s="444" customFormat="1" ht="15">
      <c r="A721" s="443"/>
      <c r="B721" s="443"/>
      <c r="C721" s="443"/>
      <c r="D721" s="443"/>
      <c r="E721" s="458"/>
      <c r="F721" s="458"/>
      <c r="G721" s="458"/>
      <c r="H721" s="458"/>
      <c r="I721" s="458"/>
      <c r="J721" s="458"/>
      <c r="K721" s="458"/>
      <c r="L721" s="458"/>
      <c r="M721" s="458"/>
      <c r="N721" s="458"/>
      <c r="O721" s="443"/>
      <c r="P721" s="447"/>
    </row>
    <row r="722" spans="1:16" s="444" customFormat="1" ht="15">
      <c r="A722" s="443"/>
      <c r="B722" s="443"/>
      <c r="C722" s="443"/>
      <c r="D722" s="443"/>
      <c r="E722" s="458"/>
      <c r="F722" s="458"/>
      <c r="G722" s="458"/>
      <c r="H722" s="458"/>
      <c r="I722" s="458"/>
      <c r="J722" s="458"/>
      <c r="K722" s="458"/>
      <c r="L722" s="458"/>
      <c r="M722" s="458"/>
      <c r="N722" s="458"/>
      <c r="O722" s="443"/>
      <c r="P722" s="447"/>
    </row>
    <row r="723" spans="1:16" s="444" customFormat="1" ht="15">
      <c r="A723" s="443"/>
      <c r="B723" s="443"/>
      <c r="C723" s="443"/>
      <c r="D723" s="443"/>
      <c r="E723" s="458"/>
      <c r="F723" s="458"/>
      <c r="G723" s="458"/>
      <c r="H723" s="458"/>
      <c r="I723" s="458"/>
      <c r="J723" s="458"/>
      <c r="K723" s="458"/>
      <c r="L723" s="458"/>
      <c r="M723" s="458"/>
      <c r="N723" s="458"/>
      <c r="O723" s="443"/>
      <c r="P723" s="447"/>
    </row>
    <row r="724" spans="1:16" s="444" customFormat="1" ht="15">
      <c r="A724" s="443"/>
      <c r="B724" s="443"/>
      <c r="C724" s="443"/>
      <c r="D724" s="443"/>
      <c r="E724" s="458"/>
      <c r="F724" s="458"/>
      <c r="G724" s="458"/>
      <c r="H724" s="458"/>
      <c r="I724" s="458"/>
      <c r="J724" s="458"/>
      <c r="K724" s="458"/>
      <c r="L724" s="458"/>
      <c r="M724" s="458"/>
      <c r="N724" s="458"/>
      <c r="O724" s="443"/>
      <c r="P724" s="447"/>
    </row>
    <row r="725" spans="1:16" s="444" customFormat="1" ht="15">
      <c r="A725" s="443"/>
      <c r="B725" s="443"/>
      <c r="C725" s="443"/>
      <c r="D725" s="443"/>
      <c r="E725" s="458"/>
      <c r="F725" s="458"/>
      <c r="G725" s="458"/>
      <c r="H725" s="458"/>
      <c r="I725" s="458"/>
      <c r="J725" s="458"/>
      <c r="K725" s="458"/>
      <c r="L725" s="458"/>
      <c r="M725" s="458"/>
      <c r="N725" s="458"/>
      <c r="O725" s="443"/>
      <c r="P725" s="447"/>
    </row>
    <row r="726" spans="1:16" s="444" customFormat="1" ht="15">
      <c r="A726" s="443"/>
      <c r="B726" s="443"/>
      <c r="C726" s="443"/>
      <c r="D726" s="443"/>
      <c r="E726" s="458"/>
      <c r="F726" s="458"/>
      <c r="G726" s="458"/>
      <c r="H726" s="458"/>
      <c r="I726" s="458"/>
      <c r="J726" s="458"/>
      <c r="K726" s="458"/>
      <c r="L726" s="458"/>
      <c r="M726" s="458"/>
      <c r="N726" s="458"/>
      <c r="O726" s="443"/>
      <c r="P726" s="447"/>
    </row>
    <row r="727" spans="1:16" s="444" customFormat="1" ht="15">
      <c r="A727" s="443"/>
      <c r="B727" s="443"/>
      <c r="C727" s="443"/>
      <c r="D727" s="443"/>
      <c r="E727" s="458"/>
      <c r="F727" s="458"/>
      <c r="G727" s="458"/>
      <c r="H727" s="458"/>
      <c r="I727" s="458"/>
      <c r="J727" s="458"/>
      <c r="K727" s="458"/>
      <c r="L727" s="458"/>
      <c r="M727" s="458"/>
      <c r="N727" s="458"/>
      <c r="O727" s="443"/>
      <c r="P727" s="447"/>
    </row>
    <row r="728" spans="1:16" s="444" customFormat="1" ht="15">
      <c r="A728" s="443"/>
      <c r="B728" s="443"/>
      <c r="C728" s="443"/>
      <c r="D728" s="443"/>
      <c r="E728" s="458"/>
      <c r="F728" s="458"/>
      <c r="G728" s="458"/>
      <c r="H728" s="458"/>
      <c r="I728" s="458"/>
      <c r="J728" s="458"/>
      <c r="K728" s="458"/>
      <c r="L728" s="458"/>
      <c r="M728" s="458"/>
      <c r="N728" s="458"/>
      <c r="O728" s="443"/>
      <c r="P728" s="447"/>
    </row>
    <row r="729" spans="1:16" s="444" customFormat="1" ht="15">
      <c r="A729" s="443"/>
      <c r="B729" s="443"/>
      <c r="C729" s="443"/>
      <c r="D729" s="443"/>
      <c r="E729" s="458"/>
      <c r="F729" s="458"/>
      <c r="G729" s="458"/>
      <c r="H729" s="458"/>
      <c r="I729" s="458"/>
      <c r="J729" s="458"/>
      <c r="K729" s="458"/>
      <c r="L729" s="458"/>
      <c r="M729" s="458"/>
      <c r="N729" s="458"/>
      <c r="O729" s="443"/>
      <c r="P729" s="447"/>
    </row>
    <row r="730" spans="1:16" s="444" customFormat="1" ht="15">
      <c r="A730" s="443"/>
      <c r="B730" s="443"/>
      <c r="C730" s="443"/>
      <c r="D730" s="443"/>
      <c r="E730" s="458"/>
      <c r="F730" s="458"/>
      <c r="G730" s="458"/>
      <c r="H730" s="458"/>
      <c r="I730" s="458"/>
      <c r="J730" s="458"/>
      <c r="K730" s="458"/>
      <c r="L730" s="458"/>
      <c r="M730" s="458"/>
      <c r="N730" s="458"/>
      <c r="O730" s="443"/>
      <c r="P730" s="447"/>
    </row>
    <row r="731" spans="1:16" s="444" customFormat="1" ht="15">
      <c r="A731" s="443"/>
      <c r="B731" s="443"/>
      <c r="C731" s="443"/>
      <c r="D731" s="443"/>
      <c r="E731" s="458"/>
      <c r="F731" s="458"/>
      <c r="G731" s="458"/>
      <c r="H731" s="458"/>
      <c r="I731" s="458"/>
      <c r="J731" s="458"/>
      <c r="K731" s="458"/>
      <c r="L731" s="458"/>
      <c r="M731" s="458"/>
      <c r="N731" s="458"/>
      <c r="O731" s="443"/>
      <c r="P731" s="447"/>
    </row>
    <row r="732" spans="1:16" s="444" customFormat="1" ht="15">
      <c r="A732" s="443"/>
      <c r="B732" s="443"/>
      <c r="C732" s="443"/>
      <c r="D732" s="443"/>
      <c r="E732" s="458"/>
      <c r="F732" s="458"/>
      <c r="G732" s="458"/>
      <c r="H732" s="458"/>
      <c r="I732" s="458"/>
      <c r="J732" s="458"/>
      <c r="K732" s="458"/>
      <c r="L732" s="458"/>
      <c r="M732" s="458"/>
      <c r="N732" s="458"/>
      <c r="O732" s="443"/>
      <c r="P732" s="447"/>
    </row>
    <row r="733" spans="1:16" s="444" customFormat="1" ht="15">
      <c r="A733" s="443"/>
      <c r="B733" s="443"/>
      <c r="C733" s="443"/>
      <c r="D733" s="443"/>
      <c r="E733" s="458"/>
      <c r="F733" s="458"/>
      <c r="G733" s="458"/>
      <c r="H733" s="458"/>
      <c r="I733" s="458"/>
      <c r="J733" s="458"/>
      <c r="K733" s="458"/>
      <c r="L733" s="458"/>
      <c r="M733" s="458"/>
      <c r="N733" s="458"/>
      <c r="O733" s="443"/>
      <c r="P733" s="447"/>
    </row>
    <row r="734" spans="1:16" s="444" customFormat="1" ht="15">
      <c r="A734" s="443"/>
      <c r="B734" s="443"/>
      <c r="C734" s="443"/>
      <c r="D734" s="443"/>
      <c r="E734" s="458"/>
      <c r="F734" s="458"/>
      <c r="G734" s="458"/>
      <c r="H734" s="458"/>
      <c r="I734" s="458"/>
      <c r="J734" s="458"/>
      <c r="K734" s="458"/>
      <c r="L734" s="458"/>
      <c r="M734" s="458"/>
      <c r="N734" s="458"/>
      <c r="O734" s="443"/>
      <c r="P734" s="447"/>
    </row>
    <row r="735" spans="1:16" s="444" customFormat="1" ht="15">
      <c r="A735" s="443"/>
      <c r="B735" s="443"/>
      <c r="C735" s="443"/>
      <c r="D735" s="443"/>
      <c r="E735" s="458"/>
      <c r="F735" s="458"/>
      <c r="G735" s="458"/>
      <c r="H735" s="458"/>
      <c r="I735" s="458"/>
      <c r="J735" s="458"/>
      <c r="K735" s="458"/>
      <c r="L735" s="458"/>
      <c r="M735" s="458"/>
      <c r="N735" s="458"/>
      <c r="O735" s="443"/>
      <c r="P735" s="447"/>
    </row>
    <row r="736" spans="1:16" s="444" customFormat="1" ht="15">
      <c r="A736" s="443"/>
      <c r="B736" s="443"/>
      <c r="C736" s="443"/>
      <c r="D736" s="443"/>
      <c r="E736" s="458"/>
      <c r="F736" s="458"/>
      <c r="G736" s="458"/>
      <c r="H736" s="458"/>
      <c r="I736" s="458"/>
      <c r="J736" s="458"/>
      <c r="K736" s="458"/>
      <c r="L736" s="458"/>
      <c r="M736" s="458"/>
      <c r="N736" s="458"/>
      <c r="O736" s="443"/>
      <c r="P736" s="447"/>
    </row>
    <row r="737" spans="16:16" s="444" customFormat="1" ht="15">
      <c r="P737" s="447"/>
    </row>
    <row r="738" spans="16:16" s="444" customFormat="1" ht="15">
      <c r="P738" s="447"/>
    </row>
    <row r="739" spans="16:16" s="444" customFormat="1" ht="15">
      <c r="P739" s="447"/>
    </row>
    <row r="740" spans="16:16" s="444" customFormat="1" ht="15">
      <c r="P740" s="447"/>
    </row>
    <row r="741" spans="16:16" s="444" customFormat="1" ht="15">
      <c r="P741" s="447"/>
    </row>
    <row r="742" spans="16:16" s="444" customFormat="1" ht="15">
      <c r="P742" s="447"/>
    </row>
    <row r="743" spans="16:16" s="444" customFormat="1" ht="15">
      <c r="P743" s="447"/>
    </row>
    <row r="744" spans="16:16" s="444" customFormat="1" ht="15">
      <c r="P744" s="447"/>
    </row>
    <row r="745" spans="16:16" s="444" customFormat="1" ht="15">
      <c r="P745" s="447"/>
    </row>
    <row r="746" spans="16:16" s="444" customFormat="1" ht="15">
      <c r="P746" s="447"/>
    </row>
    <row r="747" spans="16:16" s="444" customFormat="1" ht="15">
      <c r="P747" s="447"/>
    </row>
    <row r="748" spans="16:16" s="444" customFormat="1" ht="15">
      <c r="P748" s="447"/>
    </row>
    <row r="749" spans="16:16" s="444" customFormat="1" ht="15">
      <c r="P749" s="447"/>
    </row>
    <row r="750" spans="16:16" s="444" customFormat="1" ht="15">
      <c r="P750" s="447"/>
    </row>
    <row r="751" spans="16:16" s="444" customFormat="1" ht="15">
      <c r="P751" s="447"/>
    </row>
    <row r="752" spans="16:16" s="444" customFormat="1" ht="15">
      <c r="P752" s="447"/>
    </row>
    <row r="753" spans="16:16" s="444" customFormat="1" ht="15">
      <c r="P753" s="447"/>
    </row>
    <row r="754" spans="16:16" s="444" customFormat="1" ht="15">
      <c r="P754" s="447"/>
    </row>
    <row r="755" spans="16:16" s="444" customFormat="1" ht="15">
      <c r="P755" s="447"/>
    </row>
    <row r="756" spans="16:16" s="444" customFormat="1" ht="15">
      <c r="P756" s="447"/>
    </row>
    <row r="757" spans="16:16" s="444" customFormat="1" ht="15">
      <c r="P757" s="447"/>
    </row>
    <row r="758" spans="16:16" s="444" customFormat="1" ht="15">
      <c r="P758" s="447"/>
    </row>
    <row r="759" spans="16:16" s="444" customFormat="1" ht="15">
      <c r="P759" s="447"/>
    </row>
    <row r="760" spans="16:16" s="444" customFormat="1" ht="15">
      <c r="P760" s="447"/>
    </row>
    <row r="761" spans="16:16" s="444" customFormat="1" ht="15">
      <c r="P761" s="447"/>
    </row>
    <row r="762" spans="16:16" s="444" customFormat="1" ht="15">
      <c r="P762" s="447"/>
    </row>
    <row r="763" spans="16:16" s="444" customFormat="1" ht="15">
      <c r="P763" s="447"/>
    </row>
    <row r="764" spans="16:16" s="444" customFormat="1" ht="15">
      <c r="P764" s="447"/>
    </row>
    <row r="765" spans="16:16" s="444" customFormat="1" ht="15">
      <c r="P765" s="447"/>
    </row>
    <row r="766" spans="16:16" s="444" customFormat="1" ht="15">
      <c r="P766" s="447"/>
    </row>
    <row r="767" spans="16:16" s="444" customFormat="1" ht="15">
      <c r="P767" s="447"/>
    </row>
    <row r="768" spans="16:16" s="444" customFormat="1" ht="15">
      <c r="P768" s="447"/>
    </row>
    <row r="769" spans="16:16" s="444" customFormat="1" ht="15">
      <c r="P769" s="447"/>
    </row>
    <row r="770" spans="16:16" s="444" customFormat="1" ht="15">
      <c r="P770" s="447"/>
    </row>
    <row r="771" spans="16:16" s="444" customFormat="1" ht="15">
      <c r="P771" s="447"/>
    </row>
    <row r="772" spans="16:16" s="444" customFormat="1" ht="15">
      <c r="P772" s="447"/>
    </row>
    <row r="773" spans="16:16" s="444" customFormat="1" ht="15">
      <c r="P773" s="447"/>
    </row>
    <row r="774" spans="16:16" s="444" customFormat="1" ht="15">
      <c r="P774" s="447"/>
    </row>
    <row r="775" spans="16:16" s="444" customFormat="1" ht="15">
      <c r="P775" s="447"/>
    </row>
    <row r="776" spans="16:16" s="444" customFormat="1" ht="15">
      <c r="P776" s="447"/>
    </row>
    <row r="777" spans="16:16" s="444" customFormat="1" ht="15">
      <c r="P777" s="447"/>
    </row>
    <row r="778" spans="16:16" s="444" customFormat="1" ht="15">
      <c r="P778" s="447"/>
    </row>
    <row r="779" spans="16:16" s="444" customFormat="1" ht="15">
      <c r="P779" s="447"/>
    </row>
    <row r="780" spans="16:16" s="444" customFormat="1" ht="15">
      <c r="P780" s="447"/>
    </row>
    <row r="781" spans="16:16" s="444" customFormat="1" ht="15">
      <c r="P781" s="447"/>
    </row>
    <row r="782" spans="16:16" s="444" customFormat="1" ht="15">
      <c r="P782" s="447"/>
    </row>
    <row r="783" spans="16:16" s="444" customFormat="1" ht="15">
      <c r="P783" s="447"/>
    </row>
    <row r="784" spans="16:16" s="444" customFormat="1" ht="15">
      <c r="P784" s="447"/>
    </row>
    <row r="785" spans="16:16" s="444" customFormat="1" ht="15">
      <c r="P785" s="447"/>
    </row>
    <row r="786" spans="16:16" s="444" customFormat="1" ht="15">
      <c r="P786" s="447"/>
    </row>
    <row r="787" spans="16:16" s="444" customFormat="1" ht="15">
      <c r="P787" s="447"/>
    </row>
    <row r="788" spans="16:16" s="444" customFormat="1" ht="15">
      <c r="P788" s="447"/>
    </row>
    <row r="789" spans="16:16" s="444" customFormat="1" ht="15">
      <c r="P789" s="447"/>
    </row>
    <row r="790" spans="16:16" s="444" customFormat="1" ht="15">
      <c r="P790" s="447"/>
    </row>
    <row r="791" spans="16:16" s="444" customFormat="1" ht="15">
      <c r="P791" s="447"/>
    </row>
    <row r="792" spans="16:16" s="444" customFormat="1" ht="15">
      <c r="P792" s="447"/>
    </row>
    <row r="793" spans="16:16" s="444" customFormat="1" ht="15">
      <c r="P793" s="447"/>
    </row>
    <row r="794" spans="16:16" s="444" customFormat="1" ht="15">
      <c r="P794" s="447"/>
    </row>
    <row r="795" spans="16:16" s="444" customFormat="1" ht="15">
      <c r="P795" s="447"/>
    </row>
    <row r="796" spans="16:16" s="444" customFormat="1" ht="15">
      <c r="P796" s="447"/>
    </row>
    <row r="797" spans="16:16" s="444" customFormat="1" ht="15">
      <c r="P797" s="447"/>
    </row>
    <row r="798" spans="16:16" s="444" customFormat="1" ht="15">
      <c r="P798" s="447"/>
    </row>
    <row r="799" spans="16:16" s="444" customFormat="1" ht="15">
      <c r="P799" s="447"/>
    </row>
    <row r="800" spans="16:16" s="444" customFormat="1" ht="15">
      <c r="P800" s="447"/>
    </row>
    <row r="801" spans="16:16" s="444" customFormat="1" ht="15">
      <c r="P801" s="447"/>
    </row>
    <row r="802" spans="16:16" s="444" customFormat="1" ht="15">
      <c r="P802" s="447"/>
    </row>
    <row r="803" spans="16:16" s="444" customFormat="1" ht="15">
      <c r="P803" s="447"/>
    </row>
    <row r="804" spans="16:16" s="444" customFormat="1" ht="15">
      <c r="P804" s="447"/>
    </row>
    <row r="805" spans="16:16" s="444" customFormat="1" ht="15">
      <c r="P805" s="447"/>
    </row>
    <row r="806" spans="16:16" s="444" customFormat="1" ht="15">
      <c r="P806" s="447"/>
    </row>
    <row r="807" spans="16:16" s="444" customFormat="1" ht="15">
      <c r="P807" s="447"/>
    </row>
    <row r="808" spans="16:16" s="444" customFormat="1" ht="15">
      <c r="P808" s="447"/>
    </row>
    <row r="809" spans="16:16" s="444" customFormat="1" ht="15">
      <c r="P809" s="447"/>
    </row>
    <row r="810" spans="16:16" s="444" customFormat="1" ht="15">
      <c r="P810" s="447"/>
    </row>
    <row r="811" spans="16:16" s="444" customFormat="1" ht="15">
      <c r="P811" s="447"/>
    </row>
    <row r="812" spans="16:16" s="444" customFormat="1" ht="15">
      <c r="P812" s="447"/>
    </row>
    <row r="813" spans="16:16" s="444" customFormat="1" ht="15">
      <c r="P813" s="447"/>
    </row>
    <row r="814" spans="16:16" s="444" customFormat="1" ht="15">
      <c r="P814" s="447"/>
    </row>
    <row r="815" spans="16:16" s="444" customFormat="1" ht="15">
      <c r="P815" s="447"/>
    </row>
    <row r="816" spans="16:16" s="444" customFormat="1" ht="15">
      <c r="P816" s="447"/>
    </row>
    <row r="817" spans="16:16" s="444" customFormat="1" ht="15">
      <c r="P817" s="447"/>
    </row>
    <row r="818" spans="16:16" s="444" customFormat="1" ht="15">
      <c r="P818" s="447"/>
    </row>
    <row r="819" spans="16:16" s="444" customFormat="1" ht="15">
      <c r="P819" s="447"/>
    </row>
    <row r="820" spans="16:16" s="444" customFormat="1" ht="15">
      <c r="P820" s="447"/>
    </row>
    <row r="821" spans="16:16" s="444" customFormat="1" ht="15">
      <c r="P821" s="447"/>
    </row>
    <row r="822" spans="16:16" s="444" customFormat="1" ht="15">
      <c r="P822" s="447"/>
    </row>
    <row r="823" spans="16:16" s="444" customFormat="1" ht="15">
      <c r="P823" s="447"/>
    </row>
    <row r="824" spans="16:16" s="444" customFormat="1" ht="15">
      <c r="P824" s="447"/>
    </row>
    <row r="825" spans="16:16" s="444" customFormat="1" ht="15">
      <c r="P825" s="447"/>
    </row>
    <row r="826" spans="16:16" s="444" customFormat="1" ht="15">
      <c r="P826" s="447"/>
    </row>
    <row r="827" spans="16:16" s="444" customFormat="1" ht="15">
      <c r="P827" s="447"/>
    </row>
    <row r="828" spans="16:16" s="444" customFormat="1" ht="15">
      <c r="P828" s="447"/>
    </row>
    <row r="829" spans="16:16" s="444" customFormat="1" ht="15">
      <c r="P829" s="447"/>
    </row>
    <row r="830" spans="16:16" s="444" customFormat="1" ht="15">
      <c r="P830" s="447"/>
    </row>
    <row r="831" spans="16:16" s="444" customFormat="1" ht="15">
      <c r="P831" s="447"/>
    </row>
    <row r="832" spans="16:16" s="444" customFormat="1" ht="15">
      <c r="P832" s="447"/>
    </row>
    <row r="833" spans="16:16" s="444" customFormat="1" ht="15">
      <c r="P833" s="447"/>
    </row>
    <row r="834" spans="16:16" s="444" customFormat="1" ht="15">
      <c r="P834" s="447"/>
    </row>
    <row r="835" spans="16:16" s="444" customFormat="1" ht="15">
      <c r="P835" s="447"/>
    </row>
    <row r="836" spans="16:16" s="444" customFormat="1" ht="15">
      <c r="P836" s="447"/>
    </row>
    <row r="837" spans="16:16" s="444" customFormat="1" ht="15">
      <c r="P837" s="447"/>
    </row>
    <row r="838" spans="16:16" s="444" customFormat="1" ht="15">
      <c r="P838" s="447"/>
    </row>
    <row r="839" spans="16:16" s="444" customFormat="1" ht="15">
      <c r="P839" s="447"/>
    </row>
    <row r="840" spans="16:16" s="444" customFormat="1" ht="15">
      <c r="P840" s="447"/>
    </row>
    <row r="841" spans="16:16" s="444" customFormat="1" ht="15">
      <c r="P841" s="447"/>
    </row>
    <row r="842" spans="16:16" s="444" customFormat="1" ht="15">
      <c r="P842" s="447"/>
    </row>
    <row r="843" spans="16:16" s="444" customFormat="1" ht="15">
      <c r="P843" s="447"/>
    </row>
    <row r="844" spans="16:16" s="444" customFormat="1" ht="15">
      <c r="P844" s="447"/>
    </row>
    <row r="845" spans="16:16" s="444" customFormat="1" ht="15">
      <c r="P845" s="447"/>
    </row>
    <row r="846" spans="16:16" s="444" customFormat="1" ht="15">
      <c r="P846" s="447"/>
    </row>
    <row r="847" spans="16:16" s="444" customFormat="1" ht="15">
      <c r="P847" s="447"/>
    </row>
    <row r="848" spans="16:16" s="444" customFormat="1" ht="15">
      <c r="P848" s="447"/>
    </row>
    <row r="849" spans="16:16" s="444" customFormat="1" ht="15">
      <c r="P849" s="447"/>
    </row>
    <row r="850" spans="16:16" s="444" customFormat="1" ht="15">
      <c r="P850" s="447"/>
    </row>
    <row r="851" spans="16:16" s="444" customFormat="1" ht="15">
      <c r="P851" s="447"/>
    </row>
    <row r="852" spans="16:16" s="444" customFormat="1" ht="15">
      <c r="P852" s="447"/>
    </row>
    <row r="853" spans="16:16" s="444" customFormat="1" ht="15">
      <c r="P853" s="447"/>
    </row>
    <row r="854" spans="16:16" s="444" customFormat="1" ht="15">
      <c r="P854" s="447"/>
    </row>
    <row r="855" spans="16:16" s="444" customFormat="1" ht="15">
      <c r="P855" s="447"/>
    </row>
    <row r="856" spans="16:16" s="444" customFormat="1" ht="15">
      <c r="P856" s="447"/>
    </row>
    <row r="857" spans="16:16" s="444" customFormat="1" ht="15">
      <c r="P857" s="447"/>
    </row>
    <row r="858" spans="16:16" s="444" customFormat="1" ht="15">
      <c r="P858" s="447"/>
    </row>
    <row r="859" spans="16:16" s="444" customFormat="1" ht="15">
      <c r="P859" s="447"/>
    </row>
    <row r="860" spans="16:16" s="444" customFormat="1" ht="15">
      <c r="P860" s="447"/>
    </row>
    <row r="861" spans="16:16" s="444" customFormat="1" ht="15">
      <c r="P861" s="447"/>
    </row>
    <row r="862" spans="16:16" s="444" customFormat="1" ht="15">
      <c r="P862" s="447"/>
    </row>
    <row r="863" spans="16:16" s="444" customFormat="1" ht="15">
      <c r="P863" s="447"/>
    </row>
    <row r="864" spans="16:16" s="444" customFormat="1" ht="15">
      <c r="P864" s="447"/>
    </row>
    <row r="865" spans="16:16" s="444" customFormat="1" ht="15">
      <c r="P865" s="447"/>
    </row>
    <row r="866" spans="16:16" s="444" customFormat="1" ht="15">
      <c r="P866" s="447"/>
    </row>
    <row r="867" spans="16:16" s="444" customFormat="1" ht="15">
      <c r="P867" s="447"/>
    </row>
    <row r="868" spans="16:16" s="444" customFormat="1" ht="15">
      <c r="P868" s="447"/>
    </row>
    <row r="869" spans="16:16" s="444" customFormat="1" ht="15">
      <c r="P869" s="447"/>
    </row>
    <row r="870" spans="16:16" s="444" customFormat="1" ht="15">
      <c r="P870" s="447"/>
    </row>
    <row r="871" spans="16:16" s="444" customFormat="1" ht="15">
      <c r="P871" s="447"/>
    </row>
    <row r="872" spans="16:16" s="444" customFormat="1" ht="15">
      <c r="P872" s="447"/>
    </row>
    <row r="873" spans="16:16" s="444" customFormat="1" ht="15">
      <c r="P873" s="447"/>
    </row>
    <row r="874" spans="16:16" s="444" customFormat="1" ht="15">
      <c r="P874" s="447"/>
    </row>
    <row r="875" spans="16:16" s="444" customFormat="1" ht="15">
      <c r="P875" s="447"/>
    </row>
    <row r="876" spans="16:16" s="444" customFormat="1" ht="15">
      <c r="P876" s="447"/>
    </row>
    <row r="877" spans="16:16" s="444" customFormat="1" ht="15">
      <c r="P877" s="447"/>
    </row>
    <row r="878" spans="16:16" s="444" customFormat="1" ht="15">
      <c r="P878" s="447"/>
    </row>
    <row r="879" spans="16:16" s="444" customFormat="1" ht="15">
      <c r="P879" s="447"/>
    </row>
    <row r="880" spans="16:16" s="444" customFormat="1" ht="15">
      <c r="P880" s="447"/>
    </row>
    <row r="881" spans="16:16" s="444" customFormat="1" ht="15">
      <c r="P881" s="447"/>
    </row>
    <row r="882" spans="16:16" s="444" customFormat="1" ht="15">
      <c r="P882" s="447"/>
    </row>
    <row r="883" spans="16:16" s="444" customFormat="1" ht="15">
      <c r="P883" s="447"/>
    </row>
    <row r="884" spans="16:16" s="444" customFormat="1" ht="15">
      <c r="P884" s="447"/>
    </row>
    <row r="885" spans="16:16" s="444" customFormat="1" ht="15">
      <c r="P885" s="447"/>
    </row>
    <row r="886" spans="16:16" s="444" customFormat="1" ht="15">
      <c r="P886" s="447"/>
    </row>
    <row r="887" spans="16:16" s="444" customFormat="1" ht="15">
      <c r="P887" s="447"/>
    </row>
    <row r="888" spans="16:16" s="444" customFormat="1" ht="15">
      <c r="P888" s="447"/>
    </row>
    <row r="889" spans="16:16" s="444" customFormat="1" ht="15">
      <c r="P889" s="447"/>
    </row>
    <row r="890" spans="16:16" s="444" customFormat="1" ht="15">
      <c r="P890" s="447"/>
    </row>
    <row r="891" spans="16:16" s="444" customFormat="1" ht="15">
      <c r="P891" s="447"/>
    </row>
    <row r="892" spans="16:16" s="444" customFormat="1" ht="15">
      <c r="P892" s="447"/>
    </row>
    <row r="893" spans="16:16" s="444" customFormat="1" ht="15">
      <c r="P893" s="447"/>
    </row>
    <row r="894" spans="16:16" s="444" customFormat="1" ht="15">
      <c r="P894" s="447"/>
    </row>
    <row r="895" spans="16:16" s="444" customFormat="1" ht="15">
      <c r="P895" s="447"/>
    </row>
    <row r="896" spans="16:16" s="444" customFormat="1" ht="15">
      <c r="P896" s="447"/>
    </row>
    <row r="897" spans="16:16" s="444" customFormat="1" ht="15">
      <c r="P897" s="447"/>
    </row>
    <row r="898" spans="16:16" s="444" customFormat="1" ht="15">
      <c r="P898" s="447"/>
    </row>
    <row r="899" spans="16:16" s="444" customFormat="1" ht="15">
      <c r="P899" s="447"/>
    </row>
    <row r="900" spans="16:16" s="444" customFormat="1" ht="15">
      <c r="P900" s="447"/>
    </row>
    <row r="901" spans="16:16" s="444" customFormat="1" ht="15">
      <c r="P901" s="447"/>
    </row>
    <row r="902" spans="16:16" s="444" customFormat="1" ht="15">
      <c r="P902" s="447"/>
    </row>
    <row r="903" spans="16:16" s="444" customFormat="1" ht="15">
      <c r="P903" s="447"/>
    </row>
    <row r="904" spans="16:16" s="444" customFormat="1" ht="15">
      <c r="P904" s="447"/>
    </row>
    <row r="905" spans="16:16" s="444" customFormat="1" ht="15">
      <c r="P905" s="447"/>
    </row>
    <row r="906" spans="16:16" s="444" customFormat="1" ht="15">
      <c r="P906" s="447"/>
    </row>
    <row r="907" spans="16:16" s="444" customFormat="1" ht="15">
      <c r="P907" s="447"/>
    </row>
    <row r="908" spans="16:16" s="444" customFormat="1" ht="15">
      <c r="P908" s="447"/>
    </row>
    <row r="909" spans="16:16" s="444" customFormat="1" ht="15">
      <c r="P909" s="447"/>
    </row>
    <row r="910" spans="16:16" s="444" customFormat="1" ht="15">
      <c r="P910" s="447"/>
    </row>
    <row r="911" spans="16:16" s="444" customFormat="1" ht="15">
      <c r="P911" s="447"/>
    </row>
    <row r="912" spans="16:16" s="444" customFormat="1" ht="15">
      <c r="P912" s="447"/>
    </row>
    <row r="913" spans="16:16" s="444" customFormat="1" ht="15">
      <c r="P913" s="447"/>
    </row>
    <row r="914" spans="16:16" s="444" customFormat="1" ht="15">
      <c r="P914" s="447"/>
    </row>
    <row r="915" spans="16:16" s="444" customFormat="1" ht="15">
      <c r="P915" s="447"/>
    </row>
    <row r="916" spans="16:16" s="444" customFormat="1" ht="15">
      <c r="P916" s="447"/>
    </row>
    <row r="917" spans="16:16" s="444" customFormat="1" ht="15">
      <c r="P917" s="447"/>
    </row>
    <row r="918" spans="16:16" s="444" customFormat="1" ht="15">
      <c r="P918" s="447"/>
    </row>
    <row r="919" spans="16:16" s="444" customFormat="1" ht="15">
      <c r="P919" s="447"/>
    </row>
    <row r="920" spans="16:16" s="444" customFormat="1" ht="15">
      <c r="P920" s="447"/>
    </row>
    <row r="921" spans="16:16" s="444" customFormat="1" ht="15">
      <c r="P921" s="447"/>
    </row>
    <row r="922" spans="16:16" s="444" customFormat="1" ht="15">
      <c r="P922" s="447"/>
    </row>
    <row r="923" spans="16:16" s="444" customFormat="1" ht="15">
      <c r="P923" s="447"/>
    </row>
    <row r="924" spans="16:16" s="444" customFormat="1" ht="15">
      <c r="P924" s="447"/>
    </row>
    <row r="925" spans="16:16" s="444" customFormat="1" ht="15">
      <c r="P925" s="447"/>
    </row>
    <row r="926" spans="16:16" s="444" customFormat="1" ht="15">
      <c r="P926" s="447"/>
    </row>
    <row r="927" spans="16:16" s="444" customFormat="1" ht="15">
      <c r="P927" s="447"/>
    </row>
    <row r="928" spans="16:16" s="444" customFormat="1" ht="15">
      <c r="P928" s="447"/>
    </row>
    <row r="929" spans="16:16" s="444" customFormat="1" ht="15">
      <c r="P929" s="447"/>
    </row>
    <row r="930" spans="16:16" s="444" customFormat="1" ht="15">
      <c r="P930" s="447"/>
    </row>
    <row r="931" spans="16:16" s="444" customFormat="1" ht="15">
      <c r="P931" s="447"/>
    </row>
    <row r="932" spans="16:16" s="444" customFormat="1" ht="15">
      <c r="P932" s="447"/>
    </row>
    <row r="933" spans="16:16" s="444" customFormat="1" ht="15">
      <c r="P933" s="447"/>
    </row>
    <row r="934" spans="16:16" s="444" customFormat="1" ht="15">
      <c r="P934" s="447"/>
    </row>
    <row r="935" spans="16:16" s="444" customFormat="1" ht="15">
      <c r="P935" s="447"/>
    </row>
    <row r="936" spans="16:16" s="444" customFormat="1" ht="15">
      <c r="P936" s="447"/>
    </row>
    <row r="937" spans="16:16" s="444" customFormat="1" ht="15">
      <c r="P937" s="447"/>
    </row>
    <row r="938" spans="16:16" s="444" customFormat="1" ht="15">
      <c r="P938" s="447"/>
    </row>
    <row r="939" spans="16:16" s="444" customFormat="1" ht="15">
      <c r="P939" s="447"/>
    </row>
    <row r="940" spans="16:16" s="444" customFormat="1" ht="15">
      <c r="P940" s="447"/>
    </row>
    <row r="941" spans="16:16" s="444" customFormat="1" ht="15">
      <c r="P941" s="447"/>
    </row>
    <row r="942" spans="16:16" s="444" customFormat="1" ht="15">
      <c r="P942" s="447"/>
    </row>
    <row r="943" spans="16:16" s="444" customFormat="1" ht="15">
      <c r="P943" s="447"/>
    </row>
    <row r="944" spans="16:16" s="444" customFormat="1" ht="15">
      <c r="P944" s="447"/>
    </row>
    <row r="945" spans="16:16" s="444" customFormat="1" ht="15">
      <c r="P945" s="447"/>
    </row>
    <row r="946" spans="16:16" s="444" customFormat="1" ht="15">
      <c r="P946" s="447"/>
    </row>
    <row r="947" spans="16:16" s="444" customFormat="1" ht="15">
      <c r="P947" s="447"/>
    </row>
    <row r="948" spans="16:16" s="444" customFormat="1" ht="15">
      <c r="P948" s="447"/>
    </row>
    <row r="949" spans="16:16" s="444" customFormat="1" ht="15">
      <c r="P949" s="447"/>
    </row>
    <row r="950" spans="16:16" s="444" customFormat="1" ht="15">
      <c r="P950" s="447"/>
    </row>
    <row r="951" spans="16:16" s="444" customFormat="1" ht="15">
      <c r="P951" s="447"/>
    </row>
    <row r="952" spans="16:16" s="444" customFormat="1" ht="15">
      <c r="P952" s="447"/>
    </row>
    <row r="953" spans="16:16" s="444" customFormat="1" ht="15">
      <c r="P953" s="447"/>
    </row>
    <row r="954" spans="16:16" s="444" customFormat="1" ht="15">
      <c r="P954" s="447"/>
    </row>
    <row r="955" spans="16:16" s="444" customFormat="1" ht="15">
      <c r="P955" s="447"/>
    </row>
    <row r="956" spans="16:16" s="444" customFormat="1" ht="15">
      <c r="P956" s="447"/>
    </row>
    <row r="957" spans="16:16" s="444" customFormat="1" ht="15">
      <c r="P957" s="447"/>
    </row>
    <row r="958" spans="16:16" s="444" customFormat="1" ht="15">
      <c r="P958" s="447"/>
    </row>
    <row r="959" spans="16:16" s="444" customFormat="1" ht="15">
      <c r="P959" s="447"/>
    </row>
    <row r="960" spans="16:16" s="444" customFormat="1" ht="15">
      <c r="P960" s="447"/>
    </row>
    <row r="961" spans="16:16" s="444" customFormat="1" ht="15">
      <c r="P961" s="447"/>
    </row>
    <row r="962" spans="16:16" s="444" customFormat="1" ht="15">
      <c r="P962" s="447"/>
    </row>
    <row r="963" spans="16:16" s="444" customFormat="1" ht="15">
      <c r="P963" s="447"/>
    </row>
    <row r="964" spans="16:16" s="444" customFormat="1" ht="15">
      <c r="P964" s="447"/>
    </row>
    <row r="965" spans="16:16" s="444" customFormat="1" ht="15">
      <c r="P965" s="447"/>
    </row>
    <row r="966" spans="16:16" s="444" customFormat="1" ht="15">
      <c r="P966" s="447"/>
    </row>
    <row r="967" spans="16:16" s="444" customFormat="1" ht="15">
      <c r="P967" s="447"/>
    </row>
    <row r="968" spans="16:16" s="444" customFormat="1" ht="15">
      <c r="P968" s="447"/>
    </row>
    <row r="969" spans="16:16" s="444" customFormat="1" ht="15">
      <c r="P969" s="447"/>
    </row>
    <row r="970" spans="16:16" s="444" customFormat="1" ht="15">
      <c r="P970" s="447"/>
    </row>
    <row r="971" spans="16:16" s="444" customFormat="1" ht="15">
      <c r="P971" s="447"/>
    </row>
    <row r="972" spans="16:16" s="444" customFormat="1" ht="15">
      <c r="P972" s="447"/>
    </row>
    <row r="973" spans="16:16" s="444" customFormat="1" ht="15">
      <c r="P973" s="447"/>
    </row>
    <row r="974" spans="16:16" s="444" customFormat="1" ht="15">
      <c r="P974" s="447"/>
    </row>
    <row r="975" spans="16:16" s="444" customFormat="1" ht="15">
      <c r="P975" s="447"/>
    </row>
    <row r="976" spans="16:16" s="444" customFormat="1" ht="15">
      <c r="P976" s="447"/>
    </row>
    <row r="977" spans="16:16" s="444" customFormat="1" ht="15">
      <c r="P977" s="447"/>
    </row>
    <row r="978" spans="16:16" s="444" customFormat="1" ht="15">
      <c r="P978" s="447"/>
    </row>
    <row r="979" spans="16:16" s="444" customFormat="1" ht="15">
      <c r="P979" s="447"/>
    </row>
    <row r="980" spans="16:16" s="444" customFormat="1" ht="15">
      <c r="P980" s="447"/>
    </row>
    <row r="981" spans="16:16" s="444" customFormat="1" ht="15">
      <c r="P981" s="447"/>
    </row>
    <row r="982" spans="16:16" s="444" customFormat="1" ht="15">
      <c r="P982" s="447"/>
    </row>
    <row r="983" spans="16:16" s="444" customFormat="1" ht="15">
      <c r="P983" s="447"/>
    </row>
    <row r="984" spans="16:16" s="444" customFormat="1" ht="15">
      <c r="P984" s="447"/>
    </row>
    <row r="985" spans="16:16" s="444" customFormat="1" ht="15">
      <c r="P985" s="447"/>
    </row>
    <row r="986" spans="16:16" s="444" customFormat="1" ht="15">
      <c r="P986" s="447"/>
    </row>
    <row r="987" spans="16:16" s="444" customFormat="1" ht="15">
      <c r="P987" s="447"/>
    </row>
    <row r="988" spans="16:16" s="444" customFormat="1" ht="15">
      <c r="P988" s="447"/>
    </row>
    <row r="989" spans="16:16" s="444" customFormat="1" ht="15">
      <c r="P989" s="447"/>
    </row>
    <row r="990" spans="16:16" s="444" customFormat="1" ht="15">
      <c r="P990" s="447"/>
    </row>
    <row r="991" spans="16:16" s="444" customFormat="1" ht="15">
      <c r="P991" s="447"/>
    </row>
    <row r="992" spans="16:16" s="444" customFormat="1" ht="15">
      <c r="P992" s="447"/>
    </row>
    <row r="993" spans="16:16" s="444" customFormat="1" ht="15">
      <c r="P993" s="447"/>
    </row>
    <row r="994" spans="16:16" s="444" customFormat="1" ht="15">
      <c r="P994" s="447"/>
    </row>
    <row r="995" spans="16:16" s="444" customFormat="1" ht="15">
      <c r="P995" s="447"/>
    </row>
    <row r="996" spans="16:16" s="444" customFormat="1" ht="15">
      <c r="P996" s="447"/>
    </row>
    <row r="997" spans="16:16" s="444" customFormat="1" ht="15">
      <c r="P997" s="447"/>
    </row>
    <row r="998" spans="16:16" s="444" customFormat="1" ht="15">
      <c r="P998" s="447"/>
    </row>
    <row r="999" spans="16:16" s="444" customFormat="1" ht="15">
      <c r="P999" s="447"/>
    </row>
    <row r="1000" spans="16:16" s="444" customFormat="1" ht="15">
      <c r="P1000" s="447"/>
    </row>
    <row r="1001" spans="16:16" s="444" customFormat="1" ht="15">
      <c r="P1001" s="447"/>
    </row>
    <row r="1002" spans="16:16" s="444" customFormat="1" ht="15">
      <c r="P1002" s="447"/>
    </row>
    <row r="1003" spans="16:16" s="444" customFormat="1" ht="15">
      <c r="P1003" s="447"/>
    </row>
    <row r="1004" spans="16:16" s="444" customFormat="1" ht="15">
      <c r="P1004" s="447"/>
    </row>
    <row r="1005" spans="16:16" s="444" customFormat="1" ht="15">
      <c r="P1005" s="447"/>
    </row>
    <row r="1006" spans="16:16" s="444" customFormat="1" ht="15">
      <c r="P1006" s="447"/>
    </row>
    <row r="1007" spans="16:16" s="444" customFormat="1" ht="15">
      <c r="P1007" s="447"/>
    </row>
    <row r="1008" spans="16:16" s="444" customFormat="1" ht="15">
      <c r="P1008" s="447"/>
    </row>
    <row r="1009" spans="16:16" s="444" customFormat="1" ht="15">
      <c r="P1009" s="447"/>
    </row>
    <row r="1010" spans="16:16" s="444" customFormat="1" ht="15">
      <c r="P1010" s="447"/>
    </row>
    <row r="1011" spans="16:16" s="444" customFormat="1" ht="15">
      <c r="P1011" s="447"/>
    </row>
    <row r="1012" spans="16:16" s="444" customFormat="1" ht="15">
      <c r="P1012" s="447"/>
    </row>
    <row r="1013" spans="16:16" s="444" customFormat="1" ht="15">
      <c r="P1013" s="447"/>
    </row>
    <row r="1014" spans="16:16" s="444" customFormat="1" ht="15">
      <c r="P1014" s="447"/>
    </row>
    <row r="1015" spans="16:16" s="444" customFormat="1" ht="15">
      <c r="P1015" s="447"/>
    </row>
    <row r="1016" spans="16:16" s="444" customFormat="1" ht="15">
      <c r="P1016" s="447"/>
    </row>
    <row r="1017" spans="16:16" s="444" customFormat="1" ht="15">
      <c r="P1017" s="447"/>
    </row>
    <row r="1018" spans="16:16" s="444" customFormat="1" ht="15">
      <c r="P1018" s="447"/>
    </row>
    <row r="1019" spans="16:16" s="444" customFormat="1" ht="15">
      <c r="P1019" s="447"/>
    </row>
    <row r="1020" spans="16:16" s="444" customFormat="1" ht="15">
      <c r="P1020" s="447"/>
    </row>
    <row r="1021" spans="16:16" s="444" customFormat="1" ht="15">
      <c r="P1021" s="447"/>
    </row>
    <row r="1022" spans="16:16" s="444" customFormat="1" ht="15">
      <c r="P1022" s="447"/>
    </row>
    <row r="1023" spans="16:16" s="444" customFormat="1" ht="15">
      <c r="P1023" s="447"/>
    </row>
    <row r="1024" spans="16:16" s="444" customFormat="1" ht="15">
      <c r="P1024" s="447"/>
    </row>
    <row r="1025" spans="16:16" s="444" customFormat="1" ht="15">
      <c r="P1025" s="447"/>
    </row>
    <row r="1026" spans="16:16" s="444" customFormat="1" ht="15">
      <c r="P1026" s="447"/>
    </row>
    <row r="1027" spans="16:16" s="444" customFormat="1" ht="15">
      <c r="P1027" s="447"/>
    </row>
    <row r="1028" spans="16:16" s="444" customFormat="1" ht="15">
      <c r="P1028" s="447"/>
    </row>
    <row r="1029" spans="16:16" s="444" customFormat="1" ht="15">
      <c r="P1029" s="447"/>
    </row>
    <row r="1030" spans="16:16" s="444" customFormat="1" ht="15">
      <c r="P1030" s="447"/>
    </row>
    <row r="1031" spans="16:16" s="444" customFormat="1" ht="15">
      <c r="P1031" s="447"/>
    </row>
    <row r="1032" spans="16:16" s="444" customFormat="1" ht="15">
      <c r="P1032" s="447"/>
    </row>
    <row r="1033" spans="16:16" s="444" customFormat="1" ht="15">
      <c r="P1033" s="447"/>
    </row>
    <row r="1034" spans="16:16" s="444" customFormat="1" ht="15">
      <c r="P1034" s="447"/>
    </row>
    <row r="1035" spans="16:16" s="444" customFormat="1" ht="15">
      <c r="P1035" s="447"/>
    </row>
    <row r="1036" spans="16:16" s="444" customFormat="1" ht="15">
      <c r="P1036" s="447"/>
    </row>
    <row r="1037" spans="16:16" s="444" customFormat="1" ht="15">
      <c r="P1037" s="447"/>
    </row>
    <row r="1038" spans="16:16" s="444" customFormat="1" ht="15">
      <c r="P1038" s="447"/>
    </row>
    <row r="1039" spans="16:16" s="444" customFormat="1" ht="15">
      <c r="P1039" s="447"/>
    </row>
    <row r="1040" spans="16:16" s="444" customFormat="1" ht="15">
      <c r="P1040" s="447"/>
    </row>
    <row r="1041" spans="16:16" s="444" customFormat="1" ht="15">
      <c r="P1041" s="447"/>
    </row>
    <row r="1042" spans="16:16" s="444" customFormat="1" ht="15">
      <c r="P1042" s="447"/>
    </row>
    <row r="1043" spans="16:16" s="444" customFormat="1" ht="15">
      <c r="P1043" s="447"/>
    </row>
    <row r="1044" spans="16:16" s="444" customFormat="1" ht="15">
      <c r="P1044" s="447"/>
    </row>
    <row r="1045" spans="16:16" s="444" customFormat="1" ht="15">
      <c r="P1045" s="447"/>
    </row>
    <row r="1046" spans="16:16" s="444" customFormat="1" ht="15">
      <c r="P1046" s="447"/>
    </row>
    <row r="1047" spans="16:16" s="444" customFormat="1" ht="15">
      <c r="P1047" s="447"/>
    </row>
    <row r="1048" spans="16:16" s="444" customFormat="1" ht="15">
      <c r="P1048" s="447"/>
    </row>
    <row r="1049" spans="16:16" s="444" customFormat="1" ht="15">
      <c r="P1049" s="447"/>
    </row>
    <row r="1050" spans="16:16" s="444" customFormat="1" ht="15">
      <c r="P1050" s="447"/>
    </row>
    <row r="1051" spans="16:16" s="444" customFormat="1" ht="15">
      <c r="P1051" s="447"/>
    </row>
    <row r="1052" spans="16:16" s="444" customFormat="1" ht="15">
      <c r="P1052" s="447"/>
    </row>
    <row r="1053" spans="16:16" s="444" customFormat="1" ht="15">
      <c r="P1053" s="447"/>
    </row>
    <row r="1054" spans="16:16" s="444" customFormat="1" ht="15">
      <c r="P1054" s="447"/>
    </row>
    <row r="1055" spans="16:16" s="444" customFormat="1" ht="15">
      <c r="P1055" s="447"/>
    </row>
    <row r="1056" spans="16:16" s="444" customFormat="1" ht="15">
      <c r="P1056" s="447"/>
    </row>
    <row r="1057" spans="16:16" s="444" customFormat="1" ht="15">
      <c r="P1057" s="447"/>
    </row>
    <row r="1058" spans="16:16" s="444" customFormat="1" ht="15">
      <c r="P1058" s="447"/>
    </row>
    <row r="1059" spans="16:16" s="444" customFormat="1" ht="15">
      <c r="P1059" s="447"/>
    </row>
    <row r="1060" spans="16:16" s="444" customFormat="1" ht="15">
      <c r="P1060" s="447"/>
    </row>
    <row r="1061" spans="16:16" s="444" customFormat="1" ht="15">
      <c r="P1061" s="447"/>
    </row>
    <row r="1062" spans="16:16" s="444" customFormat="1" ht="15">
      <c r="P1062" s="447"/>
    </row>
    <row r="1063" spans="16:16" s="444" customFormat="1" ht="15">
      <c r="P1063" s="447"/>
    </row>
    <row r="1064" spans="16:16" s="444" customFormat="1" ht="15">
      <c r="P1064" s="447"/>
    </row>
    <row r="1065" spans="16:16" s="444" customFormat="1" ht="15">
      <c r="P1065" s="447"/>
    </row>
    <row r="1066" spans="16:16" s="444" customFormat="1" ht="15">
      <c r="P1066" s="447"/>
    </row>
    <row r="1067" spans="16:16" s="444" customFormat="1" ht="15">
      <c r="P1067" s="447"/>
    </row>
    <row r="1068" spans="16:16" s="444" customFormat="1" ht="15">
      <c r="P1068" s="447"/>
    </row>
    <row r="1069" spans="16:16" s="444" customFormat="1" ht="15">
      <c r="P1069" s="447"/>
    </row>
    <row r="1070" spans="16:16" s="444" customFormat="1" ht="15">
      <c r="P1070" s="447"/>
    </row>
    <row r="1071" spans="16:16" s="444" customFormat="1" ht="15">
      <c r="P1071" s="447"/>
    </row>
    <row r="1072" spans="16:16" s="444" customFormat="1" ht="15">
      <c r="P1072" s="447"/>
    </row>
    <row r="1073" spans="16:16" s="444" customFormat="1" ht="15">
      <c r="P1073" s="447"/>
    </row>
    <row r="1074" spans="16:16" s="444" customFormat="1" ht="15">
      <c r="P1074" s="447"/>
    </row>
    <row r="1075" spans="16:16" s="444" customFormat="1" ht="15">
      <c r="P1075" s="447"/>
    </row>
    <row r="1076" spans="16:16" s="444" customFormat="1" ht="15">
      <c r="P1076" s="447"/>
    </row>
    <row r="1077" spans="16:16" s="444" customFormat="1" ht="15">
      <c r="P1077" s="447"/>
    </row>
    <row r="1078" spans="16:16" s="444" customFormat="1" ht="15">
      <c r="P1078" s="447"/>
    </row>
    <row r="1079" spans="16:16" s="444" customFormat="1" ht="15">
      <c r="P1079" s="447"/>
    </row>
    <row r="1080" spans="16:16" s="444" customFormat="1" ht="15">
      <c r="P1080" s="447"/>
    </row>
    <row r="1081" spans="16:16" s="444" customFormat="1" ht="15">
      <c r="P1081" s="447"/>
    </row>
    <row r="1082" spans="16:16" s="444" customFormat="1" ht="15">
      <c r="P1082" s="447"/>
    </row>
    <row r="1083" spans="16:16" s="444" customFormat="1" ht="15">
      <c r="P1083" s="447"/>
    </row>
    <row r="1084" spans="16:16" s="444" customFormat="1" ht="15">
      <c r="P1084" s="447"/>
    </row>
    <row r="1085" spans="16:16" s="444" customFormat="1" ht="15">
      <c r="P1085" s="447"/>
    </row>
    <row r="1086" spans="16:16" s="444" customFormat="1" ht="15">
      <c r="P1086" s="447"/>
    </row>
    <row r="1087" spans="16:16" s="444" customFormat="1" ht="15">
      <c r="P1087" s="447"/>
    </row>
    <row r="1088" spans="16:16" s="444" customFormat="1" ht="15">
      <c r="P1088" s="447"/>
    </row>
    <row r="1089" spans="16:16" s="444" customFormat="1" ht="15">
      <c r="P1089" s="447"/>
    </row>
    <row r="1090" spans="16:16" s="444" customFormat="1" ht="15">
      <c r="P1090" s="447"/>
    </row>
    <row r="1091" spans="16:16" s="444" customFormat="1" ht="15">
      <c r="P1091" s="447"/>
    </row>
    <row r="1092" spans="16:16" s="444" customFormat="1" ht="15">
      <c r="P1092" s="447"/>
    </row>
    <row r="1093" spans="16:16" s="444" customFormat="1" ht="15">
      <c r="P1093" s="447"/>
    </row>
    <row r="1094" spans="16:16" s="444" customFormat="1" ht="15">
      <c r="P1094" s="447"/>
    </row>
    <row r="1095" spans="16:16" s="444" customFormat="1" ht="15">
      <c r="P1095" s="447"/>
    </row>
    <row r="1096" spans="16:16" s="444" customFormat="1" ht="15">
      <c r="P1096" s="447"/>
    </row>
    <row r="1097" spans="16:16" s="444" customFormat="1" ht="15">
      <c r="P1097" s="447"/>
    </row>
    <row r="1098" spans="16:16" s="444" customFormat="1" ht="15">
      <c r="P1098" s="447"/>
    </row>
    <row r="1099" spans="16:16" s="444" customFormat="1" ht="15">
      <c r="P1099" s="447"/>
    </row>
    <row r="1100" spans="16:16" s="444" customFormat="1" ht="15">
      <c r="P1100" s="447"/>
    </row>
    <row r="1101" spans="16:16" s="444" customFormat="1" ht="15">
      <c r="P1101" s="447"/>
    </row>
    <row r="1102" spans="16:16" s="444" customFormat="1" ht="15">
      <c r="P1102" s="447"/>
    </row>
    <row r="1103" spans="16:16" s="444" customFormat="1" ht="15">
      <c r="P1103" s="447"/>
    </row>
    <row r="1104" spans="16:16" s="444" customFormat="1" ht="15">
      <c r="P1104" s="447"/>
    </row>
    <row r="1105" spans="16:16" s="444" customFormat="1" ht="15">
      <c r="P1105" s="447"/>
    </row>
    <row r="1106" spans="16:16" s="444" customFormat="1" ht="15">
      <c r="P1106" s="447"/>
    </row>
    <row r="1107" spans="16:16" s="444" customFormat="1" ht="15">
      <c r="P1107" s="447"/>
    </row>
    <row r="1108" spans="16:16" s="444" customFormat="1" ht="15">
      <c r="P1108" s="447"/>
    </row>
    <row r="1109" spans="16:16" s="444" customFormat="1" ht="15">
      <c r="P1109" s="447"/>
    </row>
    <row r="1110" spans="16:16" s="444" customFormat="1" ht="15">
      <c r="P1110" s="447"/>
    </row>
    <row r="1111" spans="16:16" s="444" customFormat="1" ht="15">
      <c r="P1111" s="447"/>
    </row>
    <row r="1112" spans="16:16" s="444" customFormat="1" ht="15">
      <c r="P1112" s="447"/>
    </row>
    <row r="1113" spans="16:16" s="444" customFormat="1" ht="15">
      <c r="P1113" s="447"/>
    </row>
    <row r="1114" spans="16:16" s="444" customFormat="1" ht="15">
      <c r="P1114" s="447"/>
    </row>
    <row r="1115" spans="16:16" s="444" customFormat="1" ht="15">
      <c r="P1115" s="447"/>
    </row>
    <row r="1116" spans="16:16" s="444" customFormat="1" ht="15">
      <c r="P1116" s="447"/>
    </row>
    <row r="1117" spans="16:16" s="444" customFormat="1" ht="15">
      <c r="P1117" s="447"/>
    </row>
    <row r="1118" spans="16:16" s="444" customFormat="1" ht="15">
      <c r="P1118" s="447"/>
    </row>
    <row r="1119" spans="16:16" s="444" customFormat="1" ht="15">
      <c r="P1119" s="447"/>
    </row>
    <row r="1120" spans="16:16" s="444" customFormat="1" ht="15">
      <c r="P1120" s="447"/>
    </row>
    <row r="1121" spans="16:16" s="444" customFormat="1" ht="15">
      <c r="P1121" s="447"/>
    </row>
    <row r="1122" spans="16:16" s="444" customFormat="1" ht="15">
      <c r="P1122" s="447"/>
    </row>
    <row r="1123" spans="16:16" s="444" customFormat="1" ht="15">
      <c r="P1123" s="447"/>
    </row>
    <row r="1124" spans="16:16" s="444" customFormat="1" ht="15">
      <c r="P1124" s="447"/>
    </row>
    <row r="1125" spans="16:16" s="444" customFormat="1" ht="15">
      <c r="P1125" s="447"/>
    </row>
    <row r="1126" spans="16:16" s="444" customFormat="1" ht="15">
      <c r="P1126" s="447"/>
    </row>
    <row r="1127" spans="16:16" s="444" customFormat="1" ht="15">
      <c r="P1127" s="447"/>
    </row>
    <row r="1128" spans="16:16" s="444" customFormat="1" ht="15">
      <c r="P1128" s="447"/>
    </row>
    <row r="1129" spans="16:16" s="444" customFormat="1" ht="15">
      <c r="P1129" s="447"/>
    </row>
    <row r="1130" spans="16:16" s="444" customFormat="1" ht="15">
      <c r="P1130" s="447"/>
    </row>
    <row r="1131" spans="16:16" s="444" customFormat="1" ht="15">
      <c r="P1131" s="447"/>
    </row>
    <row r="1132" spans="16:16" s="444" customFormat="1" ht="15">
      <c r="P1132" s="447"/>
    </row>
    <row r="1133" spans="16:16" s="444" customFormat="1" ht="15">
      <c r="P1133" s="447"/>
    </row>
    <row r="1134" spans="16:16" s="444" customFormat="1" ht="15">
      <c r="P1134" s="447"/>
    </row>
    <row r="1135" spans="16:16" s="444" customFormat="1" ht="15">
      <c r="P1135" s="447"/>
    </row>
    <row r="1136" spans="16:16" s="444" customFormat="1" ht="15">
      <c r="P1136" s="447"/>
    </row>
    <row r="1137" spans="16:16" s="444" customFormat="1" ht="15">
      <c r="P1137" s="447"/>
    </row>
    <row r="1138" spans="16:16" s="444" customFormat="1" ht="15">
      <c r="P1138" s="447"/>
    </row>
    <row r="1139" spans="16:16" s="444" customFormat="1" ht="15">
      <c r="P1139" s="447"/>
    </row>
    <row r="1140" spans="16:16" s="444" customFormat="1" ht="15">
      <c r="P1140" s="447"/>
    </row>
    <row r="1141" spans="16:16" s="444" customFormat="1" ht="15">
      <c r="P1141" s="447"/>
    </row>
    <row r="1142" spans="16:16" s="444" customFormat="1" ht="15">
      <c r="P1142" s="447"/>
    </row>
    <row r="1143" spans="16:16" s="444" customFormat="1" ht="15">
      <c r="P1143" s="447"/>
    </row>
    <row r="1144" spans="16:16" s="444" customFormat="1" ht="15">
      <c r="P1144" s="447"/>
    </row>
    <row r="1145" spans="16:16" s="444" customFormat="1" ht="15">
      <c r="P1145" s="447"/>
    </row>
    <row r="1146" spans="16:16" s="444" customFormat="1" ht="15">
      <c r="P1146" s="447"/>
    </row>
    <row r="1147" spans="16:16" s="444" customFormat="1" ht="15">
      <c r="P1147" s="447"/>
    </row>
    <row r="1148" spans="16:16" s="444" customFormat="1" ht="15">
      <c r="P1148" s="447"/>
    </row>
    <row r="1149" spans="16:16" s="444" customFormat="1" ht="15">
      <c r="P1149" s="447"/>
    </row>
    <row r="1150" spans="16:16" s="444" customFormat="1" ht="15">
      <c r="P1150" s="447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>
    <tabColor rgb="FF002060"/>
  </sheetPr>
  <dimension ref="A1:U1150"/>
  <sheetViews>
    <sheetView workbookViewId="0">
      <selection activeCell="L10" sqref="I4:L10"/>
    </sheetView>
  </sheetViews>
  <sheetFormatPr defaultRowHeight="12.75"/>
  <cols>
    <col min="1" max="4" width="9.140625" style="443"/>
    <col min="5" max="6" width="5.140625" style="458" customWidth="1"/>
    <col min="7" max="7" width="6" style="458" customWidth="1"/>
    <col min="8" max="14" width="5.140625" style="458" customWidth="1"/>
    <col min="15" max="15" width="9.140625" style="443"/>
    <col min="16" max="16" width="9.140625" style="444"/>
    <col min="17" max="20" width="9.140625" style="473"/>
    <col min="21" max="16384" width="9.140625" style="444"/>
  </cols>
  <sheetData>
    <row r="1" spans="1:21" s="443" customFormat="1" ht="25.5">
      <c r="A1" s="495" t="s">
        <v>518</v>
      </c>
      <c r="E1" s="458"/>
      <c r="F1" s="458"/>
      <c r="G1" s="458"/>
      <c r="H1" s="458"/>
      <c r="I1" s="458"/>
      <c r="J1" s="458"/>
      <c r="K1" s="458"/>
      <c r="L1" s="458"/>
      <c r="M1" s="458"/>
      <c r="N1" s="458"/>
      <c r="Q1" s="496" t="s">
        <v>82</v>
      </c>
      <c r="R1" s="496" t="s">
        <v>519</v>
      </c>
      <c r="S1" s="496" t="s">
        <v>520</v>
      </c>
      <c r="T1" s="496" t="s">
        <v>79</v>
      </c>
    </row>
    <row r="2" spans="1:21" ht="15">
      <c r="B2" s="445" t="s">
        <v>421</v>
      </c>
      <c r="C2" s="445"/>
      <c r="D2" s="445"/>
      <c r="F2" s="446" t="s">
        <v>422</v>
      </c>
      <c r="G2" s="446" t="s">
        <v>423</v>
      </c>
      <c r="P2" s="447"/>
      <c r="Q2" s="447" t="s">
        <v>456</v>
      </c>
      <c r="R2" s="447" t="s">
        <v>457</v>
      </c>
      <c r="S2" s="447" t="s">
        <v>425</v>
      </c>
      <c r="T2" s="447" t="s">
        <v>460</v>
      </c>
    </row>
    <row r="3" spans="1:21" ht="15">
      <c r="B3" s="443" t="s">
        <v>426</v>
      </c>
      <c r="C3" s="448">
        <v>86.666666666666671</v>
      </c>
      <c r="D3" s="449" t="s">
        <v>427</v>
      </c>
      <c r="F3" s="446">
        <f>MIN(XX_value)</f>
        <v>70</v>
      </c>
      <c r="G3" s="446">
        <f>MAX(XX_value)</f>
        <v>110</v>
      </c>
      <c r="P3" s="447"/>
      <c r="Q3" s="450">
        <v>70</v>
      </c>
      <c r="R3" s="450">
        <v>0</v>
      </c>
      <c r="S3" s="450">
        <v>0.2</v>
      </c>
      <c r="T3" s="443">
        <v>3.7</v>
      </c>
    </row>
    <row r="4" spans="1:21" ht="15">
      <c r="B4" s="443" t="s">
        <v>430</v>
      </c>
      <c r="C4" s="448">
        <v>217.26688621904472</v>
      </c>
      <c r="D4" s="449" t="s">
        <v>427</v>
      </c>
      <c r="F4" s="446">
        <f>MIN(YY_value)</f>
        <v>0</v>
      </c>
      <c r="G4" s="446">
        <f>MAX(YY_value)</f>
        <v>10000</v>
      </c>
      <c r="P4" s="447"/>
      <c r="Q4" s="450">
        <v>70</v>
      </c>
      <c r="R4" s="450">
        <v>0</v>
      </c>
      <c r="S4" s="450">
        <v>0.4</v>
      </c>
      <c r="T4" s="443">
        <v>8.5</v>
      </c>
      <c r="U4" s="497"/>
    </row>
    <row r="5" spans="1:21" ht="15">
      <c r="B5" s="443" t="s">
        <v>390</v>
      </c>
      <c r="C5" s="448">
        <v>0.5</v>
      </c>
      <c r="D5" s="449" t="s">
        <v>427</v>
      </c>
      <c r="F5" s="446">
        <f>MIN(ZZ_value)</f>
        <v>0.2</v>
      </c>
      <c r="G5" s="446">
        <f>MAX(ZZ_value)</f>
        <v>1</v>
      </c>
      <c r="P5" s="447"/>
      <c r="Q5" s="450">
        <v>70</v>
      </c>
      <c r="R5" s="450">
        <v>0</v>
      </c>
      <c r="S5" s="450">
        <v>0.6</v>
      </c>
      <c r="T5" s="443">
        <v>23.2</v>
      </c>
      <c r="U5" s="497"/>
    </row>
    <row r="6" spans="1:21" ht="15">
      <c r="G6" s="446"/>
      <c r="P6" s="447"/>
      <c r="Q6" s="450">
        <v>70</v>
      </c>
      <c r="R6" s="450">
        <v>0</v>
      </c>
      <c r="S6" s="450">
        <v>0.8</v>
      </c>
      <c r="T6" s="443">
        <v>28.2</v>
      </c>
      <c r="U6" s="497"/>
    </row>
    <row r="7" spans="1:21" ht="15">
      <c r="B7" s="445" t="s">
        <v>424</v>
      </c>
      <c r="C7" s="445"/>
      <c r="D7" s="445"/>
      <c r="I7" s="599"/>
      <c r="P7" s="447"/>
      <c r="Q7" s="450">
        <v>70</v>
      </c>
      <c r="R7" s="450">
        <v>0</v>
      </c>
      <c r="S7" s="450">
        <v>1</v>
      </c>
      <c r="T7" s="443">
        <v>41.6</v>
      </c>
      <c r="U7" s="497"/>
    </row>
    <row r="8" spans="1:21" ht="15">
      <c r="B8" s="443" t="s">
        <v>461</v>
      </c>
      <c r="C8" s="468">
        <f>SUMPRODUCT(D37:D44,D46:D53)</f>
        <v>20.875152530272285</v>
      </c>
      <c r="D8" s="449" t="s">
        <v>427</v>
      </c>
      <c r="I8" s="599"/>
      <c r="P8" s="447"/>
      <c r="Q8" s="450">
        <v>70</v>
      </c>
      <c r="R8" s="450">
        <v>100</v>
      </c>
      <c r="S8" s="450">
        <v>0.2</v>
      </c>
      <c r="T8" s="443">
        <v>3.7</v>
      </c>
      <c r="U8" s="497"/>
    </row>
    <row r="9" spans="1:21" ht="15">
      <c r="I9" s="599"/>
      <c r="P9" s="447"/>
      <c r="Q9" s="450">
        <v>70</v>
      </c>
      <c r="R9" s="450">
        <v>100</v>
      </c>
      <c r="S9" s="450">
        <v>0.4</v>
      </c>
      <c r="T9" s="443">
        <v>8.5</v>
      </c>
      <c r="U9" s="497"/>
    </row>
    <row r="10" spans="1:21" ht="15">
      <c r="B10" s="445" t="s">
        <v>431</v>
      </c>
      <c r="C10" s="445"/>
      <c r="D10" s="445"/>
      <c r="F10" s="446"/>
      <c r="P10" s="447"/>
      <c r="Q10" s="450">
        <v>70</v>
      </c>
      <c r="R10" s="450">
        <v>100</v>
      </c>
      <c r="S10" s="450">
        <v>0.6</v>
      </c>
      <c r="T10" s="443">
        <v>23.2</v>
      </c>
      <c r="U10" s="497"/>
    </row>
    <row r="11" spans="1:21" ht="15">
      <c r="B11" s="443" t="s">
        <v>433</v>
      </c>
      <c r="C11" s="450">
        <f>INDEX(XX_value,MATCH(XX,XX_value,1))</f>
        <v>80</v>
      </c>
      <c r="D11" s="449" t="s">
        <v>427</v>
      </c>
      <c r="F11" s="446"/>
      <c r="P11" s="447"/>
      <c r="Q11" s="450">
        <v>70</v>
      </c>
      <c r="R11" s="450">
        <v>100</v>
      </c>
      <c r="S11" s="450">
        <v>0.8</v>
      </c>
      <c r="T11" s="443">
        <v>28.2</v>
      </c>
      <c r="U11" s="497"/>
    </row>
    <row r="12" spans="1:21" ht="15">
      <c r="B12" s="443" t="s">
        <v>434</v>
      </c>
      <c r="C12" s="450">
        <f>INDEX(XX_value,MATCH(XX,XX_value,1)+1)</f>
        <v>90</v>
      </c>
      <c r="D12" s="449" t="s">
        <v>427</v>
      </c>
      <c r="F12" s="446"/>
      <c r="P12" s="447"/>
      <c r="Q12" s="450">
        <v>70</v>
      </c>
      <c r="R12" s="450">
        <v>100</v>
      </c>
      <c r="S12" s="450">
        <v>1</v>
      </c>
      <c r="T12" s="443">
        <v>41.6</v>
      </c>
      <c r="U12" s="497"/>
    </row>
    <row r="13" spans="1:21" ht="15">
      <c r="B13" s="443" t="s">
        <v>435</v>
      </c>
      <c r="C13" s="450">
        <f>INDEX(YY_value,MATCH(YY,YY_value,1))</f>
        <v>200</v>
      </c>
      <c r="D13" s="449" t="s">
        <v>427</v>
      </c>
      <c r="F13" s="446"/>
      <c r="P13" s="447"/>
      <c r="Q13" s="450">
        <v>70</v>
      </c>
      <c r="R13" s="450">
        <v>200</v>
      </c>
      <c r="S13" s="450">
        <v>0.2</v>
      </c>
      <c r="T13" s="443">
        <v>8.6999999999999993</v>
      </c>
      <c r="U13" s="497"/>
    </row>
    <row r="14" spans="1:21" ht="15">
      <c r="B14" s="443" t="s">
        <v>436</v>
      </c>
      <c r="C14" s="450">
        <f>INDEX(YY_value,MATCH(YY,YY_value,1)+1)</f>
        <v>400</v>
      </c>
      <c r="D14" s="449" t="s">
        <v>427</v>
      </c>
      <c r="F14" s="446"/>
      <c r="P14" s="447"/>
      <c r="Q14" s="450">
        <v>70</v>
      </c>
      <c r="R14" s="450">
        <v>200</v>
      </c>
      <c r="S14" s="450">
        <v>0.4</v>
      </c>
      <c r="T14" s="443">
        <v>16</v>
      </c>
      <c r="U14" s="497"/>
    </row>
    <row r="15" spans="1:21" ht="15">
      <c r="B15" s="443" t="s">
        <v>462</v>
      </c>
      <c r="C15" s="450">
        <f>INDEX(ZZ_value,MATCH(ZZ,ZZ_value,1))</f>
        <v>0.4</v>
      </c>
      <c r="D15" s="449" t="s">
        <v>427</v>
      </c>
      <c r="P15" s="447"/>
      <c r="Q15" s="450">
        <v>70</v>
      </c>
      <c r="R15" s="450">
        <v>200</v>
      </c>
      <c r="S15" s="450">
        <v>0.6</v>
      </c>
      <c r="T15" s="443">
        <v>28.2</v>
      </c>
      <c r="U15" s="497"/>
    </row>
    <row r="16" spans="1:21" ht="15">
      <c r="B16" s="443" t="s">
        <v>463</v>
      </c>
      <c r="C16" s="450">
        <f>INDEX(ZZ_value,MATCH(ZZ,ZZ_value,1)+1)</f>
        <v>0.6</v>
      </c>
      <c r="D16" s="449" t="s">
        <v>427</v>
      </c>
      <c r="F16" s="446" t="s">
        <v>432</v>
      </c>
      <c r="P16" s="447"/>
      <c r="Q16" s="450">
        <v>70</v>
      </c>
      <c r="R16" s="450">
        <v>200</v>
      </c>
      <c r="S16" s="450">
        <v>0.8</v>
      </c>
      <c r="T16" s="443">
        <v>33.6</v>
      </c>
      <c r="U16" s="497"/>
    </row>
    <row r="17" spans="2:21" s="444" customFormat="1" ht="15">
      <c r="B17" s="443" t="s">
        <v>464</v>
      </c>
      <c r="C17" s="469">
        <f t="shared" ref="C17" si="0">INDEX(TT_value,F17,0)</f>
        <v>16.7</v>
      </c>
      <c r="D17" s="449" t="s">
        <v>427</v>
      </c>
      <c r="E17" s="458"/>
      <c r="F17" s="446">
        <f t="array" ref="F17">MATCH(1,(XX_value=xx_1)*(YY_value=yy_1)*(ZZ_value=zz_1),0)</f>
        <v>69</v>
      </c>
      <c r="G17" s="458"/>
      <c r="H17" s="458"/>
      <c r="I17" s="458"/>
      <c r="J17" s="458"/>
      <c r="K17" s="458"/>
      <c r="L17" s="458"/>
      <c r="M17" s="458"/>
      <c r="N17" s="458"/>
      <c r="O17" s="443"/>
      <c r="P17" s="447"/>
      <c r="Q17" s="450">
        <v>70</v>
      </c>
      <c r="R17" s="450">
        <v>200</v>
      </c>
      <c r="S17" s="450">
        <v>1</v>
      </c>
      <c r="T17" s="443">
        <v>45.2</v>
      </c>
      <c r="U17" s="497"/>
    </row>
    <row r="18" spans="2:21" s="444" customFormat="1" ht="15">
      <c r="B18" s="443" t="s">
        <v>465</v>
      </c>
      <c r="C18" s="469">
        <f t="shared" ref="C18" si="1">INDEX(TT_value,F18,0)</f>
        <v>17.5</v>
      </c>
      <c r="D18" s="449" t="s">
        <v>427</v>
      </c>
      <c r="E18" s="458"/>
      <c r="F18" s="446">
        <f t="array" ref="F18">MATCH(1,(XX_value=xx_2)*(YY_value=yy_1)*(ZZ_value=zz_1),0)</f>
        <v>124</v>
      </c>
      <c r="G18" s="458"/>
      <c r="H18" s="458"/>
      <c r="I18" s="458"/>
      <c r="J18" s="458"/>
      <c r="K18" s="458"/>
      <c r="L18" s="458"/>
      <c r="M18" s="458"/>
      <c r="N18" s="458"/>
      <c r="O18" s="443"/>
      <c r="P18" s="447"/>
      <c r="Q18" s="450">
        <v>70</v>
      </c>
      <c r="R18" s="450">
        <v>400</v>
      </c>
      <c r="S18" s="450">
        <v>0.2</v>
      </c>
      <c r="T18" s="443">
        <v>7.5</v>
      </c>
      <c r="U18" s="497"/>
    </row>
    <row r="19" spans="2:21" s="444" customFormat="1" ht="15">
      <c r="B19" s="443" t="s">
        <v>466</v>
      </c>
      <c r="C19" s="469">
        <f t="shared" ref="C19" si="2">INDEX(TT_value,F19,0)</f>
        <v>11.6</v>
      </c>
      <c r="D19" s="449" t="s">
        <v>427</v>
      </c>
      <c r="E19" s="458"/>
      <c r="F19" s="446">
        <f t="array" ref="F19">MATCH(1,(XX_value=xx_1)*(YY_value=yy_2)*(ZZ_value=zz_1),0)</f>
        <v>74</v>
      </c>
      <c r="G19" s="458"/>
      <c r="H19" s="458"/>
      <c r="I19" s="458"/>
      <c r="J19" s="458"/>
      <c r="K19" s="458"/>
      <c r="L19" s="458"/>
      <c r="M19" s="458"/>
      <c r="N19" s="458"/>
      <c r="O19" s="443"/>
      <c r="P19" s="447"/>
      <c r="Q19" s="450">
        <v>70</v>
      </c>
      <c r="R19" s="450">
        <v>400</v>
      </c>
      <c r="S19" s="450">
        <v>0.4</v>
      </c>
      <c r="T19" s="443">
        <v>11.4</v>
      </c>
      <c r="U19" s="497"/>
    </row>
    <row r="20" spans="2:21" s="444" customFormat="1" ht="15">
      <c r="B20" s="443" t="s">
        <v>467</v>
      </c>
      <c r="C20" s="469">
        <f t="shared" ref="C20" si="3">INDEX(TT_value,F20,0)</f>
        <v>11.8</v>
      </c>
      <c r="D20" s="449" t="s">
        <v>427</v>
      </c>
      <c r="E20" s="458"/>
      <c r="F20" s="446">
        <f t="array" ref="F20">MATCH(1,(XX_value=xx_2)*(YY_value=yy_2)*(ZZ_value=zz_1),0)</f>
        <v>129</v>
      </c>
      <c r="G20" s="458"/>
      <c r="H20" s="458"/>
      <c r="I20" s="458"/>
      <c r="J20" s="458"/>
      <c r="K20" s="458"/>
      <c r="L20" s="458"/>
      <c r="M20" s="458"/>
      <c r="N20" s="458"/>
      <c r="O20" s="443"/>
      <c r="P20" s="447"/>
      <c r="Q20" s="450">
        <v>70</v>
      </c>
      <c r="R20" s="450">
        <v>400</v>
      </c>
      <c r="S20" s="450">
        <v>0.6</v>
      </c>
      <c r="T20" s="443">
        <v>16.899999999999999</v>
      </c>
      <c r="U20" s="497"/>
    </row>
    <row r="21" spans="2:21" s="444" customFormat="1" ht="15">
      <c r="B21" s="443" t="s">
        <v>468</v>
      </c>
      <c r="C21" s="469">
        <f t="shared" ref="C21" si="4">INDEX(TT_value,F21,0)</f>
        <v>26.8</v>
      </c>
      <c r="D21" s="449" t="s">
        <v>427</v>
      </c>
      <c r="E21" s="458"/>
      <c r="F21" s="446">
        <f t="array" ref="F21">MATCH(1,(XX_value=xx_1)*(YY_value=yy_1)*(ZZ_value=zz_2),0)</f>
        <v>70</v>
      </c>
      <c r="G21" s="458"/>
      <c r="H21" s="458"/>
      <c r="I21" s="458"/>
      <c r="J21" s="458"/>
      <c r="K21" s="458"/>
      <c r="L21" s="458"/>
      <c r="M21" s="458"/>
      <c r="N21" s="458"/>
      <c r="O21" s="443"/>
      <c r="P21" s="447"/>
      <c r="Q21" s="450">
        <v>70</v>
      </c>
      <c r="R21" s="450">
        <v>400</v>
      </c>
      <c r="S21" s="450">
        <v>0.8</v>
      </c>
      <c r="T21" s="443">
        <v>20.7</v>
      </c>
      <c r="U21" s="497"/>
    </row>
    <row r="22" spans="2:21" s="444" customFormat="1" ht="15">
      <c r="B22" s="443" t="s">
        <v>469</v>
      </c>
      <c r="C22" s="469">
        <f t="shared" ref="C22" si="5">INDEX(TT_value,F22,0)</f>
        <v>25.4</v>
      </c>
      <c r="D22" s="449" t="s">
        <v>427</v>
      </c>
      <c r="E22" s="458"/>
      <c r="F22" s="446">
        <f t="array" ref="F22">MATCH(1,(XX_value=xx_2)*(YY_value=yy_1)*(ZZ_value=zz_2),0)</f>
        <v>125</v>
      </c>
      <c r="G22" s="458"/>
      <c r="H22" s="458"/>
      <c r="I22" s="458"/>
      <c r="J22" s="458"/>
      <c r="K22" s="458"/>
      <c r="L22" s="458"/>
      <c r="M22" s="458"/>
      <c r="N22" s="458"/>
      <c r="O22" s="443"/>
      <c r="P22" s="447"/>
      <c r="Q22" s="450">
        <v>70</v>
      </c>
      <c r="R22" s="450">
        <v>400</v>
      </c>
      <c r="S22" s="450">
        <v>1</v>
      </c>
      <c r="T22" s="443">
        <v>26.4</v>
      </c>
      <c r="U22" s="497"/>
    </row>
    <row r="23" spans="2:21" s="444" customFormat="1" ht="15">
      <c r="B23" s="443" t="s">
        <v>470</v>
      </c>
      <c r="C23" s="469">
        <f t="shared" ref="C23" si="6">INDEX(TT_value,F23,0)</f>
        <v>16.2</v>
      </c>
      <c r="D23" s="449" t="s">
        <v>427</v>
      </c>
      <c r="E23" s="458"/>
      <c r="F23" s="446">
        <f t="array" ref="F23">MATCH(1,(XX_value=xx_1)*(YY_value=yy_2)*(ZZ_value=zz_2),0)</f>
        <v>75</v>
      </c>
      <c r="G23" s="458"/>
      <c r="H23" s="458"/>
      <c r="I23" s="458"/>
      <c r="J23" s="458"/>
      <c r="K23" s="458"/>
      <c r="L23" s="458"/>
      <c r="M23" s="458"/>
      <c r="N23" s="458"/>
      <c r="O23" s="443"/>
      <c r="P23" s="447"/>
      <c r="Q23" s="450">
        <v>70</v>
      </c>
      <c r="R23" s="450">
        <v>600</v>
      </c>
      <c r="S23" s="450">
        <v>0.2</v>
      </c>
      <c r="T23" s="443">
        <v>4.5</v>
      </c>
      <c r="U23" s="497"/>
    </row>
    <row r="24" spans="2:21" s="444" customFormat="1" ht="15">
      <c r="B24" s="443" t="s">
        <v>471</v>
      </c>
      <c r="C24" s="469">
        <f t="shared" ref="C24" si="7">INDEX(TT_value,F24,0)</f>
        <v>15.5</v>
      </c>
      <c r="D24" s="449" t="s">
        <v>427</v>
      </c>
      <c r="E24" s="458"/>
      <c r="F24" s="446">
        <f t="array" ref="F24">MATCH(1,(XX_value=xx_2)*(YY_value=yy_2)*(ZZ_value=zz_2),0)</f>
        <v>130</v>
      </c>
      <c r="G24" s="458"/>
      <c r="H24" s="458"/>
      <c r="I24" s="458"/>
      <c r="J24" s="458"/>
      <c r="K24" s="458"/>
      <c r="L24" s="458"/>
      <c r="M24" s="458"/>
      <c r="N24" s="458"/>
      <c r="O24" s="443"/>
      <c r="P24" s="447"/>
      <c r="Q24" s="450">
        <v>70</v>
      </c>
      <c r="R24" s="450">
        <v>600</v>
      </c>
      <c r="S24" s="450">
        <v>0.4</v>
      </c>
      <c r="T24" s="443">
        <v>6.9</v>
      </c>
      <c r="U24" s="497"/>
    </row>
    <row r="25" spans="2:21" s="444" customFormat="1" ht="15">
      <c r="B25" s="443"/>
      <c r="C25" s="443"/>
      <c r="D25" s="449"/>
      <c r="E25" s="458"/>
      <c r="F25" s="458"/>
      <c r="G25" s="458"/>
      <c r="H25" s="458"/>
      <c r="I25" s="458"/>
      <c r="J25" s="458"/>
      <c r="K25" s="458"/>
      <c r="L25" s="458"/>
      <c r="M25" s="458"/>
      <c r="N25" s="458"/>
      <c r="O25" s="443"/>
      <c r="P25" s="447"/>
      <c r="Q25" s="450">
        <v>70</v>
      </c>
      <c r="R25" s="450">
        <v>600</v>
      </c>
      <c r="S25" s="450">
        <v>0.6</v>
      </c>
      <c r="T25" s="443">
        <v>10.8</v>
      </c>
      <c r="U25" s="497"/>
    </row>
    <row r="26" spans="2:21" s="444" customFormat="1" ht="15">
      <c r="B26" s="445" t="s">
        <v>441</v>
      </c>
      <c r="C26" s="445"/>
      <c r="D26" s="445"/>
      <c r="E26" s="445"/>
      <c r="F26" s="445"/>
      <c r="G26" s="445"/>
      <c r="H26" s="445"/>
      <c r="I26" s="445"/>
      <c r="J26" s="445"/>
      <c r="K26" s="445"/>
      <c r="L26" s="445"/>
      <c r="M26" s="445"/>
      <c r="N26" s="445"/>
      <c r="O26" s="443"/>
      <c r="P26" s="447"/>
      <c r="Q26" s="450">
        <v>70</v>
      </c>
      <c r="R26" s="450">
        <v>600</v>
      </c>
      <c r="S26" s="450">
        <v>0.8</v>
      </c>
      <c r="T26" s="443">
        <v>13.4</v>
      </c>
      <c r="U26" s="497"/>
    </row>
    <row r="27" spans="2:21" s="444" customFormat="1" ht="15">
      <c r="B27" s="443"/>
      <c r="C27" s="443"/>
      <c r="D27" s="443"/>
      <c r="E27" s="458"/>
      <c r="F27" s="458"/>
      <c r="G27" s="458"/>
      <c r="H27" s="458"/>
      <c r="I27" s="458"/>
      <c r="J27" s="458"/>
      <c r="K27" s="458"/>
      <c r="L27" s="458"/>
      <c r="M27" s="458"/>
      <c r="N27" s="458"/>
      <c r="O27" s="443"/>
      <c r="P27" s="447"/>
      <c r="Q27" s="450">
        <v>70</v>
      </c>
      <c r="R27" s="450">
        <v>600</v>
      </c>
      <c r="S27" s="450">
        <v>1</v>
      </c>
      <c r="T27" s="443">
        <v>17.600000000000001</v>
      </c>
      <c r="U27" s="497"/>
    </row>
    <row r="28" spans="2:21" s="444" customFormat="1" ht="15">
      <c r="B28" s="453" t="s">
        <v>442</v>
      </c>
      <c r="C28" s="443"/>
      <c r="D28" s="443"/>
      <c r="E28" s="453">
        <v>1</v>
      </c>
      <c r="F28" s="458">
        <f>xx_1</f>
        <v>80</v>
      </c>
      <c r="G28" s="458">
        <f>yy_1</f>
        <v>200</v>
      </c>
      <c r="H28" s="458">
        <f>zz_1</f>
        <v>0.4</v>
      </c>
      <c r="I28" s="458">
        <f>F28*G28</f>
        <v>16000</v>
      </c>
      <c r="J28" s="458">
        <f>F28*H28</f>
        <v>32</v>
      </c>
      <c r="K28" s="458">
        <f>G28*H28</f>
        <v>80</v>
      </c>
      <c r="L28" s="470">
        <f>F28*G28*H28</f>
        <v>6400</v>
      </c>
      <c r="M28" s="471" t="s">
        <v>443</v>
      </c>
      <c r="N28" s="472">
        <f t="shared" ref="N28" si="8">f_111</f>
        <v>16.7</v>
      </c>
      <c r="O28" s="443"/>
      <c r="P28" s="447"/>
      <c r="Q28" s="450">
        <v>70</v>
      </c>
      <c r="R28" s="450">
        <v>800</v>
      </c>
      <c r="S28" s="450">
        <v>0.2</v>
      </c>
      <c r="T28" s="443">
        <v>2.2999999999999998</v>
      </c>
      <c r="U28" s="497"/>
    </row>
    <row r="29" spans="2:21" s="444" customFormat="1" ht="15">
      <c r="B29" s="453" t="s">
        <v>444</v>
      </c>
      <c r="C29" s="443"/>
      <c r="D29" s="443"/>
      <c r="E29" s="453">
        <v>1</v>
      </c>
      <c r="F29" s="458">
        <f>xx_2</f>
        <v>90</v>
      </c>
      <c r="G29" s="458">
        <f>yy_1</f>
        <v>200</v>
      </c>
      <c r="H29" s="458">
        <f>zz_1</f>
        <v>0.4</v>
      </c>
      <c r="I29" s="458">
        <f t="shared" ref="I29:I35" si="9">F29*G29</f>
        <v>18000</v>
      </c>
      <c r="J29" s="458">
        <f t="shared" ref="J29:J35" si="10">F29*H29</f>
        <v>36</v>
      </c>
      <c r="K29" s="458">
        <f t="shared" ref="K29:K35" si="11">G29*H29</f>
        <v>80</v>
      </c>
      <c r="L29" s="470">
        <f t="shared" ref="L29:L35" si="12">F29*G29*H29</f>
        <v>7200</v>
      </c>
      <c r="M29" s="458"/>
      <c r="N29" s="472">
        <f>f_211</f>
        <v>17.5</v>
      </c>
      <c r="O29" s="443"/>
      <c r="P29" s="447"/>
      <c r="Q29" s="450">
        <v>70</v>
      </c>
      <c r="R29" s="450">
        <v>800</v>
      </c>
      <c r="S29" s="450">
        <v>0.4</v>
      </c>
      <c r="T29" s="443">
        <v>4.0999999999999996</v>
      </c>
      <c r="U29" s="497"/>
    </row>
    <row r="30" spans="2:21" s="444" customFormat="1" ht="15">
      <c r="B30" s="453" t="s">
        <v>445</v>
      </c>
      <c r="C30" s="443"/>
      <c r="D30" s="443"/>
      <c r="E30" s="453">
        <v>1</v>
      </c>
      <c r="F30" s="458">
        <f>xx_1</f>
        <v>80</v>
      </c>
      <c r="G30" s="458">
        <f>yy_2</f>
        <v>400</v>
      </c>
      <c r="H30" s="458">
        <f>zz_1</f>
        <v>0.4</v>
      </c>
      <c r="I30" s="458">
        <f t="shared" si="9"/>
        <v>32000</v>
      </c>
      <c r="J30" s="458">
        <f t="shared" si="10"/>
        <v>32</v>
      </c>
      <c r="K30" s="458">
        <f t="shared" si="11"/>
        <v>160</v>
      </c>
      <c r="L30" s="470">
        <f t="shared" si="12"/>
        <v>12800</v>
      </c>
      <c r="M30" s="458"/>
      <c r="N30" s="472">
        <f>f_121</f>
        <v>11.6</v>
      </c>
      <c r="O30" s="443"/>
      <c r="P30" s="447"/>
      <c r="Q30" s="450">
        <v>70</v>
      </c>
      <c r="R30" s="450">
        <v>800</v>
      </c>
      <c r="S30" s="450">
        <v>0.6</v>
      </c>
      <c r="T30" s="443">
        <v>6.5</v>
      </c>
      <c r="U30" s="497"/>
    </row>
    <row r="31" spans="2:21" s="444" customFormat="1" ht="15">
      <c r="B31" s="453" t="s">
        <v>448</v>
      </c>
      <c r="C31" s="443" t="s">
        <v>446</v>
      </c>
      <c r="D31" s="443"/>
      <c r="E31" s="453">
        <v>1</v>
      </c>
      <c r="F31" s="458">
        <f>xx_2</f>
        <v>90</v>
      </c>
      <c r="G31" s="458">
        <f>yy_2</f>
        <v>400</v>
      </c>
      <c r="H31" s="458">
        <f>zz_1</f>
        <v>0.4</v>
      </c>
      <c r="I31" s="458">
        <f t="shared" si="9"/>
        <v>36000</v>
      </c>
      <c r="J31" s="458">
        <f t="shared" si="10"/>
        <v>36</v>
      </c>
      <c r="K31" s="458">
        <f t="shared" si="11"/>
        <v>160</v>
      </c>
      <c r="L31" s="470">
        <f t="shared" si="12"/>
        <v>14400</v>
      </c>
      <c r="M31" s="458" t="s">
        <v>447</v>
      </c>
      <c r="N31" s="472">
        <f>f_221</f>
        <v>11.8</v>
      </c>
      <c r="O31" s="443"/>
      <c r="P31" s="447"/>
      <c r="Q31" s="450">
        <v>70</v>
      </c>
      <c r="R31" s="450">
        <v>800</v>
      </c>
      <c r="S31" s="450">
        <v>0.8</v>
      </c>
      <c r="T31" s="443">
        <v>8.1999999999999993</v>
      </c>
      <c r="U31" s="497"/>
    </row>
    <row r="32" spans="2:21" s="444" customFormat="1" ht="15">
      <c r="B32" s="453" t="s">
        <v>472</v>
      </c>
      <c r="C32" s="443"/>
      <c r="D32" s="443"/>
      <c r="E32" s="453">
        <v>1</v>
      </c>
      <c r="F32" s="458">
        <f>xx_1</f>
        <v>80</v>
      </c>
      <c r="G32" s="458">
        <f>yy_1</f>
        <v>200</v>
      </c>
      <c r="H32" s="458">
        <f>zz_2</f>
        <v>0.6</v>
      </c>
      <c r="I32" s="458">
        <f t="shared" si="9"/>
        <v>16000</v>
      </c>
      <c r="J32" s="458">
        <f t="shared" si="10"/>
        <v>48</v>
      </c>
      <c r="K32" s="458">
        <f t="shared" si="11"/>
        <v>120</v>
      </c>
      <c r="L32" s="470">
        <f t="shared" si="12"/>
        <v>9600</v>
      </c>
      <c r="M32" s="458"/>
      <c r="N32" s="472">
        <f>f_112</f>
        <v>26.8</v>
      </c>
      <c r="O32" s="443"/>
      <c r="P32" s="447"/>
      <c r="Q32" s="450">
        <v>70</v>
      </c>
      <c r="R32" s="450">
        <v>800</v>
      </c>
      <c r="S32" s="450">
        <v>1</v>
      </c>
      <c r="T32" s="443">
        <v>11</v>
      </c>
      <c r="U32" s="497"/>
    </row>
    <row r="33" spans="2:21" s="444" customFormat="1" ht="15">
      <c r="B33" s="453" t="s">
        <v>473</v>
      </c>
      <c r="C33" s="443"/>
      <c r="D33" s="443"/>
      <c r="E33" s="453">
        <v>1</v>
      </c>
      <c r="F33" s="458">
        <f>xx_2</f>
        <v>90</v>
      </c>
      <c r="G33" s="458">
        <f>yy_1</f>
        <v>200</v>
      </c>
      <c r="H33" s="458">
        <f>zz_2</f>
        <v>0.6</v>
      </c>
      <c r="I33" s="458">
        <f t="shared" si="9"/>
        <v>18000</v>
      </c>
      <c r="J33" s="458">
        <f t="shared" si="10"/>
        <v>54</v>
      </c>
      <c r="K33" s="458">
        <f t="shared" si="11"/>
        <v>120</v>
      </c>
      <c r="L33" s="470">
        <f t="shared" si="12"/>
        <v>10800</v>
      </c>
      <c r="M33" s="458"/>
      <c r="N33" s="472">
        <f>f_212</f>
        <v>25.4</v>
      </c>
      <c r="O33" s="443"/>
      <c r="P33" s="447"/>
      <c r="Q33" s="450">
        <v>70</v>
      </c>
      <c r="R33" s="450">
        <v>1000</v>
      </c>
      <c r="S33" s="450">
        <v>0.2</v>
      </c>
      <c r="T33" s="443">
        <v>1.2</v>
      </c>
      <c r="U33" s="497"/>
    </row>
    <row r="34" spans="2:21" s="444" customFormat="1" ht="15">
      <c r="B34" s="453" t="s">
        <v>474</v>
      </c>
      <c r="C34" s="443"/>
      <c r="D34" s="443"/>
      <c r="E34" s="453">
        <v>1</v>
      </c>
      <c r="F34" s="458">
        <f>xx_1</f>
        <v>80</v>
      </c>
      <c r="G34" s="458">
        <f>yy_2</f>
        <v>400</v>
      </c>
      <c r="H34" s="458">
        <f>zz_2</f>
        <v>0.6</v>
      </c>
      <c r="I34" s="458">
        <f t="shared" si="9"/>
        <v>32000</v>
      </c>
      <c r="J34" s="458">
        <f t="shared" si="10"/>
        <v>48</v>
      </c>
      <c r="K34" s="458">
        <f t="shared" si="11"/>
        <v>240</v>
      </c>
      <c r="L34" s="470">
        <f t="shared" si="12"/>
        <v>19200</v>
      </c>
      <c r="M34" s="458"/>
      <c r="N34" s="472">
        <f>f_122</f>
        <v>16.2</v>
      </c>
      <c r="O34" s="443"/>
      <c r="P34" s="447"/>
      <c r="Q34" s="450">
        <v>70</v>
      </c>
      <c r="R34" s="450">
        <v>1000</v>
      </c>
      <c r="S34" s="450">
        <v>0.4</v>
      </c>
      <c r="T34" s="443">
        <v>2.5</v>
      </c>
      <c r="U34" s="497"/>
    </row>
    <row r="35" spans="2:21" s="444" customFormat="1" ht="15">
      <c r="B35" s="453" t="s">
        <v>475</v>
      </c>
      <c r="C35" s="443"/>
      <c r="D35" s="443"/>
      <c r="E35" s="453">
        <v>1</v>
      </c>
      <c r="F35" s="458">
        <f>xx_2</f>
        <v>90</v>
      </c>
      <c r="G35" s="458">
        <f>yy_2</f>
        <v>400</v>
      </c>
      <c r="H35" s="458">
        <f>zz_2</f>
        <v>0.6</v>
      </c>
      <c r="I35" s="458">
        <f t="shared" si="9"/>
        <v>36000</v>
      </c>
      <c r="J35" s="458">
        <f t="shared" si="10"/>
        <v>54</v>
      </c>
      <c r="K35" s="458">
        <f t="shared" si="11"/>
        <v>240</v>
      </c>
      <c r="L35" s="470">
        <f t="shared" si="12"/>
        <v>21600</v>
      </c>
      <c r="M35" s="458"/>
      <c r="N35" s="472">
        <f>f_222</f>
        <v>15.5</v>
      </c>
      <c r="O35" s="443"/>
      <c r="P35" s="447"/>
      <c r="Q35" s="450">
        <v>70</v>
      </c>
      <c r="R35" s="450">
        <v>1000</v>
      </c>
      <c r="S35" s="450">
        <v>0.6</v>
      </c>
      <c r="T35" s="443">
        <v>3.8</v>
      </c>
      <c r="U35" s="497"/>
    </row>
    <row r="36" spans="2:21" s="444" customFormat="1" ht="15">
      <c r="B36" s="443"/>
      <c r="C36" s="443"/>
      <c r="D36" s="443"/>
      <c r="E36" s="458"/>
      <c r="F36" s="458"/>
      <c r="G36" s="458"/>
      <c r="H36" s="458"/>
      <c r="I36" s="458"/>
      <c r="J36" s="458"/>
      <c r="K36" s="458"/>
      <c r="L36" s="458"/>
      <c r="M36" s="458"/>
      <c r="N36" s="458"/>
      <c r="O36" s="443"/>
      <c r="P36" s="447"/>
      <c r="Q36" s="450">
        <v>70</v>
      </c>
      <c r="R36" s="450">
        <v>1000</v>
      </c>
      <c r="S36" s="450">
        <v>0.8</v>
      </c>
      <c r="T36" s="443">
        <v>4.9000000000000004</v>
      </c>
      <c r="U36" s="497"/>
    </row>
    <row r="37" spans="2:21" s="444" customFormat="1" ht="15">
      <c r="B37" s="453" t="s">
        <v>442</v>
      </c>
      <c r="C37" s="443"/>
      <c r="D37" s="453">
        <f t="array" ref="D37:D44">MMULT(MINVERSE(E28:L35),N28:N35)</f>
        <v>-76.60000000000008</v>
      </c>
      <c r="E37" s="458"/>
      <c r="F37" s="458"/>
      <c r="G37" s="458"/>
      <c r="H37" s="458"/>
      <c r="I37" s="458"/>
      <c r="J37" s="458"/>
      <c r="K37" s="458"/>
      <c r="L37" s="458"/>
      <c r="M37" s="458"/>
      <c r="N37" s="458"/>
      <c r="O37" s="443"/>
      <c r="P37" s="447"/>
      <c r="Q37" s="450">
        <v>70</v>
      </c>
      <c r="R37" s="450">
        <v>1000</v>
      </c>
      <c r="S37" s="450">
        <v>1</v>
      </c>
      <c r="T37" s="443">
        <v>6.4</v>
      </c>
      <c r="U37" s="497"/>
    </row>
    <row r="38" spans="2:21" s="444" customFormat="1" ht="15">
      <c r="B38" s="453" t="s">
        <v>444</v>
      </c>
      <c r="C38" s="443"/>
      <c r="D38" s="453">
        <v>0.8400000000000003</v>
      </c>
      <c r="E38" s="458"/>
      <c r="F38" s="458"/>
      <c r="G38" s="458"/>
      <c r="H38" s="458"/>
      <c r="I38" s="458"/>
      <c r="J38" s="458"/>
      <c r="K38" s="458"/>
      <c r="L38" s="458"/>
      <c r="M38" s="458"/>
      <c r="N38" s="458"/>
      <c r="O38" s="443"/>
      <c r="P38" s="447"/>
      <c r="Q38" s="450">
        <v>70</v>
      </c>
      <c r="R38" s="450">
        <v>1200</v>
      </c>
      <c r="S38" s="450">
        <v>0.2</v>
      </c>
      <c r="T38" s="443">
        <v>0.8</v>
      </c>
      <c r="U38" s="497"/>
    </row>
    <row r="39" spans="2:21" s="444" customFormat="1" ht="15">
      <c r="B39" s="453" t="s">
        <v>445</v>
      </c>
      <c r="C39" s="443"/>
      <c r="D39" s="453">
        <v>0.15749999999999975</v>
      </c>
      <c r="E39" s="458"/>
      <c r="F39" s="458"/>
      <c r="G39" s="458"/>
      <c r="H39" s="458"/>
      <c r="I39" s="458"/>
      <c r="J39" s="458"/>
      <c r="K39" s="458"/>
      <c r="L39" s="458"/>
      <c r="M39" s="458"/>
      <c r="N39" s="458"/>
      <c r="O39" s="443"/>
      <c r="P39" s="447"/>
      <c r="Q39" s="450">
        <v>70</v>
      </c>
      <c r="R39" s="450">
        <v>1200</v>
      </c>
      <c r="S39" s="450">
        <v>0.4</v>
      </c>
      <c r="T39" s="443">
        <v>1.6</v>
      </c>
      <c r="U39" s="497"/>
    </row>
    <row r="40" spans="2:21" s="444" customFormat="1" ht="15">
      <c r="B40" s="453" t="s">
        <v>448</v>
      </c>
      <c r="C40" s="443" t="s">
        <v>446</v>
      </c>
      <c r="D40" s="453">
        <v>218.00000000000023</v>
      </c>
      <c r="E40" s="458"/>
      <c r="F40" s="458"/>
      <c r="G40" s="458"/>
      <c r="H40" s="458"/>
      <c r="I40" s="458"/>
      <c r="J40" s="458"/>
      <c r="K40" s="458"/>
      <c r="L40" s="458"/>
      <c r="M40" s="458"/>
      <c r="N40" s="458"/>
      <c r="O40" s="443"/>
      <c r="P40" s="447"/>
      <c r="Q40" s="450">
        <v>70</v>
      </c>
      <c r="R40" s="450">
        <v>1200</v>
      </c>
      <c r="S40" s="450">
        <v>0.6</v>
      </c>
      <c r="T40" s="443">
        <v>2.6</v>
      </c>
      <c r="U40" s="497"/>
    </row>
    <row r="41" spans="2:21" s="444" customFormat="1" ht="15">
      <c r="B41" s="453" t="s">
        <v>472</v>
      </c>
      <c r="C41" s="443"/>
      <c r="D41" s="453">
        <v>-1.6000000000000007E-3</v>
      </c>
      <c r="E41" s="458"/>
      <c r="F41" s="458"/>
      <c r="G41" s="458"/>
      <c r="H41" s="458"/>
      <c r="I41" s="458"/>
      <c r="J41" s="458"/>
      <c r="K41" s="458"/>
      <c r="L41" s="458"/>
      <c r="M41" s="458"/>
      <c r="N41" s="458"/>
      <c r="O41" s="443"/>
      <c r="P41" s="447"/>
      <c r="Q41" s="450">
        <v>70</v>
      </c>
      <c r="R41" s="450">
        <v>1200</v>
      </c>
      <c r="S41" s="450">
        <v>0.8</v>
      </c>
      <c r="T41" s="443">
        <v>3.3</v>
      </c>
      <c r="U41" s="497"/>
    </row>
    <row r="42" spans="2:21" s="444" customFormat="1" ht="15">
      <c r="B42" s="453" t="s">
        <v>473</v>
      </c>
      <c r="C42" s="443"/>
      <c r="D42" s="453">
        <v>-1.7500000000000018</v>
      </c>
      <c r="E42" s="458"/>
      <c r="F42" s="458"/>
      <c r="G42" s="458"/>
      <c r="H42" s="458"/>
      <c r="I42" s="458"/>
      <c r="J42" s="458"/>
      <c r="K42" s="458"/>
      <c r="L42" s="458"/>
      <c r="M42" s="458"/>
      <c r="N42" s="458"/>
      <c r="O42" s="443"/>
      <c r="P42" s="447"/>
      <c r="Q42" s="450">
        <v>70</v>
      </c>
      <c r="R42" s="450">
        <v>1200</v>
      </c>
      <c r="S42" s="450">
        <v>1</v>
      </c>
      <c r="T42" s="443">
        <v>4.5</v>
      </c>
      <c r="U42" s="497"/>
    </row>
    <row r="43" spans="2:21" s="444" customFormat="1" ht="15">
      <c r="B43" s="453" t="s">
        <v>474</v>
      </c>
      <c r="C43" s="443"/>
      <c r="D43" s="453">
        <v>-0.39749999999999996</v>
      </c>
      <c r="E43" s="458"/>
      <c r="F43" s="458"/>
      <c r="G43" s="458"/>
      <c r="H43" s="458"/>
      <c r="I43" s="458"/>
      <c r="J43" s="458"/>
      <c r="K43" s="458"/>
      <c r="L43" s="458"/>
      <c r="M43" s="458"/>
      <c r="N43" s="458"/>
      <c r="O43" s="443"/>
      <c r="P43" s="447"/>
      <c r="Q43" s="450">
        <v>70</v>
      </c>
      <c r="R43" s="450">
        <v>1400</v>
      </c>
      <c r="S43" s="450">
        <v>0.2</v>
      </c>
      <c r="T43" s="443">
        <v>0.5</v>
      </c>
      <c r="U43" s="497"/>
    </row>
    <row r="44" spans="2:21" s="444" customFormat="1" ht="15">
      <c r="B44" s="453" t="s">
        <v>475</v>
      </c>
      <c r="C44" s="443"/>
      <c r="D44" s="453">
        <v>3.2500000000000029E-3</v>
      </c>
      <c r="E44" s="458"/>
      <c r="F44" s="458"/>
      <c r="G44" s="458"/>
      <c r="H44" s="458"/>
      <c r="I44" s="458"/>
      <c r="J44" s="458"/>
      <c r="K44" s="458"/>
      <c r="L44" s="458"/>
      <c r="M44" s="458"/>
      <c r="N44" s="458"/>
      <c r="O44" s="443"/>
      <c r="P44" s="447"/>
      <c r="Q44" s="450">
        <v>70</v>
      </c>
      <c r="R44" s="450">
        <v>1400</v>
      </c>
      <c r="S44" s="450">
        <v>0.4</v>
      </c>
      <c r="T44" s="443">
        <v>1</v>
      </c>
      <c r="U44" s="497"/>
    </row>
    <row r="45" spans="2:21" s="444" customFormat="1" ht="15">
      <c r="B45" s="443"/>
      <c r="C45" s="443"/>
      <c r="D45" s="443"/>
      <c r="E45" s="458"/>
      <c r="F45" s="458"/>
      <c r="G45" s="458"/>
      <c r="H45" s="458"/>
      <c r="I45" s="458"/>
      <c r="J45" s="458"/>
      <c r="K45" s="458"/>
      <c r="L45" s="458"/>
      <c r="M45" s="458"/>
      <c r="N45" s="458"/>
      <c r="O45" s="443"/>
      <c r="P45" s="447"/>
      <c r="Q45" s="450">
        <v>70</v>
      </c>
      <c r="R45" s="450">
        <v>1400</v>
      </c>
      <c r="S45" s="450">
        <v>0.6</v>
      </c>
      <c r="T45" s="443">
        <v>1.7</v>
      </c>
      <c r="U45" s="497"/>
    </row>
    <row r="46" spans="2:21" s="444" customFormat="1" ht="15">
      <c r="B46" s="453">
        <v>1</v>
      </c>
      <c r="C46" s="443"/>
      <c r="D46" s="453">
        <v>1</v>
      </c>
      <c r="E46" s="458"/>
      <c r="F46" s="458"/>
      <c r="G46" s="458"/>
      <c r="H46" s="458"/>
      <c r="I46" s="458"/>
      <c r="J46" s="458"/>
      <c r="K46" s="458"/>
      <c r="L46" s="458"/>
      <c r="M46" s="458"/>
      <c r="N46" s="458"/>
      <c r="O46" s="443"/>
      <c r="P46" s="447"/>
      <c r="Q46" s="450">
        <v>70</v>
      </c>
      <c r="R46" s="450">
        <v>1400</v>
      </c>
      <c r="S46" s="450">
        <v>0.8</v>
      </c>
      <c r="T46" s="443">
        <v>2.2000000000000002</v>
      </c>
      <c r="U46" s="497"/>
    </row>
    <row r="47" spans="2:21" s="444" customFormat="1" ht="15">
      <c r="B47" s="453" t="s">
        <v>426</v>
      </c>
      <c r="C47" s="443"/>
      <c r="D47" s="453">
        <f>C3</f>
        <v>86.666666666666671</v>
      </c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43"/>
      <c r="P47" s="447"/>
      <c r="Q47" s="450">
        <v>70</v>
      </c>
      <c r="R47" s="450">
        <v>1400</v>
      </c>
      <c r="S47" s="450">
        <v>1</v>
      </c>
      <c r="T47" s="443">
        <v>2.8</v>
      </c>
      <c r="U47" s="497"/>
    </row>
    <row r="48" spans="2:21" s="444" customFormat="1" ht="15">
      <c r="B48" s="453" t="s">
        <v>430</v>
      </c>
      <c r="C48" s="443"/>
      <c r="D48" s="453">
        <f>C4</f>
        <v>217.26688621904472</v>
      </c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43"/>
      <c r="P48" s="447"/>
      <c r="Q48" s="450">
        <v>70</v>
      </c>
      <c r="R48" s="450">
        <v>1600</v>
      </c>
      <c r="S48" s="450">
        <v>0.2</v>
      </c>
      <c r="T48" s="443">
        <v>0.4</v>
      </c>
      <c r="U48" s="497"/>
    </row>
    <row r="49" spans="2:21" s="444" customFormat="1" ht="15">
      <c r="B49" s="453" t="s">
        <v>390</v>
      </c>
      <c r="C49" s="443" t="s">
        <v>446</v>
      </c>
      <c r="D49" s="453">
        <f>C5</f>
        <v>0.5</v>
      </c>
      <c r="E49" s="458"/>
      <c r="F49" s="458"/>
      <c r="G49" s="458"/>
      <c r="H49" s="458"/>
      <c r="I49" s="458"/>
      <c r="J49" s="458"/>
      <c r="K49" s="458"/>
      <c r="L49" s="458"/>
      <c r="M49" s="458"/>
      <c r="N49" s="458"/>
      <c r="O49" s="443"/>
      <c r="P49" s="447"/>
      <c r="Q49" s="450">
        <v>70</v>
      </c>
      <c r="R49" s="450">
        <v>1600</v>
      </c>
      <c r="S49" s="450">
        <v>0.4</v>
      </c>
      <c r="T49" s="443">
        <v>0.9</v>
      </c>
      <c r="U49" s="497"/>
    </row>
    <row r="50" spans="2:21" s="444" customFormat="1" ht="15">
      <c r="B50" s="453" t="s">
        <v>449</v>
      </c>
      <c r="C50" s="443"/>
      <c r="D50" s="453">
        <f>D47*D48</f>
        <v>18829.796805650545</v>
      </c>
      <c r="E50" s="458"/>
      <c r="F50" s="458"/>
      <c r="G50" s="458"/>
      <c r="H50" s="458"/>
      <c r="I50" s="458"/>
      <c r="J50" s="458"/>
      <c r="K50" s="458"/>
      <c r="L50" s="458"/>
      <c r="M50" s="458"/>
      <c r="N50" s="458"/>
      <c r="O50" s="443"/>
      <c r="P50" s="447"/>
      <c r="Q50" s="450">
        <v>70</v>
      </c>
      <c r="R50" s="450">
        <v>1600</v>
      </c>
      <c r="S50" s="450">
        <v>0.6</v>
      </c>
      <c r="T50" s="443">
        <v>1.2</v>
      </c>
      <c r="U50" s="497"/>
    </row>
    <row r="51" spans="2:21" s="444" customFormat="1" ht="15">
      <c r="B51" s="453" t="s">
        <v>476</v>
      </c>
      <c r="C51" s="443"/>
      <c r="D51" s="453">
        <f>D47*D49</f>
        <v>43.333333333333336</v>
      </c>
      <c r="E51" s="458"/>
      <c r="F51" s="458"/>
      <c r="G51" s="458"/>
      <c r="H51" s="458"/>
      <c r="I51" s="458"/>
      <c r="J51" s="458"/>
      <c r="K51" s="458"/>
      <c r="L51" s="458"/>
      <c r="M51" s="458"/>
      <c r="N51" s="458"/>
      <c r="O51" s="443"/>
      <c r="P51" s="447"/>
      <c r="Q51" s="450">
        <v>70</v>
      </c>
      <c r="R51" s="450">
        <v>1600</v>
      </c>
      <c r="S51" s="450">
        <v>0.8</v>
      </c>
      <c r="T51" s="443">
        <v>1.3</v>
      </c>
      <c r="U51" s="497"/>
    </row>
    <row r="52" spans="2:21" s="444" customFormat="1" ht="15">
      <c r="B52" s="453" t="s">
        <v>477</v>
      </c>
      <c r="C52" s="443"/>
      <c r="D52" s="453">
        <f>D48*D49</f>
        <v>108.63344310952236</v>
      </c>
      <c r="E52" s="458"/>
      <c r="F52" s="458"/>
      <c r="G52" s="458"/>
      <c r="H52" s="458"/>
      <c r="I52" s="458"/>
      <c r="J52" s="458"/>
      <c r="K52" s="458"/>
      <c r="L52" s="458"/>
      <c r="M52" s="458"/>
      <c r="N52" s="458"/>
      <c r="O52" s="443"/>
      <c r="P52" s="447"/>
      <c r="Q52" s="450">
        <v>70</v>
      </c>
      <c r="R52" s="450">
        <v>1600</v>
      </c>
      <c r="S52" s="450">
        <v>1</v>
      </c>
      <c r="T52" s="443">
        <v>1.7</v>
      </c>
      <c r="U52" s="497"/>
    </row>
    <row r="53" spans="2:21" s="444" customFormat="1" ht="15">
      <c r="B53" s="453" t="s">
        <v>478</v>
      </c>
      <c r="C53" s="443"/>
      <c r="D53" s="453">
        <f>D47*D48*D49</f>
        <v>9414.8984028252726</v>
      </c>
      <c r="E53" s="458"/>
      <c r="F53" s="458"/>
      <c r="G53" s="458"/>
      <c r="H53" s="458"/>
      <c r="I53" s="458"/>
      <c r="J53" s="458"/>
      <c r="K53" s="458"/>
      <c r="L53" s="458"/>
      <c r="M53" s="458"/>
      <c r="N53" s="458"/>
      <c r="O53" s="443"/>
      <c r="P53" s="447"/>
      <c r="Q53" s="450">
        <v>70</v>
      </c>
      <c r="R53" s="450">
        <v>10000</v>
      </c>
      <c r="S53" s="450">
        <v>0.2</v>
      </c>
      <c r="T53" s="443">
        <v>0.4</v>
      </c>
      <c r="U53" s="497"/>
    </row>
    <row r="54" spans="2:21" s="444" customFormat="1" ht="15">
      <c r="B54" s="443"/>
      <c r="C54" s="443"/>
      <c r="D54" s="443"/>
      <c r="E54" s="458"/>
      <c r="F54" s="458"/>
      <c r="G54" s="458"/>
      <c r="H54" s="458"/>
      <c r="I54" s="458"/>
      <c r="J54" s="458"/>
      <c r="K54" s="458"/>
      <c r="L54" s="458"/>
      <c r="M54" s="458"/>
      <c r="N54" s="458"/>
      <c r="O54" s="443"/>
      <c r="P54" s="447"/>
      <c r="Q54" s="450">
        <v>70</v>
      </c>
      <c r="R54" s="450">
        <v>10000</v>
      </c>
      <c r="S54" s="450">
        <v>0.4</v>
      </c>
      <c r="T54" s="443">
        <v>0.9</v>
      </c>
      <c r="U54" s="497"/>
    </row>
    <row r="55" spans="2:21" s="444" customFormat="1" ht="15">
      <c r="B55" s="445" t="s">
        <v>450</v>
      </c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  <c r="N55" s="445"/>
      <c r="O55" s="443"/>
      <c r="P55" s="447"/>
      <c r="Q55" s="450">
        <v>70</v>
      </c>
      <c r="R55" s="450">
        <v>10000</v>
      </c>
      <c r="S55" s="450">
        <v>0.6</v>
      </c>
      <c r="T55" s="443">
        <v>1.2</v>
      </c>
      <c r="U55" s="497"/>
    </row>
    <row r="56" spans="2:21" s="444" customFormat="1" ht="15">
      <c r="B56" s="443"/>
      <c r="C56" s="443"/>
      <c r="D56" s="443"/>
      <c r="E56" s="458"/>
      <c r="F56" s="458"/>
      <c r="G56" s="458"/>
      <c r="H56" s="458"/>
      <c r="I56" s="458"/>
      <c r="J56" s="458"/>
      <c r="K56" s="458"/>
      <c r="L56" s="458"/>
      <c r="M56" s="458"/>
      <c r="N56" s="458"/>
      <c r="O56" s="443"/>
      <c r="P56" s="447"/>
      <c r="Q56" s="450">
        <v>70</v>
      </c>
      <c r="R56" s="450">
        <v>10000</v>
      </c>
      <c r="S56" s="450">
        <v>0.8</v>
      </c>
      <c r="T56" s="443">
        <v>1.3</v>
      </c>
      <c r="U56" s="497"/>
    </row>
    <row r="57" spans="2:21" s="444" customFormat="1" ht="15">
      <c r="B57" s="443"/>
      <c r="C57" s="443"/>
      <c r="D57" s="443"/>
      <c r="E57" s="458"/>
      <c r="F57" s="458"/>
      <c r="G57" s="458"/>
      <c r="H57" s="458"/>
      <c r="I57" s="458"/>
      <c r="J57" s="458"/>
      <c r="K57" s="458"/>
      <c r="L57" s="458"/>
      <c r="M57" s="458"/>
      <c r="N57" s="458"/>
      <c r="O57" s="443"/>
      <c r="P57" s="447"/>
      <c r="Q57" s="450">
        <v>70</v>
      </c>
      <c r="R57" s="450">
        <v>10000</v>
      </c>
      <c r="S57" s="450">
        <v>1</v>
      </c>
      <c r="T57" s="443">
        <v>1.7</v>
      </c>
      <c r="U57" s="497"/>
    </row>
    <row r="58" spans="2:21" s="444" customFormat="1" ht="15">
      <c r="B58" s="443"/>
      <c r="C58" s="443"/>
      <c r="D58" s="443"/>
      <c r="E58" s="458"/>
      <c r="F58" s="458"/>
      <c r="G58" s="458"/>
      <c r="H58" s="458"/>
      <c r="I58" s="458"/>
      <c r="J58" s="458"/>
      <c r="K58" s="458"/>
      <c r="L58" s="458"/>
      <c r="M58" s="458"/>
      <c r="N58" s="458"/>
      <c r="O58" s="443"/>
      <c r="P58" s="447"/>
      <c r="Q58" s="450">
        <v>80</v>
      </c>
      <c r="R58" s="450">
        <v>0</v>
      </c>
      <c r="S58" s="450">
        <v>0.2</v>
      </c>
      <c r="T58" s="443">
        <v>5</v>
      </c>
      <c r="U58" s="497"/>
    </row>
    <row r="59" spans="2:21" s="444" customFormat="1" ht="15">
      <c r="B59" s="443"/>
      <c r="C59" s="443"/>
      <c r="D59" s="443"/>
      <c r="E59" s="458"/>
      <c r="F59" s="458"/>
      <c r="G59" s="458"/>
      <c r="H59" s="458"/>
      <c r="I59" s="458"/>
      <c r="J59" s="458"/>
      <c r="K59" s="458"/>
      <c r="L59" s="458"/>
      <c r="M59" s="458"/>
      <c r="N59" s="458"/>
      <c r="O59" s="443"/>
      <c r="P59" s="447"/>
      <c r="Q59" s="450">
        <v>80</v>
      </c>
      <c r="R59" s="450">
        <v>0</v>
      </c>
      <c r="S59" s="450">
        <v>0.4</v>
      </c>
      <c r="T59" s="443">
        <v>10.4</v>
      </c>
      <c r="U59" s="497"/>
    </row>
    <row r="60" spans="2:21" s="444" customFormat="1" ht="15">
      <c r="B60" s="443"/>
      <c r="C60" s="443"/>
      <c r="D60" s="443"/>
      <c r="E60" s="458"/>
      <c r="F60" s="458"/>
      <c r="G60" s="458"/>
      <c r="H60" s="458"/>
      <c r="I60" s="458"/>
      <c r="J60" s="458"/>
      <c r="K60" s="458"/>
      <c r="L60" s="458"/>
      <c r="M60" s="458"/>
      <c r="N60" s="458"/>
      <c r="O60" s="443"/>
      <c r="P60" s="447"/>
      <c r="Q60" s="450">
        <v>80</v>
      </c>
      <c r="R60" s="450">
        <v>0</v>
      </c>
      <c r="S60" s="450">
        <v>0.6</v>
      </c>
      <c r="T60" s="443">
        <v>22.4</v>
      </c>
      <c r="U60" s="497"/>
    </row>
    <row r="61" spans="2:21" s="444" customFormat="1" ht="15">
      <c r="B61" s="443"/>
      <c r="C61" s="443"/>
      <c r="D61" s="443"/>
      <c r="E61" s="458"/>
      <c r="F61" s="458"/>
      <c r="G61" s="458"/>
      <c r="H61" s="458"/>
      <c r="I61" s="458"/>
      <c r="J61" s="458"/>
      <c r="K61" s="458"/>
      <c r="L61" s="458"/>
      <c r="M61" s="458"/>
      <c r="N61" s="458"/>
      <c r="O61" s="443"/>
      <c r="P61" s="447"/>
      <c r="Q61" s="450">
        <v>80</v>
      </c>
      <c r="R61" s="450">
        <v>0</v>
      </c>
      <c r="S61" s="450">
        <v>0.8</v>
      </c>
      <c r="T61" s="443">
        <v>26.3</v>
      </c>
      <c r="U61" s="497"/>
    </row>
    <row r="62" spans="2:21" s="444" customFormat="1" ht="15">
      <c r="B62" s="443"/>
      <c r="C62" s="443"/>
      <c r="D62" s="443"/>
      <c r="E62" s="458"/>
      <c r="F62" s="458"/>
      <c r="G62" s="458"/>
      <c r="H62" s="458"/>
      <c r="I62" s="458"/>
      <c r="J62" s="458"/>
      <c r="K62" s="458"/>
      <c r="L62" s="458"/>
      <c r="M62" s="458"/>
      <c r="N62" s="458"/>
      <c r="O62" s="443"/>
      <c r="P62" s="447"/>
      <c r="Q62" s="450">
        <v>80</v>
      </c>
      <c r="R62" s="450">
        <v>0</v>
      </c>
      <c r="S62" s="450">
        <v>1</v>
      </c>
      <c r="T62" s="443">
        <v>36.1</v>
      </c>
      <c r="U62" s="497"/>
    </row>
    <row r="63" spans="2:21" s="444" customFormat="1" ht="15">
      <c r="B63" s="443"/>
      <c r="C63" s="443"/>
      <c r="D63" s="443"/>
      <c r="E63" s="458"/>
      <c r="F63" s="458"/>
      <c r="G63" s="458"/>
      <c r="H63" s="458"/>
      <c r="I63" s="458"/>
      <c r="J63" s="458"/>
      <c r="K63" s="458"/>
      <c r="L63" s="458"/>
      <c r="M63" s="458"/>
      <c r="N63" s="458"/>
      <c r="O63" s="443"/>
      <c r="P63" s="447"/>
      <c r="Q63" s="450">
        <v>80</v>
      </c>
      <c r="R63" s="450">
        <v>100</v>
      </c>
      <c r="S63" s="450">
        <v>0.2</v>
      </c>
      <c r="T63" s="443">
        <v>5</v>
      </c>
      <c r="U63" s="497"/>
    </row>
    <row r="64" spans="2:21" s="444" customFormat="1" ht="15">
      <c r="B64" s="443"/>
      <c r="C64" s="443"/>
      <c r="D64" s="443"/>
      <c r="E64" s="458"/>
      <c r="F64" s="458"/>
      <c r="G64" s="458"/>
      <c r="H64" s="458"/>
      <c r="I64" s="458"/>
      <c r="J64" s="458"/>
      <c r="K64" s="458"/>
      <c r="L64" s="458"/>
      <c r="M64" s="458"/>
      <c r="N64" s="458"/>
      <c r="O64" s="443"/>
      <c r="P64" s="447"/>
      <c r="Q64" s="450">
        <v>80</v>
      </c>
      <c r="R64" s="450">
        <v>100</v>
      </c>
      <c r="S64" s="450">
        <v>0.4</v>
      </c>
      <c r="T64" s="443">
        <v>10.4</v>
      </c>
      <c r="U64" s="497"/>
    </row>
    <row r="65" spans="16:21" s="444" customFormat="1" ht="15">
      <c r="P65" s="447"/>
      <c r="Q65" s="450">
        <v>80</v>
      </c>
      <c r="R65" s="450">
        <v>100</v>
      </c>
      <c r="S65" s="450">
        <v>0.6</v>
      </c>
      <c r="T65" s="443">
        <v>22.4</v>
      </c>
      <c r="U65" s="497"/>
    </row>
    <row r="66" spans="16:21" s="444" customFormat="1" ht="15">
      <c r="P66" s="447"/>
      <c r="Q66" s="450">
        <v>80</v>
      </c>
      <c r="R66" s="450">
        <v>100</v>
      </c>
      <c r="S66" s="450">
        <v>0.8</v>
      </c>
      <c r="T66" s="443">
        <v>26.3</v>
      </c>
      <c r="U66" s="497"/>
    </row>
    <row r="67" spans="16:21" s="444" customFormat="1" ht="15">
      <c r="P67" s="447"/>
      <c r="Q67" s="450">
        <v>80</v>
      </c>
      <c r="R67" s="450">
        <v>100</v>
      </c>
      <c r="S67" s="450">
        <v>1</v>
      </c>
      <c r="T67" s="443">
        <v>36.1</v>
      </c>
      <c r="U67" s="497"/>
    </row>
    <row r="68" spans="16:21" s="444" customFormat="1" ht="15">
      <c r="P68" s="447"/>
      <c r="Q68" s="450">
        <v>80</v>
      </c>
      <c r="R68" s="450">
        <v>200</v>
      </c>
      <c r="S68" s="450">
        <v>0.2</v>
      </c>
      <c r="T68" s="443">
        <v>9.6</v>
      </c>
      <c r="U68" s="497"/>
    </row>
    <row r="69" spans="16:21" s="444" customFormat="1" ht="15">
      <c r="P69" s="447"/>
      <c r="Q69" s="450">
        <v>80</v>
      </c>
      <c r="R69" s="450">
        <v>200</v>
      </c>
      <c r="S69" s="450">
        <v>0.4</v>
      </c>
      <c r="T69" s="443">
        <v>16.7</v>
      </c>
      <c r="U69" s="497"/>
    </row>
    <row r="70" spans="16:21" s="444" customFormat="1" ht="15">
      <c r="P70" s="447"/>
      <c r="Q70" s="450">
        <v>80</v>
      </c>
      <c r="R70" s="450">
        <v>200</v>
      </c>
      <c r="S70" s="450">
        <v>0.6</v>
      </c>
      <c r="T70" s="443">
        <v>26.8</v>
      </c>
      <c r="U70" s="497"/>
    </row>
    <row r="71" spans="16:21" s="444" customFormat="1" ht="15">
      <c r="P71" s="447"/>
      <c r="Q71" s="450">
        <v>80</v>
      </c>
      <c r="R71" s="450">
        <v>200</v>
      </c>
      <c r="S71" s="450">
        <v>0.8</v>
      </c>
      <c r="T71" s="443">
        <v>31</v>
      </c>
      <c r="U71" s="497"/>
    </row>
    <row r="72" spans="16:21" s="444" customFormat="1" ht="15">
      <c r="P72" s="447"/>
      <c r="Q72" s="450">
        <v>80</v>
      </c>
      <c r="R72" s="450">
        <v>200</v>
      </c>
      <c r="S72" s="450">
        <v>1</v>
      </c>
      <c r="T72" s="443">
        <v>39.6</v>
      </c>
      <c r="U72" s="497"/>
    </row>
    <row r="73" spans="16:21" s="444" customFormat="1" ht="15">
      <c r="P73" s="447"/>
      <c r="Q73" s="450">
        <v>80</v>
      </c>
      <c r="R73" s="450">
        <v>400</v>
      </c>
      <c r="S73" s="450">
        <v>0.2</v>
      </c>
      <c r="T73" s="443">
        <v>7.9</v>
      </c>
      <c r="U73" s="497"/>
    </row>
    <row r="74" spans="16:21" s="444" customFormat="1" ht="15">
      <c r="P74" s="447"/>
      <c r="Q74" s="450">
        <v>80</v>
      </c>
      <c r="R74" s="450">
        <v>400</v>
      </c>
      <c r="S74" s="450">
        <v>0.4</v>
      </c>
      <c r="T74" s="443">
        <v>11.6</v>
      </c>
      <c r="U74" s="497"/>
    </row>
    <row r="75" spans="16:21" s="444" customFormat="1" ht="15">
      <c r="P75" s="447"/>
      <c r="Q75" s="450">
        <v>80</v>
      </c>
      <c r="R75" s="450">
        <v>400</v>
      </c>
      <c r="S75" s="450">
        <v>0.6</v>
      </c>
      <c r="T75" s="443">
        <v>16.2</v>
      </c>
      <c r="U75" s="497"/>
    </row>
    <row r="76" spans="16:21" s="444" customFormat="1" ht="15">
      <c r="P76" s="447"/>
      <c r="Q76" s="450">
        <v>80</v>
      </c>
      <c r="R76" s="450">
        <v>400</v>
      </c>
      <c r="S76" s="450">
        <v>0.8</v>
      </c>
      <c r="T76" s="443">
        <v>19</v>
      </c>
      <c r="U76" s="497"/>
    </row>
    <row r="77" spans="16:21" s="444" customFormat="1" ht="15">
      <c r="P77" s="447"/>
      <c r="Q77" s="450">
        <v>80</v>
      </c>
      <c r="R77" s="450">
        <v>400</v>
      </c>
      <c r="S77" s="450">
        <v>1</v>
      </c>
      <c r="T77" s="443">
        <v>23.4</v>
      </c>
      <c r="U77" s="497"/>
    </row>
    <row r="78" spans="16:21" s="444" customFormat="1" ht="15">
      <c r="P78" s="447"/>
      <c r="Q78" s="450">
        <v>80</v>
      </c>
      <c r="R78" s="450">
        <v>600</v>
      </c>
      <c r="S78" s="450">
        <v>0.2</v>
      </c>
      <c r="T78" s="443">
        <v>4.7</v>
      </c>
      <c r="U78" s="497"/>
    </row>
    <row r="79" spans="16:21" s="444" customFormat="1" ht="15">
      <c r="P79" s="447"/>
      <c r="Q79" s="450">
        <v>80</v>
      </c>
      <c r="R79" s="450">
        <v>600</v>
      </c>
      <c r="S79" s="450">
        <v>0.4</v>
      </c>
      <c r="T79" s="443">
        <v>7.1</v>
      </c>
      <c r="U79" s="497"/>
    </row>
    <row r="80" spans="16:21" s="444" customFormat="1" ht="15">
      <c r="P80" s="447"/>
      <c r="Q80" s="450">
        <v>80</v>
      </c>
      <c r="R80" s="450">
        <v>600</v>
      </c>
      <c r="S80" s="450">
        <v>0.6</v>
      </c>
      <c r="T80" s="443">
        <v>10.4</v>
      </c>
      <c r="U80" s="497"/>
    </row>
    <row r="81" spans="16:21" s="444" customFormat="1" ht="15">
      <c r="P81" s="447"/>
      <c r="Q81" s="450">
        <v>80</v>
      </c>
      <c r="R81" s="450">
        <v>600</v>
      </c>
      <c r="S81" s="450">
        <v>0.8</v>
      </c>
      <c r="T81" s="443">
        <v>12.4</v>
      </c>
      <c r="U81" s="497"/>
    </row>
    <row r="82" spans="16:21" s="444" customFormat="1" ht="15">
      <c r="P82" s="447"/>
      <c r="Q82" s="450">
        <v>80</v>
      </c>
      <c r="R82" s="450">
        <v>600</v>
      </c>
      <c r="S82" s="450">
        <v>1</v>
      </c>
      <c r="T82" s="443">
        <v>15.6</v>
      </c>
      <c r="U82" s="497"/>
    </row>
    <row r="83" spans="16:21" s="444" customFormat="1" ht="15">
      <c r="P83" s="447"/>
      <c r="Q83" s="450">
        <v>80</v>
      </c>
      <c r="R83" s="450">
        <v>800</v>
      </c>
      <c r="S83" s="450">
        <v>0.2</v>
      </c>
      <c r="T83" s="443">
        <v>2.5</v>
      </c>
      <c r="U83" s="497"/>
    </row>
    <row r="84" spans="16:21" s="444" customFormat="1" ht="15">
      <c r="P84" s="447"/>
      <c r="Q84" s="450">
        <v>80</v>
      </c>
      <c r="R84" s="450">
        <v>800</v>
      </c>
      <c r="S84" s="450">
        <v>0.4</v>
      </c>
      <c r="T84" s="443">
        <v>4.2</v>
      </c>
      <c r="U84" s="497"/>
    </row>
    <row r="85" spans="16:21" s="444" customFormat="1" ht="15">
      <c r="P85" s="447"/>
      <c r="Q85" s="450">
        <v>80</v>
      </c>
      <c r="R85" s="450">
        <v>800</v>
      </c>
      <c r="S85" s="450">
        <v>0.6</v>
      </c>
      <c r="T85" s="443">
        <v>6.3</v>
      </c>
      <c r="U85" s="497"/>
    </row>
    <row r="86" spans="16:21" s="444" customFormat="1" ht="15">
      <c r="P86" s="447"/>
      <c r="Q86" s="450">
        <v>80</v>
      </c>
      <c r="R86" s="450">
        <v>800</v>
      </c>
      <c r="S86" s="450">
        <v>0.8</v>
      </c>
      <c r="T86" s="443">
        <v>7.7</v>
      </c>
      <c r="U86" s="497"/>
    </row>
    <row r="87" spans="16:21" s="444" customFormat="1" ht="15">
      <c r="P87" s="447"/>
      <c r="Q87" s="450">
        <v>80</v>
      </c>
      <c r="R87" s="450">
        <v>800</v>
      </c>
      <c r="S87" s="450">
        <v>1</v>
      </c>
      <c r="T87" s="443">
        <v>9.8000000000000007</v>
      </c>
      <c r="U87" s="497"/>
    </row>
    <row r="88" spans="16:21" s="444" customFormat="1" ht="15">
      <c r="P88" s="447"/>
      <c r="Q88" s="450">
        <v>80</v>
      </c>
      <c r="R88" s="450">
        <v>1000</v>
      </c>
      <c r="S88" s="450">
        <v>0.2</v>
      </c>
      <c r="T88" s="443">
        <v>1.3</v>
      </c>
      <c r="U88" s="497"/>
    </row>
    <row r="89" spans="16:21" s="444" customFormat="1" ht="15">
      <c r="P89" s="447"/>
      <c r="Q89" s="450">
        <v>80</v>
      </c>
      <c r="R89" s="450">
        <v>1000</v>
      </c>
      <c r="S89" s="450">
        <v>0.4</v>
      </c>
      <c r="T89" s="443">
        <v>2.6</v>
      </c>
      <c r="U89" s="497"/>
    </row>
    <row r="90" spans="16:21" s="444" customFormat="1" ht="15">
      <c r="P90" s="447"/>
      <c r="Q90" s="450">
        <v>80</v>
      </c>
      <c r="R90" s="450">
        <v>1000</v>
      </c>
      <c r="S90" s="450">
        <v>0.6</v>
      </c>
      <c r="T90" s="443">
        <v>3.8</v>
      </c>
      <c r="U90" s="497"/>
    </row>
    <row r="91" spans="16:21" s="444" customFormat="1" ht="15">
      <c r="P91" s="447"/>
      <c r="Q91" s="450">
        <v>80</v>
      </c>
      <c r="R91" s="450">
        <v>1000</v>
      </c>
      <c r="S91" s="450">
        <v>0.8</v>
      </c>
      <c r="T91" s="443">
        <v>4.7</v>
      </c>
      <c r="U91" s="497"/>
    </row>
    <row r="92" spans="16:21" s="444" customFormat="1" ht="15">
      <c r="P92" s="447"/>
      <c r="Q92" s="450">
        <v>80</v>
      </c>
      <c r="R92" s="450">
        <v>1000</v>
      </c>
      <c r="S92" s="450">
        <v>1</v>
      </c>
      <c r="T92" s="443">
        <v>5.9</v>
      </c>
      <c r="U92" s="497"/>
    </row>
    <row r="93" spans="16:21" s="444" customFormat="1" ht="15">
      <c r="P93" s="447"/>
      <c r="Q93" s="450">
        <v>80</v>
      </c>
      <c r="R93" s="450">
        <v>1200</v>
      </c>
      <c r="S93" s="450">
        <v>0.2</v>
      </c>
      <c r="T93" s="443">
        <v>0.9</v>
      </c>
      <c r="U93" s="497"/>
    </row>
    <row r="94" spans="16:21" s="444" customFormat="1" ht="15">
      <c r="P94" s="447"/>
      <c r="Q94" s="450">
        <v>80</v>
      </c>
      <c r="R94" s="450">
        <v>1200</v>
      </c>
      <c r="S94" s="450">
        <v>0.4</v>
      </c>
      <c r="T94" s="443">
        <v>1.7</v>
      </c>
      <c r="U94" s="497"/>
    </row>
    <row r="95" spans="16:21" s="444" customFormat="1" ht="15">
      <c r="P95" s="447"/>
      <c r="Q95" s="450">
        <v>80</v>
      </c>
      <c r="R95" s="450">
        <v>1200</v>
      </c>
      <c r="S95" s="450">
        <v>0.6</v>
      </c>
      <c r="T95" s="443">
        <v>2.6</v>
      </c>
      <c r="U95" s="497"/>
    </row>
    <row r="96" spans="16:21" s="444" customFormat="1" ht="15">
      <c r="P96" s="447"/>
      <c r="Q96" s="450">
        <v>80</v>
      </c>
      <c r="R96" s="450">
        <v>1200</v>
      </c>
      <c r="S96" s="450">
        <v>0.8</v>
      </c>
      <c r="T96" s="443">
        <v>3.2</v>
      </c>
      <c r="U96" s="497"/>
    </row>
    <row r="97" spans="16:21" s="444" customFormat="1" ht="15">
      <c r="P97" s="447"/>
      <c r="Q97" s="450">
        <v>80</v>
      </c>
      <c r="R97" s="450">
        <v>1200</v>
      </c>
      <c r="S97" s="450">
        <v>1</v>
      </c>
      <c r="T97" s="443">
        <v>4.0999999999999996</v>
      </c>
      <c r="U97" s="497"/>
    </row>
    <row r="98" spans="16:21" s="444" customFormat="1" ht="15">
      <c r="P98" s="447"/>
      <c r="Q98" s="450">
        <v>80</v>
      </c>
      <c r="R98" s="450">
        <v>1400</v>
      </c>
      <c r="S98" s="450">
        <v>0.2</v>
      </c>
      <c r="T98" s="443">
        <v>0.6</v>
      </c>
      <c r="U98" s="497"/>
    </row>
    <row r="99" spans="16:21" s="444" customFormat="1" ht="15">
      <c r="P99" s="447"/>
      <c r="Q99" s="450">
        <v>80</v>
      </c>
      <c r="R99" s="450">
        <v>1400</v>
      </c>
      <c r="S99" s="450">
        <v>0.4</v>
      </c>
      <c r="T99" s="443">
        <v>1.1000000000000001</v>
      </c>
      <c r="U99" s="497"/>
    </row>
    <row r="100" spans="16:21" s="444" customFormat="1" ht="15">
      <c r="P100" s="447"/>
      <c r="Q100" s="450">
        <v>80</v>
      </c>
      <c r="R100" s="450">
        <v>1400</v>
      </c>
      <c r="S100" s="450">
        <v>0.6</v>
      </c>
      <c r="T100" s="443">
        <v>1.7</v>
      </c>
      <c r="U100" s="497"/>
    </row>
    <row r="101" spans="16:21" s="444" customFormat="1" ht="15">
      <c r="P101" s="447"/>
      <c r="Q101" s="450">
        <v>80</v>
      </c>
      <c r="R101" s="450">
        <v>1400</v>
      </c>
      <c r="S101" s="450">
        <v>0.8</v>
      </c>
      <c r="T101" s="443">
        <v>2.1</v>
      </c>
      <c r="U101" s="497"/>
    </row>
    <row r="102" spans="16:21" s="444" customFormat="1" ht="15">
      <c r="P102" s="447"/>
      <c r="Q102" s="450">
        <v>80</v>
      </c>
      <c r="R102" s="450">
        <v>1400</v>
      </c>
      <c r="S102" s="450">
        <v>1</v>
      </c>
      <c r="T102" s="443">
        <v>2.6</v>
      </c>
      <c r="U102" s="497"/>
    </row>
    <row r="103" spans="16:21" s="444" customFormat="1" ht="15">
      <c r="P103" s="447"/>
      <c r="Q103" s="450">
        <v>80</v>
      </c>
      <c r="R103" s="450">
        <v>1600</v>
      </c>
      <c r="S103" s="450">
        <v>0.2</v>
      </c>
      <c r="T103" s="443">
        <v>0.5</v>
      </c>
      <c r="U103" s="497"/>
    </row>
    <row r="104" spans="16:21" s="444" customFormat="1" ht="15">
      <c r="P104" s="447"/>
      <c r="Q104" s="450">
        <v>80</v>
      </c>
      <c r="R104" s="450">
        <v>1600</v>
      </c>
      <c r="S104" s="450">
        <v>0.4</v>
      </c>
      <c r="T104" s="443">
        <v>0.9</v>
      </c>
      <c r="U104" s="497"/>
    </row>
    <row r="105" spans="16:21" s="444" customFormat="1" ht="15">
      <c r="P105" s="447"/>
      <c r="Q105" s="450">
        <v>80</v>
      </c>
      <c r="R105" s="450">
        <v>1600</v>
      </c>
      <c r="S105" s="450">
        <v>0.6</v>
      </c>
      <c r="T105" s="443">
        <v>1.2</v>
      </c>
      <c r="U105" s="497"/>
    </row>
    <row r="106" spans="16:21" s="444" customFormat="1" ht="15">
      <c r="P106" s="447"/>
      <c r="Q106" s="450">
        <v>80</v>
      </c>
      <c r="R106" s="450">
        <v>1600</v>
      </c>
      <c r="S106" s="450">
        <v>0.8</v>
      </c>
      <c r="T106" s="443">
        <v>1.3</v>
      </c>
      <c r="U106" s="497"/>
    </row>
    <row r="107" spans="16:21" s="444" customFormat="1" ht="15">
      <c r="P107" s="447"/>
      <c r="Q107" s="450">
        <v>80</v>
      </c>
      <c r="R107" s="450">
        <v>1600</v>
      </c>
      <c r="S107" s="450">
        <v>1</v>
      </c>
      <c r="T107" s="443">
        <v>1.6</v>
      </c>
      <c r="U107" s="497"/>
    </row>
    <row r="108" spans="16:21" s="444" customFormat="1" ht="15">
      <c r="P108" s="447"/>
      <c r="Q108" s="450">
        <v>80</v>
      </c>
      <c r="R108" s="450">
        <v>10000</v>
      </c>
      <c r="S108" s="450">
        <v>0.2</v>
      </c>
      <c r="T108" s="443">
        <v>0.5</v>
      </c>
      <c r="U108" s="497"/>
    </row>
    <row r="109" spans="16:21" s="444" customFormat="1" ht="15">
      <c r="P109" s="447"/>
      <c r="Q109" s="450">
        <v>80</v>
      </c>
      <c r="R109" s="450">
        <v>10000</v>
      </c>
      <c r="S109" s="450">
        <v>0.4</v>
      </c>
      <c r="T109" s="443">
        <v>0.9</v>
      </c>
      <c r="U109" s="497"/>
    </row>
    <row r="110" spans="16:21" s="444" customFormat="1" ht="15">
      <c r="P110" s="447"/>
      <c r="Q110" s="450">
        <v>80</v>
      </c>
      <c r="R110" s="450">
        <v>10000</v>
      </c>
      <c r="S110" s="450">
        <v>0.6</v>
      </c>
      <c r="T110" s="443">
        <v>1.2</v>
      </c>
      <c r="U110" s="497"/>
    </row>
    <row r="111" spans="16:21" s="444" customFormat="1" ht="15">
      <c r="P111" s="447"/>
      <c r="Q111" s="450">
        <v>80</v>
      </c>
      <c r="R111" s="450">
        <v>10000</v>
      </c>
      <c r="S111" s="450">
        <v>0.8</v>
      </c>
      <c r="T111" s="443">
        <v>1.3</v>
      </c>
      <c r="U111" s="497"/>
    </row>
    <row r="112" spans="16:21" s="444" customFormat="1" ht="15">
      <c r="P112" s="447"/>
      <c r="Q112" s="450">
        <v>80</v>
      </c>
      <c r="R112" s="450">
        <v>10000</v>
      </c>
      <c r="S112" s="450">
        <v>1</v>
      </c>
      <c r="T112" s="443">
        <v>1.6</v>
      </c>
      <c r="U112" s="497"/>
    </row>
    <row r="113" spans="16:21" s="444" customFormat="1" ht="15">
      <c r="P113" s="447"/>
      <c r="Q113" s="450">
        <v>90</v>
      </c>
      <c r="R113" s="450">
        <v>0</v>
      </c>
      <c r="S113" s="450">
        <v>0.2</v>
      </c>
      <c r="T113" s="443">
        <v>6.7</v>
      </c>
      <c r="U113" s="497"/>
    </row>
    <row r="114" spans="16:21" s="444" customFormat="1" ht="15">
      <c r="P114" s="447"/>
      <c r="Q114" s="450">
        <v>90</v>
      </c>
      <c r="R114" s="450">
        <v>0</v>
      </c>
      <c r="S114" s="450">
        <v>0.4</v>
      </c>
      <c r="T114" s="443">
        <v>12.7</v>
      </c>
      <c r="U114" s="497"/>
    </row>
    <row r="115" spans="16:21" s="444" customFormat="1" ht="15">
      <c r="P115" s="447"/>
      <c r="Q115" s="450">
        <v>90</v>
      </c>
      <c r="R115" s="450">
        <v>0</v>
      </c>
      <c r="S115" s="450">
        <v>0.6</v>
      </c>
      <c r="T115" s="443">
        <v>21.7</v>
      </c>
      <c r="U115" s="497"/>
    </row>
    <row r="116" spans="16:21" s="444" customFormat="1" ht="15">
      <c r="P116" s="447"/>
      <c r="Q116" s="450">
        <v>90</v>
      </c>
      <c r="R116" s="450">
        <v>0</v>
      </c>
      <c r="S116" s="450">
        <v>0.8</v>
      </c>
      <c r="T116" s="443">
        <v>24.5</v>
      </c>
      <c r="U116" s="497"/>
    </row>
    <row r="117" spans="16:21" s="444" customFormat="1" ht="15">
      <c r="P117" s="447"/>
      <c r="Q117" s="450">
        <v>90</v>
      </c>
      <c r="R117" s="450">
        <v>0</v>
      </c>
      <c r="S117" s="450">
        <v>1</v>
      </c>
      <c r="T117" s="443">
        <v>31.3</v>
      </c>
      <c r="U117" s="497"/>
    </row>
    <row r="118" spans="16:21" s="444" customFormat="1" ht="15">
      <c r="P118" s="447"/>
      <c r="Q118" s="450">
        <v>90</v>
      </c>
      <c r="R118" s="450">
        <v>100</v>
      </c>
      <c r="S118" s="450">
        <v>0.2</v>
      </c>
      <c r="T118" s="443">
        <v>6.7</v>
      </c>
      <c r="U118" s="497"/>
    </row>
    <row r="119" spans="16:21" s="444" customFormat="1" ht="15">
      <c r="P119" s="447"/>
      <c r="Q119" s="450">
        <v>90</v>
      </c>
      <c r="R119" s="450">
        <v>100</v>
      </c>
      <c r="S119" s="450">
        <v>0.4</v>
      </c>
      <c r="T119" s="443">
        <v>12.7</v>
      </c>
      <c r="U119" s="497"/>
    </row>
    <row r="120" spans="16:21" s="444" customFormat="1" ht="15">
      <c r="P120" s="447"/>
      <c r="Q120" s="450">
        <v>90</v>
      </c>
      <c r="R120" s="450">
        <v>100</v>
      </c>
      <c r="S120" s="450">
        <v>0.6</v>
      </c>
      <c r="T120" s="443">
        <v>21.7</v>
      </c>
      <c r="U120" s="497"/>
    </row>
    <row r="121" spans="16:21" s="444" customFormat="1" ht="15">
      <c r="P121" s="447"/>
      <c r="Q121" s="450">
        <v>90</v>
      </c>
      <c r="R121" s="450">
        <v>100</v>
      </c>
      <c r="S121" s="450">
        <v>0.8</v>
      </c>
      <c r="T121" s="443">
        <v>24.5</v>
      </c>
      <c r="U121" s="497"/>
    </row>
    <row r="122" spans="16:21" s="444" customFormat="1" ht="15">
      <c r="P122" s="447"/>
      <c r="Q122" s="450">
        <v>90</v>
      </c>
      <c r="R122" s="450">
        <v>100</v>
      </c>
      <c r="S122" s="450">
        <v>1</v>
      </c>
      <c r="T122" s="443">
        <v>31.3</v>
      </c>
      <c r="U122" s="497"/>
    </row>
    <row r="123" spans="16:21" s="444" customFormat="1" ht="15">
      <c r="P123" s="447"/>
      <c r="Q123" s="450">
        <v>90</v>
      </c>
      <c r="R123" s="450">
        <v>200</v>
      </c>
      <c r="S123" s="450">
        <v>0.2</v>
      </c>
      <c r="T123" s="443">
        <v>10.5</v>
      </c>
      <c r="U123" s="497"/>
    </row>
    <row r="124" spans="16:21" s="444" customFormat="1" ht="15">
      <c r="P124" s="447"/>
      <c r="Q124" s="450">
        <v>90</v>
      </c>
      <c r="R124" s="450">
        <v>200</v>
      </c>
      <c r="S124" s="450">
        <v>0.4</v>
      </c>
      <c r="T124" s="443">
        <v>17.5</v>
      </c>
      <c r="U124" s="497"/>
    </row>
    <row r="125" spans="16:21" s="444" customFormat="1" ht="15">
      <c r="P125" s="447"/>
      <c r="Q125" s="450">
        <v>90</v>
      </c>
      <c r="R125" s="450">
        <v>200</v>
      </c>
      <c r="S125" s="450">
        <v>0.6</v>
      </c>
      <c r="T125" s="443">
        <v>25.4</v>
      </c>
      <c r="U125" s="497"/>
    </row>
    <row r="126" spans="16:21" s="444" customFormat="1" ht="15">
      <c r="P126" s="447"/>
      <c r="Q126" s="450">
        <v>90</v>
      </c>
      <c r="R126" s="450">
        <v>200</v>
      </c>
      <c r="S126" s="450">
        <v>0.8</v>
      </c>
      <c r="T126" s="443">
        <v>28.6</v>
      </c>
      <c r="U126" s="497"/>
    </row>
    <row r="127" spans="16:21" s="444" customFormat="1" ht="15">
      <c r="P127" s="447"/>
      <c r="Q127" s="450">
        <v>90</v>
      </c>
      <c r="R127" s="450">
        <v>200</v>
      </c>
      <c r="S127" s="450">
        <v>1</v>
      </c>
      <c r="T127" s="443">
        <v>34.700000000000003</v>
      </c>
      <c r="U127" s="497"/>
    </row>
    <row r="128" spans="16:21" s="444" customFormat="1" ht="15">
      <c r="P128" s="447"/>
      <c r="Q128" s="450">
        <v>90</v>
      </c>
      <c r="R128" s="450">
        <v>400</v>
      </c>
      <c r="S128" s="450">
        <v>0.2</v>
      </c>
      <c r="T128" s="443">
        <v>8.3000000000000007</v>
      </c>
      <c r="U128" s="497"/>
    </row>
    <row r="129" spans="16:21" s="444" customFormat="1" ht="15">
      <c r="P129" s="447"/>
      <c r="Q129" s="450">
        <v>90</v>
      </c>
      <c r="R129" s="450">
        <v>400</v>
      </c>
      <c r="S129" s="450">
        <v>0.4</v>
      </c>
      <c r="T129" s="443">
        <v>11.8</v>
      </c>
      <c r="U129" s="497"/>
    </row>
    <row r="130" spans="16:21" s="444" customFormat="1" ht="15">
      <c r="P130" s="447"/>
      <c r="Q130" s="450">
        <v>90</v>
      </c>
      <c r="R130" s="450">
        <v>400</v>
      </c>
      <c r="S130" s="450">
        <v>0.6</v>
      </c>
      <c r="T130" s="443">
        <v>15.5</v>
      </c>
      <c r="U130" s="497"/>
    </row>
    <row r="131" spans="16:21" s="444" customFormat="1" ht="15">
      <c r="P131" s="447"/>
      <c r="Q131" s="450">
        <v>90</v>
      </c>
      <c r="R131" s="450">
        <v>400</v>
      </c>
      <c r="S131" s="450">
        <v>0.8</v>
      </c>
      <c r="T131" s="443">
        <v>17.5</v>
      </c>
      <c r="U131" s="497"/>
    </row>
    <row r="132" spans="16:21" s="444" customFormat="1" ht="15">
      <c r="P132" s="447"/>
      <c r="Q132" s="450">
        <v>90</v>
      </c>
      <c r="R132" s="450">
        <v>400</v>
      </c>
      <c r="S132" s="450">
        <v>1</v>
      </c>
      <c r="T132" s="443">
        <v>20.7</v>
      </c>
      <c r="U132" s="497"/>
    </row>
    <row r="133" spans="16:21" s="444" customFormat="1" ht="15">
      <c r="P133" s="447"/>
      <c r="Q133" s="450">
        <v>90</v>
      </c>
      <c r="R133" s="450">
        <v>600</v>
      </c>
      <c r="S133" s="450">
        <v>0.2</v>
      </c>
      <c r="T133" s="443">
        <v>4.9000000000000004</v>
      </c>
      <c r="U133" s="497"/>
    </row>
    <row r="134" spans="16:21" s="444" customFormat="1" ht="15">
      <c r="P134" s="447"/>
      <c r="Q134" s="450">
        <v>90</v>
      </c>
      <c r="R134" s="450">
        <v>600</v>
      </c>
      <c r="S134" s="450">
        <v>0.4</v>
      </c>
      <c r="T134" s="443">
        <v>7.3</v>
      </c>
      <c r="U134" s="497"/>
    </row>
    <row r="135" spans="16:21" s="444" customFormat="1" ht="15">
      <c r="P135" s="447"/>
      <c r="Q135" s="450">
        <v>90</v>
      </c>
      <c r="R135" s="450">
        <v>600</v>
      </c>
      <c r="S135" s="450">
        <v>0.6</v>
      </c>
      <c r="T135" s="443">
        <v>10</v>
      </c>
      <c r="U135" s="497"/>
    </row>
    <row r="136" spans="16:21" s="444" customFormat="1" ht="15">
      <c r="P136" s="447"/>
      <c r="Q136" s="450">
        <v>90</v>
      </c>
      <c r="R136" s="450">
        <v>600</v>
      </c>
      <c r="S136" s="450">
        <v>0.8</v>
      </c>
      <c r="T136" s="443">
        <v>11.5</v>
      </c>
      <c r="U136" s="497"/>
    </row>
    <row r="137" spans="16:21" s="444" customFormat="1" ht="15">
      <c r="P137" s="447"/>
      <c r="Q137" s="450">
        <v>90</v>
      </c>
      <c r="R137" s="450">
        <v>600</v>
      </c>
      <c r="S137" s="450">
        <v>1</v>
      </c>
      <c r="T137" s="443">
        <v>13.9</v>
      </c>
      <c r="U137" s="497"/>
    </row>
    <row r="138" spans="16:21" s="444" customFormat="1" ht="15">
      <c r="P138" s="447"/>
      <c r="Q138" s="450">
        <v>90</v>
      </c>
      <c r="R138" s="450">
        <v>800</v>
      </c>
      <c r="S138" s="450">
        <v>0.2</v>
      </c>
      <c r="T138" s="443">
        <v>2.7</v>
      </c>
      <c r="U138" s="497"/>
    </row>
    <row r="139" spans="16:21" s="444" customFormat="1" ht="15">
      <c r="P139" s="447"/>
      <c r="Q139" s="450">
        <v>90</v>
      </c>
      <c r="R139" s="450">
        <v>800</v>
      </c>
      <c r="S139" s="450">
        <v>0.4</v>
      </c>
      <c r="T139" s="443">
        <v>4.3</v>
      </c>
      <c r="U139" s="497"/>
    </row>
    <row r="140" spans="16:21" s="444" customFormat="1" ht="15">
      <c r="P140" s="447"/>
      <c r="Q140" s="450">
        <v>90</v>
      </c>
      <c r="R140" s="450">
        <v>800</v>
      </c>
      <c r="S140" s="450">
        <v>0.6</v>
      </c>
      <c r="T140" s="443">
        <v>6.1</v>
      </c>
      <c r="U140" s="497"/>
    </row>
    <row r="141" spans="16:21" s="444" customFormat="1" ht="15">
      <c r="P141" s="447"/>
      <c r="Q141" s="450">
        <v>90</v>
      </c>
      <c r="R141" s="450">
        <v>800</v>
      </c>
      <c r="S141" s="450">
        <v>0.8</v>
      </c>
      <c r="T141" s="443">
        <v>7.2</v>
      </c>
      <c r="U141" s="497"/>
    </row>
    <row r="142" spans="16:21" s="444" customFormat="1" ht="15">
      <c r="P142" s="447"/>
      <c r="Q142" s="450">
        <v>90</v>
      </c>
      <c r="R142" s="450">
        <v>800</v>
      </c>
      <c r="S142" s="450">
        <v>1</v>
      </c>
      <c r="T142" s="443">
        <v>8.8000000000000007</v>
      </c>
      <c r="U142" s="497"/>
    </row>
    <row r="143" spans="16:21" s="444" customFormat="1" ht="15">
      <c r="P143" s="447"/>
      <c r="Q143" s="450">
        <v>90</v>
      </c>
      <c r="R143" s="450">
        <v>1000</v>
      </c>
      <c r="S143" s="450">
        <v>0.2</v>
      </c>
      <c r="T143" s="443">
        <v>1.5</v>
      </c>
      <c r="U143" s="497"/>
    </row>
    <row r="144" spans="16:21" s="444" customFormat="1" ht="15">
      <c r="P144" s="447"/>
      <c r="Q144" s="450">
        <v>90</v>
      </c>
      <c r="R144" s="450">
        <v>1000</v>
      </c>
      <c r="S144" s="450">
        <v>0.4</v>
      </c>
      <c r="T144" s="443">
        <v>2.7</v>
      </c>
      <c r="U144" s="497"/>
    </row>
    <row r="145" spans="16:21" s="444" customFormat="1" ht="15">
      <c r="P145" s="447"/>
      <c r="Q145" s="450">
        <v>90</v>
      </c>
      <c r="R145" s="450">
        <v>1000</v>
      </c>
      <c r="S145" s="450">
        <v>0.6</v>
      </c>
      <c r="T145" s="443">
        <v>3.8</v>
      </c>
      <c r="U145" s="497"/>
    </row>
    <row r="146" spans="16:21" s="444" customFormat="1" ht="15">
      <c r="P146" s="447"/>
      <c r="Q146" s="450">
        <v>90</v>
      </c>
      <c r="R146" s="450">
        <v>1000</v>
      </c>
      <c r="S146" s="450">
        <v>0.8</v>
      </c>
      <c r="T146" s="443">
        <v>4.5</v>
      </c>
      <c r="U146" s="497"/>
    </row>
    <row r="147" spans="16:21" s="444" customFormat="1" ht="15">
      <c r="P147" s="447"/>
      <c r="Q147" s="450">
        <v>90</v>
      </c>
      <c r="R147" s="450">
        <v>1000</v>
      </c>
      <c r="S147" s="450">
        <v>1</v>
      </c>
      <c r="T147" s="443">
        <v>5.4</v>
      </c>
      <c r="U147" s="497"/>
    </row>
    <row r="148" spans="16:21" s="444" customFormat="1" ht="15">
      <c r="P148" s="447"/>
      <c r="Q148" s="450">
        <v>90</v>
      </c>
      <c r="R148" s="450">
        <v>1200</v>
      </c>
      <c r="S148" s="450">
        <v>0.2</v>
      </c>
      <c r="T148" s="443">
        <v>1</v>
      </c>
      <c r="U148" s="497"/>
    </row>
    <row r="149" spans="16:21" s="444" customFormat="1" ht="15">
      <c r="P149" s="447"/>
      <c r="Q149" s="450">
        <v>90</v>
      </c>
      <c r="R149" s="450">
        <v>1200</v>
      </c>
      <c r="S149" s="450">
        <v>0.4</v>
      </c>
      <c r="T149" s="443">
        <v>1.8</v>
      </c>
      <c r="U149" s="497"/>
    </row>
    <row r="150" spans="16:21" s="444" customFormat="1" ht="15">
      <c r="P150" s="447"/>
      <c r="Q150" s="450">
        <v>90</v>
      </c>
      <c r="R150" s="450">
        <v>1200</v>
      </c>
      <c r="S150" s="450">
        <v>0.6</v>
      </c>
      <c r="T150" s="443">
        <v>2.6</v>
      </c>
      <c r="U150" s="497"/>
    </row>
    <row r="151" spans="16:21" s="444" customFormat="1" ht="15">
      <c r="P151" s="447"/>
      <c r="Q151" s="450">
        <v>90</v>
      </c>
      <c r="R151" s="450">
        <v>1200</v>
      </c>
      <c r="S151" s="450">
        <v>0.8</v>
      </c>
      <c r="T151" s="443">
        <v>3.1</v>
      </c>
      <c r="U151" s="497"/>
    </row>
    <row r="152" spans="16:21" s="444" customFormat="1" ht="15">
      <c r="P152" s="447"/>
      <c r="Q152" s="450">
        <v>90</v>
      </c>
      <c r="R152" s="450">
        <v>1200</v>
      </c>
      <c r="S152" s="450">
        <v>1</v>
      </c>
      <c r="T152" s="443">
        <v>3.8</v>
      </c>
      <c r="U152" s="497"/>
    </row>
    <row r="153" spans="16:21" s="444" customFormat="1" ht="15">
      <c r="P153" s="447"/>
      <c r="Q153" s="450">
        <v>90</v>
      </c>
      <c r="R153" s="450">
        <v>1400</v>
      </c>
      <c r="S153" s="450">
        <v>0.2</v>
      </c>
      <c r="T153" s="443">
        <v>0.7</v>
      </c>
      <c r="U153" s="497"/>
    </row>
    <row r="154" spans="16:21" s="444" customFormat="1" ht="15">
      <c r="P154" s="447"/>
      <c r="Q154" s="450">
        <v>90</v>
      </c>
      <c r="R154" s="450">
        <v>1400</v>
      </c>
      <c r="S154" s="450">
        <v>0.4</v>
      </c>
      <c r="T154" s="443">
        <v>1.2</v>
      </c>
      <c r="U154" s="497"/>
    </row>
    <row r="155" spans="16:21" s="444" customFormat="1" ht="15">
      <c r="P155" s="447"/>
      <c r="Q155" s="450">
        <v>90</v>
      </c>
      <c r="R155" s="450">
        <v>1400</v>
      </c>
      <c r="S155" s="450">
        <v>0.6</v>
      </c>
      <c r="T155" s="443">
        <v>1.7</v>
      </c>
      <c r="U155" s="497"/>
    </row>
    <row r="156" spans="16:21" s="444" customFormat="1" ht="15">
      <c r="P156" s="447"/>
      <c r="Q156" s="450">
        <v>90</v>
      </c>
      <c r="R156" s="450">
        <v>1400</v>
      </c>
      <c r="S156" s="450">
        <v>0.8</v>
      </c>
      <c r="T156" s="443">
        <v>2</v>
      </c>
      <c r="U156" s="497"/>
    </row>
    <row r="157" spans="16:21" s="444" customFormat="1" ht="15">
      <c r="P157" s="447"/>
      <c r="Q157" s="450">
        <v>90</v>
      </c>
      <c r="R157" s="450">
        <v>1400</v>
      </c>
      <c r="S157" s="450">
        <v>1</v>
      </c>
      <c r="T157" s="443">
        <v>2.4</v>
      </c>
      <c r="U157" s="497"/>
    </row>
    <row r="158" spans="16:21" s="444" customFormat="1" ht="15">
      <c r="P158" s="447"/>
      <c r="Q158" s="450">
        <v>90</v>
      </c>
      <c r="R158" s="450">
        <v>1600</v>
      </c>
      <c r="S158" s="450">
        <v>0.2</v>
      </c>
      <c r="T158" s="443">
        <v>0.6</v>
      </c>
      <c r="U158" s="497"/>
    </row>
    <row r="159" spans="16:21" s="444" customFormat="1" ht="15">
      <c r="P159" s="447"/>
      <c r="Q159" s="450">
        <v>90</v>
      </c>
      <c r="R159" s="450">
        <v>1600</v>
      </c>
      <c r="S159" s="450">
        <v>0.4</v>
      </c>
      <c r="T159" s="443">
        <v>0.9</v>
      </c>
      <c r="U159" s="497"/>
    </row>
    <row r="160" spans="16:21" s="444" customFormat="1" ht="15">
      <c r="P160" s="447"/>
      <c r="Q160" s="450">
        <v>90</v>
      </c>
      <c r="R160" s="450">
        <v>1600</v>
      </c>
      <c r="S160" s="450">
        <v>0.6</v>
      </c>
      <c r="T160" s="443">
        <v>1.2</v>
      </c>
      <c r="U160" s="497"/>
    </row>
    <row r="161" spans="16:21" s="444" customFormat="1" ht="15">
      <c r="P161" s="447"/>
      <c r="Q161" s="450">
        <v>90</v>
      </c>
      <c r="R161" s="450">
        <v>1600</v>
      </c>
      <c r="S161" s="450">
        <v>0.8</v>
      </c>
      <c r="T161" s="443">
        <v>1.3</v>
      </c>
      <c r="U161" s="497"/>
    </row>
    <row r="162" spans="16:21" s="444" customFormat="1" ht="15">
      <c r="P162" s="447"/>
      <c r="Q162" s="450">
        <v>90</v>
      </c>
      <c r="R162" s="450">
        <v>1600</v>
      </c>
      <c r="S162" s="450">
        <v>1</v>
      </c>
      <c r="T162" s="443">
        <v>1.5</v>
      </c>
      <c r="U162" s="497"/>
    </row>
    <row r="163" spans="16:21" s="444" customFormat="1" ht="15">
      <c r="P163" s="447"/>
      <c r="Q163" s="450">
        <v>90</v>
      </c>
      <c r="R163" s="450">
        <v>10000</v>
      </c>
      <c r="S163" s="450">
        <v>0.2</v>
      </c>
      <c r="T163" s="443">
        <v>0.6</v>
      </c>
      <c r="U163" s="497"/>
    </row>
    <row r="164" spans="16:21" s="444" customFormat="1" ht="15">
      <c r="P164" s="447"/>
      <c r="Q164" s="450">
        <v>90</v>
      </c>
      <c r="R164" s="450">
        <v>10000</v>
      </c>
      <c r="S164" s="450">
        <v>0.4</v>
      </c>
      <c r="T164" s="443">
        <v>0.9</v>
      </c>
      <c r="U164" s="497"/>
    </row>
    <row r="165" spans="16:21" s="444" customFormat="1" ht="15">
      <c r="P165" s="447"/>
      <c r="Q165" s="450">
        <v>90</v>
      </c>
      <c r="R165" s="450">
        <v>10000</v>
      </c>
      <c r="S165" s="450">
        <v>0.6</v>
      </c>
      <c r="T165" s="443">
        <v>1.2</v>
      </c>
      <c r="U165" s="497"/>
    </row>
    <row r="166" spans="16:21" s="444" customFormat="1" ht="15">
      <c r="P166" s="447"/>
      <c r="Q166" s="450">
        <v>90</v>
      </c>
      <c r="R166" s="450">
        <v>10000</v>
      </c>
      <c r="S166" s="450">
        <v>0.8</v>
      </c>
      <c r="T166" s="443">
        <v>1.3</v>
      </c>
      <c r="U166" s="497"/>
    </row>
    <row r="167" spans="16:21" s="444" customFormat="1" ht="15">
      <c r="P167" s="447"/>
      <c r="Q167" s="450">
        <v>90</v>
      </c>
      <c r="R167" s="450">
        <v>10000</v>
      </c>
      <c r="S167" s="450">
        <v>1</v>
      </c>
      <c r="T167" s="443">
        <v>1.5</v>
      </c>
      <c r="U167" s="497"/>
    </row>
    <row r="168" spans="16:21" s="444" customFormat="1" ht="15">
      <c r="P168" s="447"/>
      <c r="Q168" s="450">
        <v>100</v>
      </c>
      <c r="R168" s="450">
        <v>0</v>
      </c>
      <c r="S168" s="450">
        <v>0.2</v>
      </c>
      <c r="T168" s="443">
        <v>8.4</v>
      </c>
      <c r="U168" s="497"/>
    </row>
    <row r="169" spans="16:21" s="444" customFormat="1" ht="15">
      <c r="P169" s="447"/>
      <c r="Q169" s="450">
        <v>100</v>
      </c>
      <c r="R169" s="450">
        <v>0</v>
      </c>
      <c r="S169" s="450">
        <v>0.4</v>
      </c>
      <c r="T169" s="443">
        <v>14.9</v>
      </c>
      <c r="U169" s="497"/>
    </row>
    <row r="170" spans="16:21" s="444" customFormat="1" ht="15">
      <c r="P170" s="447"/>
      <c r="Q170" s="450">
        <v>100</v>
      </c>
      <c r="R170" s="450">
        <v>0</v>
      </c>
      <c r="S170" s="450">
        <v>0.6</v>
      </c>
      <c r="T170" s="443">
        <v>20.9</v>
      </c>
      <c r="U170" s="497"/>
    </row>
    <row r="171" spans="16:21" s="444" customFormat="1" ht="15">
      <c r="P171" s="447"/>
      <c r="Q171" s="450">
        <v>100</v>
      </c>
      <c r="R171" s="450">
        <v>0</v>
      </c>
      <c r="S171" s="450">
        <v>0.8</v>
      </c>
      <c r="T171" s="443">
        <v>22.8</v>
      </c>
      <c r="U171" s="497"/>
    </row>
    <row r="172" spans="16:21" s="444" customFormat="1" ht="15">
      <c r="P172" s="447"/>
      <c r="Q172" s="450">
        <v>100</v>
      </c>
      <c r="R172" s="450">
        <v>0</v>
      </c>
      <c r="S172" s="450">
        <v>1</v>
      </c>
      <c r="T172" s="443">
        <v>26.6</v>
      </c>
      <c r="U172" s="497"/>
    </row>
    <row r="173" spans="16:21" s="444" customFormat="1" ht="15">
      <c r="P173" s="447"/>
      <c r="Q173" s="450">
        <v>100</v>
      </c>
      <c r="R173" s="450">
        <v>100</v>
      </c>
      <c r="S173" s="450">
        <v>0.2</v>
      </c>
      <c r="T173" s="443">
        <v>8.4</v>
      </c>
      <c r="U173" s="497"/>
    </row>
    <row r="174" spans="16:21" s="444" customFormat="1" ht="15">
      <c r="P174" s="447"/>
      <c r="Q174" s="450">
        <v>100</v>
      </c>
      <c r="R174" s="450">
        <v>100</v>
      </c>
      <c r="S174" s="450">
        <v>0.4</v>
      </c>
      <c r="T174" s="443">
        <v>14.9</v>
      </c>
      <c r="U174" s="497"/>
    </row>
    <row r="175" spans="16:21" s="444" customFormat="1" ht="15">
      <c r="P175" s="447"/>
      <c r="Q175" s="450">
        <v>100</v>
      </c>
      <c r="R175" s="450">
        <v>100</v>
      </c>
      <c r="S175" s="450">
        <v>0.6</v>
      </c>
      <c r="T175" s="443">
        <v>20.9</v>
      </c>
      <c r="U175" s="497"/>
    </row>
    <row r="176" spans="16:21" s="444" customFormat="1" ht="15">
      <c r="P176" s="447"/>
      <c r="Q176" s="450">
        <v>100</v>
      </c>
      <c r="R176" s="450">
        <v>100</v>
      </c>
      <c r="S176" s="450">
        <v>0.8</v>
      </c>
      <c r="T176" s="443">
        <v>22.8</v>
      </c>
      <c r="U176" s="497"/>
    </row>
    <row r="177" spans="16:21" s="444" customFormat="1" ht="15">
      <c r="P177" s="447"/>
      <c r="Q177" s="450">
        <v>100</v>
      </c>
      <c r="R177" s="450">
        <v>100</v>
      </c>
      <c r="S177" s="450">
        <v>1</v>
      </c>
      <c r="T177" s="443">
        <v>26.6</v>
      </c>
      <c r="U177" s="497"/>
    </row>
    <row r="178" spans="16:21" s="444" customFormat="1" ht="15">
      <c r="P178" s="447"/>
      <c r="Q178" s="450">
        <v>100</v>
      </c>
      <c r="R178" s="450">
        <v>200</v>
      </c>
      <c r="S178" s="450">
        <v>0.2</v>
      </c>
      <c r="T178" s="443">
        <v>11.5</v>
      </c>
      <c r="U178" s="497"/>
    </row>
    <row r="179" spans="16:21" s="444" customFormat="1" ht="15">
      <c r="P179" s="447"/>
      <c r="Q179" s="450">
        <v>100</v>
      </c>
      <c r="R179" s="450">
        <v>200</v>
      </c>
      <c r="S179" s="450">
        <v>0.4</v>
      </c>
      <c r="T179" s="443">
        <v>18.2</v>
      </c>
      <c r="U179" s="497"/>
    </row>
    <row r="180" spans="16:21" s="444" customFormat="1" ht="15">
      <c r="P180" s="447"/>
      <c r="Q180" s="450">
        <v>100</v>
      </c>
      <c r="R180" s="450">
        <v>200</v>
      </c>
      <c r="S180" s="450">
        <v>0.6</v>
      </c>
      <c r="T180" s="443">
        <v>24.1</v>
      </c>
      <c r="U180" s="497"/>
    </row>
    <row r="181" spans="16:21" s="444" customFormat="1" ht="15">
      <c r="P181" s="447"/>
      <c r="Q181" s="450">
        <v>100</v>
      </c>
      <c r="R181" s="450">
        <v>200</v>
      </c>
      <c r="S181" s="450">
        <v>0.8</v>
      </c>
      <c r="T181" s="443">
        <v>26.2</v>
      </c>
      <c r="U181" s="497"/>
    </row>
    <row r="182" spans="16:21" s="444" customFormat="1" ht="15">
      <c r="P182" s="447"/>
      <c r="Q182" s="450">
        <v>100</v>
      </c>
      <c r="R182" s="450">
        <v>200</v>
      </c>
      <c r="S182" s="450">
        <v>1</v>
      </c>
      <c r="T182" s="443">
        <v>29.7</v>
      </c>
      <c r="U182" s="497"/>
    </row>
    <row r="183" spans="16:21" s="444" customFormat="1" ht="15">
      <c r="P183" s="447"/>
      <c r="Q183" s="450">
        <v>100</v>
      </c>
      <c r="R183" s="450">
        <v>400</v>
      </c>
      <c r="S183" s="450">
        <v>0.2</v>
      </c>
      <c r="T183" s="443">
        <v>8.6</v>
      </c>
      <c r="U183" s="497"/>
    </row>
    <row r="184" spans="16:21" s="444" customFormat="1" ht="15">
      <c r="P184" s="447"/>
      <c r="Q184" s="450">
        <v>100</v>
      </c>
      <c r="R184" s="450">
        <v>400</v>
      </c>
      <c r="S184" s="450">
        <v>0.4</v>
      </c>
      <c r="T184" s="443">
        <v>12.1</v>
      </c>
      <c r="U184" s="497"/>
    </row>
    <row r="185" spans="16:21" s="444" customFormat="1" ht="15">
      <c r="P185" s="447"/>
      <c r="Q185" s="450">
        <v>100</v>
      </c>
      <c r="R185" s="450">
        <v>400</v>
      </c>
      <c r="S185" s="450">
        <v>0.6</v>
      </c>
      <c r="T185" s="443">
        <v>14.8</v>
      </c>
      <c r="U185" s="497"/>
    </row>
    <row r="186" spans="16:21" s="444" customFormat="1" ht="15">
      <c r="P186" s="447"/>
      <c r="Q186" s="450">
        <v>100</v>
      </c>
      <c r="R186" s="450">
        <v>400</v>
      </c>
      <c r="S186" s="450">
        <v>0.8</v>
      </c>
      <c r="T186" s="443">
        <v>15.9</v>
      </c>
      <c r="U186" s="497"/>
    </row>
    <row r="187" spans="16:21" s="444" customFormat="1" ht="15">
      <c r="P187" s="447"/>
      <c r="Q187" s="450">
        <v>100</v>
      </c>
      <c r="R187" s="450">
        <v>400</v>
      </c>
      <c r="S187" s="450">
        <v>1</v>
      </c>
      <c r="T187" s="443">
        <v>18.100000000000001</v>
      </c>
      <c r="U187" s="497"/>
    </row>
    <row r="188" spans="16:21" s="444" customFormat="1" ht="15">
      <c r="P188" s="447"/>
      <c r="Q188" s="450">
        <v>100</v>
      </c>
      <c r="R188" s="450">
        <v>600</v>
      </c>
      <c r="S188" s="450">
        <v>0.2</v>
      </c>
      <c r="T188" s="443">
        <v>5.0999999999999996</v>
      </c>
      <c r="U188" s="497"/>
    </row>
    <row r="189" spans="16:21" s="444" customFormat="1" ht="15">
      <c r="P189" s="447"/>
      <c r="Q189" s="450">
        <v>100</v>
      </c>
      <c r="R189" s="450">
        <v>600</v>
      </c>
      <c r="S189" s="450">
        <v>0.4</v>
      </c>
      <c r="T189" s="443">
        <v>7.5</v>
      </c>
      <c r="U189" s="497"/>
    </row>
    <row r="190" spans="16:21" s="444" customFormat="1" ht="15">
      <c r="P190" s="447"/>
      <c r="Q190" s="450">
        <v>100</v>
      </c>
      <c r="R190" s="450">
        <v>600</v>
      </c>
      <c r="S190" s="450">
        <v>0.6</v>
      </c>
      <c r="T190" s="443">
        <v>9.6</v>
      </c>
      <c r="U190" s="497"/>
    </row>
    <row r="191" spans="16:21" s="444" customFormat="1" ht="15">
      <c r="P191" s="447"/>
      <c r="Q191" s="450">
        <v>100</v>
      </c>
      <c r="R191" s="450">
        <v>600</v>
      </c>
      <c r="S191" s="450">
        <v>0.8</v>
      </c>
      <c r="T191" s="443">
        <v>10.6</v>
      </c>
      <c r="U191" s="497"/>
    </row>
    <row r="192" spans="16:21" s="444" customFormat="1" ht="15">
      <c r="P192" s="447"/>
      <c r="Q192" s="450">
        <v>100</v>
      </c>
      <c r="R192" s="450">
        <v>600</v>
      </c>
      <c r="S192" s="450">
        <v>1</v>
      </c>
      <c r="T192" s="443">
        <v>12.1</v>
      </c>
      <c r="U192" s="497"/>
    </row>
    <row r="193" spans="16:21" s="444" customFormat="1" ht="15">
      <c r="P193" s="447"/>
      <c r="Q193" s="450">
        <v>100</v>
      </c>
      <c r="R193" s="450">
        <v>800</v>
      </c>
      <c r="S193" s="450">
        <v>0.2</v>
      </c>
      <c r="T193" s="443">
        <v>2.8</v>
      </c>
      <c r="U193" s="497"/>
    </row>
    <row r="194" spans="16:21" s="444" customFormat="1" ht="15">
      <c r="P194" s="447"/>
      <c r="Q194" s="450">
        <v>100</v>
      </c>
      <c r="R194" s="450">
        <v>800</v>
      </c>
      <c r="S194" s="450">
        <v>0.4</v>
      </c>
      <c r="T194" s="443">
        <v>4.5</v>
      </c>
      <c r="U194" s="497"/>
    </row>
    <row r="195" spans="16:21" s="444" customFormat="1" ht="15">
      <c r="P195" s="447"/>
      <c r="Q195" s="450">
        <v>100</v>
      </c>
      <c r="R195" s="450">
        <v>800</v>
      </c>
      <c r="S195" s="450">
        <v>0.6</v>
      </c>
      <c r="T195" s="443">
        <v>5.9</v>
      </c>
      <c r="U195" s="497"/>
    </row>
    <row r="196" spans="16:21" s="444" customFormat="1" ht="15">
      <c r="P196" s="447"/>
      <c r="Q196" s="450">
        <v>100</v>
      </c>
      <c r="R196" s="450">
        <v>800</v>
      </c>
      <c r="S196" s="450">
        <v>0.8</v>
      </c>
      <c r="T196" s="443">
        <v>6.7</v>
      </c>
      <c r="U196" s="497"/>
    </row>
    <row r="197" spans="16:21" s="444" customFormat="1" ht="15">
      <c r="P197" s="447"/>
      <c r="Q197" s="450">
        <v>100</v>
      </c>
      <c r="R197" s="450">
        <v>800</v>
      </c>
      <c r="S197" s="450">
        <v>1</v>
      </c>
      <c r="T197" s="443">
        <v>7.7</v>
      </c>
      <c r="U197" s="497"/>
    </row>
    <row r="198" spans="16:21" s="444" customFormat="1" ht="15">
      <c r="P198" s="447"/>
      <c r="Q198" s="450">
        <v>100</v>
      </c>
      <c r="R198" s="450">
        <v>1000</v>
      </c>
      <c r="S198" s="450">
        <v>0.2</v>
      </c>
      <c r="T198" s="443">
        <v>1.6</v>
      </c>
      <c r="U198" s="497"/>
    </row>
    <row r="199" spans="16:21" s="444" customFormat="1" ht="15">
      <c r="P199" s="447"/>
      <c r="Q199" s="450">
        <v>100</v>
      </c>
      <c r="R199" s="450">
        <v>1000</v>
      </c>
      <c r="S199" s="450">
        <v>0.4</v>
      </c>
      <c r="T199" s="443">
        <v>2.8</v>
      </c>
      <c r="U199" s="497"/>
    </row>
    <row r="200" spans="16:21" s="444" customFormat="1" ht="15">
      <c r="P200" s="447"/>
      <c r="Q200" s="450">
        <v>100</v>
      </c>
      <c r="R200" s="450">
        <v>1000</v>
      </c>
      <c r="S200" s="450">
        <v>0.6</v>
      </c>
      <c r="T200" s="443">
        <v>3.7</v>
      </c>
      <c r="U200" s="497"/>
    </row>
    <row r="201" spans="16:21" s="444" customFormat="1" ht="15">
      <c r="P201" s="447"/>
      <c r="Q201" s="450">
        <v>100</v>
      </c>
      <c r="R201" s="450">
        <v>1000</v>
      </c>
      <c r="S201" s="450">
        <v>0.8</v>
      </c>
      <c r="T201" s="443">
        <v>4.3</v>
      </c>
      <c r="U201" s="497"/>
    </row>
    <row r="202" spans="16:21" s="444" customFormat="1" ht="15">
      <c r="P202" s="447"/>
      <c r="Q202" s="450">
        <v>100</v>
      </c>
      <c r="R202" s="450">
        <v>1000</v>
      </c>
      <c r="S202" s="450">
        <v>1</v>
      </c>
      <c r="T202" s="443">
        <v>4.9000000000000004</v>
      </c>
      <c r="U202" s="497"/>
    </row>
    <row r="203" spans="16:21" s="444" customFormat="1" ht="15">
      <c r="P203" s="447"/>
      <c r="Q203" s="450">
        <v>100</v>
      </c>
      <c r="R203" s="450">
        <v>1200</v>
      </c>
      <c r="S203" s="450">
        <v>0.2</v>
      </c>
      <c r="T203" s="443">
        <v>1.2</v>
      </c>
      <c r="U203" s="497"/>
    </row>
    <row r="204" spans="16:21" s="444" customFormat="1" ht="15">
      <c r="P204" s="447"/>
      <c r="Q204" s="450">
        <v>100</v>
      </c>
      <c r="R204" s="450">
        <v>1200</v>
      </c>
      <c r="S204" s="450">
        <v>0.4</v>
      </c>
      <c r="T204" s="443">
        <v>1.9</v>
      </c>
      <c r="U204" s="497"/>
    </row>
    <row r="205" spans="16:21" s="444" customFormat="1" ht="15">
      <c r="P205" s="447"/>
      <c r="Q205" s="450">
        <v>100</v>
      </c>
      <c r="R205" s="450">
        <v>1200</v>
      </c>
      <c r="S205" s="450">
        <v>0.6</v>
      </c>
      <c r="T205" s="443">
        <v>2.6</v>
      </c>
      <c r="U205" s="497"/>
    </row>
    <row r="206" spans="16:21" s="444" customFormat="1" ht="15">
      <c r="P206" s="447"/>
      <c r="Q206" s="450">
        <v>100</v>
      </c>
      <c r="R206" s="450">
        <v>1200</v>
      </c>
      <c r="S206" s="450">
        <v>0.8</v>
      </c>
      <c r="T206" s="443">
        <v>3</v>
      </c>
      <c r="U206" s="497"/>
    </row>
    <row r="207" spans="16:21" s="444" customFormat="1" ht="15">
      <c r="P207" s="447"/>
      <c r="Q207" s="450">
        <v>100</v>
      </c>
      <c r="R207" s="450">
        <v>1200</v>
      </c>
      <c r="S207" s="450">
        <v>1</v>
      </c>
      <c r="T207" s="443">
        <v>3.4</v>
      </c>
      <c r="U207" s="497"/>
    </row>
    <row r="208" spans="16:21" s="444" customFormat="1" ht="15">
      <c r="P208" s="447"/>
      <c r="Q208" s="450">
        <v>100</v>
      </c>
      <c r="R208" s="450">
        <v>1400</v>
      </c>
      <c r="S208" s="450">
        <v>0.2</v>
      </c>
      <c r="T208" s="443">
        <v>0.8</v>
      </c>
      <c r="U208" s="497"/>
    </row>
    <row r="209" spans="16:21" s="444" customFormat="1" ht="15">
      <c r="P209" s="447"/>
      <c r="Q209" s="450">
        <v>100</v>
      </c>
      <c r="R209" s="450">
        <v>1400</v>
      </c>
      <c r="S209" s="450">
        <v>0.4</v>
      </c>
      <c r="T209" s="443">
        <v>1.3</v>
      </c>
      <c r="U209" s="497"/>
    </row>
    <row r="210" spans="16:21" s="444" customFormat="1" ht="15">
      <c r="P210" s="447"/>
      <c r="Q210" s="450">
        <v>100</v>
      </c>
      <c r="R210" s="450">
        <v>1400</v>
      </c>
      <c r="S210" s="450">
        <v>0.6</v>
      </c>
      <c r="T210" s="443">
        <v>1.7</v>
      </c>
      <c r="U210" s="497"/>
    </row>
    <row r="211" spans="16:21" s="444" customFormat="1" ht="15">
      <c r="P211" s="447"/>
      <c r="Q211" s="450">
        <v>100</v>
      </c>
      <c r="R211" s="450">
        <v>1400</v>
      </c>
      <c r="S211" s="450">
        <v>0.8</v>
      </c>
      <c r="T211" s="443">
        <v>2</v>
      </c>
      <c r="U211" s="497"/>
    </row>
    <row r="212" spans="16:21" s="444" customFormat="1" ht="15">
      <c r="P212" s="447"/>
      <c r="Q212" s="450">
        <v>100</v>
      </c>
      <c r="R212" s="450">
        <v>1400</v>
      </c>
      <c r="S212" s="450">
        <v>1</v>
      </c>
      <c r="T212" s="443">
        <v>2.2999999999999998</v>
      </c>
      <c r="U212" s="497"/>
    </row>
    <row r="213" spans="16:21" s="444" customFormat="1" ht="15">
      <c r="P213" s="447"/>
      <c r="Q213" s="450">
        <v>100</v>
      </c>
      <c r="R213" s="450">
        <v>1600</v>
      </c>
      <c r="S213" s="450">
        <v>0.2</v>
      </c>
      <c r="T213" s="443">
        <v>0.6</v>
      </c>
      <c r="U213" s="497"/>
    </row>
    <row r="214" spans="16:21" s="444" customFormat="1" ht="15">
      <c r="P214" s="447"/>
      <c r="Q214" s="450">
        <v>100</v>
      </c>
      <c r="R214" s="450">
        <v>1600</v>
      </c>
      <c r="S214" s="450">
        <v>0.4</v>
      </c>
      <c r="T214" s="443">
        <v>0.9</v>
      </c>
      <c r="U214" s="497"/>
    </row>
    <row r="215" spans="16:21" s="444" customFormat="1" ht="15">
      <c r="P215" s="447"/>
      <c r="Q215" s="450">
        <v>100</v>
      </c>
      <c r="R215" s="450">
        <v>1600</v>
      </c>
      <c r="S215" s="450">
        <v>0.6</v>
      </c>
      <c r="T215" s="443">
        <v>1.1000000000000001</v>
      </c>
      <c r="U215" s="497"/>
    </row>
    <row r="216" spans="16:21" s="444" customFormat="1" ht="15">
      <c r="P216" s="447"/>
      <c r="Q216" s="450">
        <v>100</v>
      </c>
      <c r="R216" s="450">
        <v>1600</v>
      </c>
      <c r="S216" s="450">
        <v>0.8</v>
      </c>
      <c r="T216" s="443">
        <v>1.2</v>
      </c>
      <c r="U216" s="497"/>
    </row>
    <row r="217" spans="16:21" s="444" customFormat="1" ht="15">
      <c r="P217" s="447"/>
      <c r="Q217" s="450">
        <v>100</v>
      </c>
      <c r="R217" s="450">
        <v>1600</v>
      </c>
      <c r="S217" s="450">
        <v>1</v>
      </c>
      <c r="T217" s="443">
        <v>1.5</v>
      </c>
      <c r="U217" s="497"/>
    </row>
    <row r="218" spans="16:21" s="444" customFormat="1" ht="15">
      <c r="P218" s="447"/>
      <c r="Q218" s="450">
        <v>100</v>
      </c>
      <c r="R218" s="450">
        <v>10000</v>
      </c>
      <c r="S218" s="450">
        <v>0.2</v>
      </c>
      <c r="T218" s="443">
        <v>0.6</v>
      </c>
      <c r="U218" s="497"/>
    </row>
    <row r="219" spans="16:21" s="444" customFormat="1" ht="15">
      <c r="P219" s="447"/>
      <c r="Q219" s="450">
        <v>100</v>
      </c>
      <c r="R219" s="450">
        <v>10000</v>
      </c>
      <c r="S219" s="450">
        <v>0.4</v>
      </c>
      <c r="T219" s="443">
        <v>0.9</v>
      </c>
      <c r="U219" s="497"/>
    </row>
    <row r="220" spans="16:21" s="444" customFormat="1" ht="15">
      <c r="P220" s="447"/>
      <c r="Q220" s="450">
        <v>100</v>
      </c>
      <c r="R220" s="450">
        <v>10000</v>
      </c>
      <c r="S220" s="450">
        <v>0.6</v>
      </c>
      <c r="T220" s="443">
        <v>1.1000000000000001</v>
      </c>
      <c r="U220" s="497"/>
    </row>
    <row r="221" spans="16:21" s="444" customFormat="1" ht="15">
      <c r="P221" s="447"/>
      <c r="Q221" s="450">
        <v>100</v>
      </c>
      <c r="R221" s="450">
        <v>10000</v>
      </c>
      <c r="S221" s="450">
        <v>0.8</v>
      </c>
      <c r="T221" s="443">
        <v>1.2</v>
      </c>
      <c r="U221" s="497"/>
    </row>
    <row r="222" spans="16:21" s="444" customFormat="1" ht="15">
      <c r="P222" s="447"/>
      <c r="Q222" s="450">
        <v>100</v>
      </c>
      <c r="R222" s="450">
        <v>10000</v>
      </c>
      <c r="S222" s="450">
        <v>1</v>
      </c>
      <c r="T222" s="443">
        <v>1.5</v>
      </c>
      <c r="U222" s="497"/>
    </row>
    <row r="223" spans="16:21" s="444" customFormat="1" ht="15">
      <c r="P223" s="447"/>
      <c r="Q223" s="450">
        <v>110</v>
      </c>
      <c r="R223" s="450">
        <v>0</v>
      </c>
      <c r="S223" s="450">
        <v>0.2</v>
      </c>
      <c r="T223" s="443">
        <v>10.1</v>
      </c>
      <c r="U223" s="497"/>
    </row>
    <row r="224" spans="16:21" s="444" customFormat="1" ht="15">
      <c r="P224" s="447"/>
      <c r="Q224" s="450">
        <v>110</v>
      </c>
      <c r="R224" s="450">
        <v>0</v>
      </c>
      <c r="S224" s="450">
        <v>0.4</v>
      </c>
      <c r="T224" s="443">
        <v>17.2</v>
      </c>
      <c r="U224" s="497"/>
    </row>
    <row r="225" spans="16:21" s="444" customFormat="1" ht="15">
      <c r="P225" s="447"/>
      <c r="Q225" s="450">
        <v>110</v>
      </c>
      <c r="R225" s="450">
        <v>0</v>
      </c>
      <c r="S225" s="450">
        <v>0.6</v>
      </c>
      <c r="T225" s="443">
        <v>20.2</v>
      </c>
      <c r="U225" s="497"/>
    </row>
    <row r="226" spans="16:21" s="444" customFormat="1" ht="15">
      <c r="P226" s="447"/>
      <c r="Q226" s="450">
        <v>110</v>
      </c>
      <c r="R226" s="450">
        <v>0</v>
      </c>
      <c r="S226" s="450">
        <v>0.8</v>
      </c>
      <c r="T226" s="443">
        <v>21</v>
      </c>
      <c r="U226" s="497"/>
    </row>
    <row r="227" spans="16:21" s="444" customFormat="1" ht="15">
      <c r="P227" s="447"/>
      <c r="Q227" s="450">
        <v>110</v>
      </c>
      <c r="R227" s="450">
        <v>0</v>
      </c>
      <c r="S227" s="450">
        <v>1</v>
      </c>
      <c r="T227" s="443">
        <v>21.8</v>
      </c>
      <c r="U227" s="497"/>
    </row>
    <row r="228" spans="16:21" s="444" customFormat="1" ht="15">
      <c r="P228" s="447"/>
      <c r="Q228" s="450">
        <v>110</v>
      </c>
      <c r="R228" s="450">
        <v>100</v>
      </c>
      <c r="S228" s="450">
        <v>0.2</v>
      </c>
      <c r="T228" s="443">
        <v>10.1</v>
      </c>
      <c r="U228" s="497"/>
    </row>
    <row r="229" spans="16:21" s="444" customFormat="1" ht="15">
      <c r="P229" s="447"/>
      <c r="Q229" s="450">
        <v>110</v>
      </c>
      <c r="R229" s="450">
        <v>100</v>
      </c>
      <c r="S229" s="450">
        <v>0.4</v>
      </c>
      <c r="T229" s="443">
        <v>17.2</v>
      </c>
      <c r="U229" s="497"/>
    </row>
    <row r="230" spans="16:21" s="444" customFormat="1" ht="15">
      <c r="P230" s="447"/>
      <c r="Q230" s="450">
        <v>110</v>
      </c>
      <c r="R230" s="450">
        <v>100</v>
      </c>
      <c r="S230" s="450">
        <v>0.6</v>
      </c>
      <c r="T230" s="443">
        <v>20.2</v>
      </c>
      <c r="U230" s="497"/>
    </row>
    <row r="231" spans="16:21" s="444" customFormat="1" ht="15">
      <c r="P231" s="447"/>
      <c r="Q231" s="450">
        <v>110</v>
      </c>
      <c r="R231" s="450">
        <v>100</v>
      </c>
      <c r="S231" s="450">
        <v>0.8</v>
      </c>
      <c r="T231" s="443">
        <v>21</v>
      </c>
      <c r="U231" s="497"/>
    </row>
    <row r="232" spans="16:21" s="444" customFormat="1" ht="15">
      <c r="P232" s="447"/>
      <c r="Q232" s="450">
        <v>110</v>
      </c>
      <c r="R232" s="450">
        <v>100</v>
      </c>
      <c r="S232" s="450">
        <v>1</v>
      </c>
      <c r="T232" s="443">
        <v>21.8</v>
      </c>
      <c r="U232" s="497"/>
    </row>
    <row r="233" spans="16:21" s="444" customFormat="1" ht="15">
      <c r="P233" s="447"/>
      <c r="Q233" s="450">
        <v>110</v>
      </c>
      <c r="R233" s="450">
        <v>200</v>
      </c>
      <c r="S233" s="450">
        <v>0.2</v>
      </c>
      <c r="T233" s="443">
        <v>12.4</v>
      </c>
      <c r="U233" s="497"/>
    </row>
    <row r="234" spans="16:21" s="444" customFormat="1" ht="15">
      <c r="P234" s="447"/>
      <c r="Q234" s="450">
        <v>110</v>
      </c>
      <c r="R234" s="450">
        <v>200</v>
      </c>
      <c r="S234" s="450">
        <v>0.4</v>
      </c>
      <c r="T234" s="443">
        <v>19</v>
      </c>
      <c r="U234" s="497"/>
    </row>
    <row r="235" spans="16:21" s="444" customFormat="1" ht="15">
      <c r="P235" s="447"/>
      <c r="Q235" s="450">
        <v>110</v>
      </c>
      <c r="R235" s="450">
        <v>200</v>
      </c>
      <c r="S235" s="450">
        <v>0.6</v>
      </c>
      <c r="T235" s="443">
        <v>22.7</v>
      </c>
      <c r="U235" s="497"/>
    </row>
    <row r="236" spans="16:21" s="444" customFormat="1" ht="15">
      <c r="P236" s="447"/>
      <c r="Q236" s="450">
        <v>110</v>
      </c>
      <c r="R236" s="450">
        <v>200</v>
      </c>
      <c r="S236" s="450">
        <v>0.8</v>
      </c>
      <c r="T236" s="443">
        <v>23.8</v>
      </c>
      <c r="U236" s="497"/>
    </row>
    <row r="237" spans="16:21" s="444" customFormat="1" ht="15">
      <c r="P237" s="447"/>
      <c r="Q237" s="450">
        <v>110</v>
      </c>
      <c r="R237" s="450">
        <v>200</v>
      </c>
      <c r="S237" s="450">
        <v>1</v>
      </c>
      <c r="T237" s="443">
        <v>24.8</v>
      </c>
      <c r="U237" s="497"/>
    </row>
    <row r="238" spans="16:21" s="444" customFormat="1" ht="15">
      <c r="P238" s="447"/>
      <c r="Q238" s="450">
        <v>110</v>
      </c>
      <c r="R238" s="450">
        <v>400</v>
      </c>
      <c r="S238" s="450">
        <v>0.2</v>
      </c>
      <c r="T238" s="443">
        <v>9</v>
      </c>
      <c r="U238" s="497"/>
    </row>
    <row r="239" spans="16:21" s="444" customFormat="1" ht="15">
      <c r="P239" s="447"/>
      <c r="Q239" s="450">
        <v>110</v>
      </c>
      <c r="R239" s="450">
        <v>400</v>
      </c>
      <c r="S239" s="450">
        <v>0.4</v>
      </c>
      <c r="T239" s="443">
        <v>12.3</v>
      </c>
      <c r="U239" s="497"/>
    </row>
    <row r="240" spans="16:21" s="444" customFormat="1" ht="15">
      <c r="P240" s="447"/>
      <c r="Q240" s="450">
        <v>110</v>
      </c>
      <c r="R240" s="450">
        <v>400</v>
      </c>
      <c r="S240" s="450">
        <v>0.6</v>
      </c>
      <c r="T240" s="443">
        <v>14.1</v>
      </c>
      <c r="U240" s="497"/>
    </row>
    <row r="241" spans="16:21" s="444" customFormat="1" ht="15">
      <c r="P241" s="447"/>
      <c r="Q241" s="450">
        <v>110</v>
      </c>
      <c r="R241" s="450">
        <v>400</v>
      </c>
      <c r="S241" s="450">
        <v>0.8</v>
      </c>
      <c r="T241" s="443">
        <v>14.4</v>
      </c>
      <c r="U241" s="497"/>
    </row>
    <row r="242" spans="16:21" s="444" customFormat="1" ht="15">
      <c r="P242" s="447"/>
      <c r="Q242" s="450">
        <v>110</v>
      </c>
      <c r="R242" s="450">
        <v>400</v>
      </c>
      <c r="S242" s="450">
        <v>1</v>
      </c>
      <c r="T242" s="443">
        <v>15.4</v>
      </c>
      <c r="U242" s="497"/>
    </row>
    <row r="243" spans="16:21" s="444" customFormat="1" ht="15">
      <c r="P243" s="447"/>
      <c r="Q243" s="450">
        <v>110</v>
      </c>
      <c r="R243" s="450">
        <v>600</v>
      </c>
      <c r="S243" s="450">
        <v>0.2</v>
      </c>
      <c r="T243" s="443">
        <v>5.3</v>
      </c>
      <c r="U243" s="497"/>
    </row>
    <row r="244" spans="16:21" s="444" customFormat="1" ht="15">
      <c r="P244" s="447"/>
      <c r="Q244" s="450">
        <v>110</v>
      </c>
      <c r="R244" s="450">
        <v>600</v>
      </c>
      <c r="S244" s="450">
        <v>0.4</v>
      </c>
      <c r="T244" s="443">
        <v>7.7</v>
      </c>
      <c r="U244" s="497"/>
    </row>
    <row r="245" spans="16:21" s="444" customFormat="1" ht="15">
      <c r="P245" s="447"/>
      <c r="Q245" s="450">
        <v>110</v>
      </c>
      <c r="R245" s="450">
        <v>600</v>
      </c>
      <c r="S245" s="450">
        <v>0.6</v>
      </c>
      <c r="T245" s="443">
        <v>9.1999999999999993</v>
      </c>
      <c r="U245" s="497"/>
    </row>
    <row r="246" spans="16:21" s="444" customFormat="1" ht="15">
      <c r="P246" s="447"/>
      <c r="Q246" s="450">
        <v>110</v>
      </c>
      <c r="R246" s="450">
        <v>600</v>
      </c>
      <c r="S246" s="450">
        <v>0.8</v>
      </c>
      <c r="T246" s="443">
        <v>9.6999999999999993</v>
      </c>
      <c r="U246" s="497"/>
    </row>
    <row r="247" spans="16:21" s="444" customFormat="1" ht="15">
      <c r="P247" s="447"/>
      <c r="Q247" s="450">
        <v>110</v>
      </c>
      <c r="R247" s="450">
        <v>600</v>
      </c>
      <c r="S247" s="450">
        <v>1</v>
      </c>
      <c r="T247" s="443">
        <v>10.4</v>
      </c>
      <c r="U247" s="497"/>
    </row>
    <row r="248" spans="16:21" s="444" customFormat="1" ht="15">
      <c r="P248" s="447"/>
      <c r="Q248" s="450">
        <v>110</v>
      </c>
      <c r="R248" s="450">
        <v>800</v>
      </c>
      <c r="S248" s="450">
        <v>0.2</v>
      </c>
      <c r="T248" s="443">
        <v>3</v>
      </c>
      <c r="U248" s="497"/>
    </row>
    <row r="249" spans="16:21" s="444" customFormat="1" ht="15">
      <c r="P249" s="447"/>
      <c r="Q249" s="450">
        <v>110</v>
      </c>
      <c r="R249" s="450">
        <v>800</v>
      </c>
      <c r="S249" s="450">
        <v>0.4</v>
      </c>
      <c r="T249" s="443">
        <v>4.5999999999999996</v>
      </c>
      <c r="U249" s="497"/>
    </row>
    <row r="250" spans="16:21" s="444" customFormat="1" ht="15">
      <c r="P250" s="447"/>
      <c r="Q250" s="450">
        <v>110</v>
      </c>
      <c r="R250" s="450">
        <v>800</v>
      </c>
      <c r="S250" s="450">
        <v>0.6</v>
      </c>
      <c r="T250" s="443">
        <v>5.7</v>
      </c>
      <c r="U250" s="497"/>
    </row>
    <row r="251" spans="16:21" s="444" customFormat="1" ht="15">
      <c r="P251" s="447"/>
      <c r="Q251" s="450">
        <v>110</v>
      </c>
      <c r="R251" s="450">
        <v>800</v>
      </c>
      <c r="S251" s="450">
        <v>0.8</v>
      </c>
      <c r="T251" s="443">
        <v>6.2</v>
      </c>
      <c r="U251" s="497"/>
    </row>
    <row r="252" spans="16:21" s="444" customFormat="1" ht="15">
      <c r="P252" s="447"/>
      <c r="Q252" s="450">
        <v>110</v>
      </c>
      <c r="R252" s="450">
        <v>800</v>
      </c>
      <c r="S252" s="450">
        <v>1</v>
      </c>
      <c r="T252" s="443">
        <v>6.7</v>
      </c>
      <c r="U252" s="497"/>
    </row>
    <row r="253" spans="16:21" s="444" customFormat="1" ht="15">
      <c r="P253" s="447"/>
      <c r="Q253" s="450">
        <v>110</v>
      </c>
      <c r="R253" s="450">
        <v>1000</v>
      </c>
      <c r="S253" s="450">
        <v>0.2</v>
      </c>
      <c r="T253" s="443">
        <v>1.8</v>
      </c>
      <c r="U253" s="497"/>
    </row>
    <row r="254" spans="16:21" s="444" customFormat="1" ht="15">
      <c r="P254" s="447"/>
      <c r="Q254" s="450">
        <v>110</v>
      </c>
      <c r="R254" s="450">
        <v>1000</v>
      </c>
      <c r="S254" s="450">
        <v>0.4</v>
      </c>
      <c r="T254" s="443">
        <v>2.9</v>
      </c>
      <c r="U254" s="497"/>
    </row>
    <row r="255" spans="16:21" s="444" customFormat="1" ht="15">
      <c r="P255" s="447"/>
      <c r="Q255" s="450">
        <v>110</v>
      </c>
      <c r="R255" s="450">
        <v>1000</v>
      </c>
      <c r="S255" s="450">
        <v>0.6</v>
      </c>
      <c r="T255" s="443">
        <v>3.7</v>
      </c>
      <c r="U255" s="497"/>
    </row>
    <row r="256" spans="16:21" s="444" customFormat="1" ht="15">
      <c r="P256" s="447"/>
      <c r="Q256" s="450">
        <v>110</v>
      </c>
      <c r="R256" s="450">
        <v>1000</v>
      </c>
      <c r="S256" s="450">
        <v>0.8</v>
      </c>
      <c r="T256" s="443">
        <v>4.0999999999999996</v>
      </c>
      <c r="U256" s="497"/>
    </row>
    <row r="257" spans="16:21" s="444" customFormat="1" ht="15">
      <c r="P257" s="447"/>
      <c r="Q257" s="450">
        <v>110</v>
      </c>
      <c r="R257" s="450">
        <v>1000</v>
      </c>
      <c r="S257" s="450">
        <v>1</v>
      </c>
      <c r="T257" s="443">
        <v>4.4000000000000004</v>
      </c>
      <c r="U257" s="497"/>
    </row>
    <row r="258" spans="16:21" s="444" customFormat="1" ht="15">
      <c r="P258" s="447"/>
      <c r="Q258" s="450">
        <v>110</v>
      </c>
      <c r="R258" s="450">
        <v>1200</v>
      </c>
      <c r="S258" s="450">
        <v>0.2</v>
      </c>
      <c r="T258" s="443">
        <v>1.3</v>
      </c>
      <c r="U258" s="497"/>
    </row>
    <row r="259" spans="16:21" s="444" customFormat="1" ht="15">
      <c r="P259" s="447"/>
      <c r="Q259" s="450">
        <v>110</v>
      </c>
      <c r="R259" s="450">
        <v>1200</v>
      </c>
      <c r="S259" s="450">
        <v>0.4</v>
      </c>
      <c r="T259" s="443">
        <v>2</v>
      </c>
      <c r="U259" s="497"/>
    </row>
    <row r="260" spans="16:21" s="444" customFormat="1" ht="15">
      <c r="P260" s="447"/>
      <c r="Q260" s="450">
        <v>110</v>
      </c>
      <c r="R260" s="450">
        <v>1200</v>
      </c>
      <c r="S260" s="450">
        <v>0.6</v>
      </c>
      <c r="T260" s="443">
        <v>2.6</v>
      </c>
      <c r="U260" s="497"/>
    </row>
    <row r="261" spans="16:21" s="444" customFormat="1" ht="15">
      <c r="P261" s="447"/>
      <c r="Q261" s="450">
        <v>110</v>
      </c>
      <c r="R261" s="450">
        <v>1200</v>
      </c>
      <c r="S261" s="450">
        <v>0.8</v>
      </c>
      <c r="T261" s="443">
        <v>2.9</v>
      </c>
      <c r="U261" s="497"/>
    </row>
    <row r="262" spans="16:21" s="444" customFormat="1" ht="15">
      <c r="P262" s="447"/>
      <c r="Q262" s="450">
        <v>110</v>
      </c>
      <c r="R262" s="450">
        <v>1200</v>
      </c>
      <c r="S262" s="450">
        <v>1</v>
      </c>
      <c r="T262" s="443">
        <v>3.1</v>
      </c>
      <c r="U262" s="497"/>
    </row>
    <row r="263" spans="16:21" s="444" customFormat="1" ht="15">
      <c r="P263" s="447"/>
      <c r="Q263" s="450">
        <v>110</v>
      </c>
      <c r="R263" s="450">
        <v>1400</v>
      </c>
      <c r="S263" s="450">
        <v>0.2</v>
      </c>
      <c r="T263" s="443">
        <v>0.9</v>
      </c>
      <c r="U263" s="497"/>
    </row>
    <row r="264" spans="16:21" s="444" customFormat="1" ht="15">
      <c r="P264" s="447"/>
      <c r="Q264" s="450">
        <v>110</v>
      </c>
      <c r="R264" s="450">
        <v>1400</v>
      </c>
      <c r="S264" s="450">
        <v>0.4</v>
      </c>
      <c r="T264" s="443">
        <v>1.4</v>
      </c>
      <c r="U264" s="497"/>
    </row>
    <row r="265" spans="16:21" s="444" customFormat="1" ht="15">
      <c r="P265" s="447"/>
      <c r="Q265" s="450">
        <v>110</v>
      </c>
      <c r="R265" s="450">
        <v>1400</v>
      </c>
      <c r="S265" s="450">
        <v>0.6</v>
      </c>
      <c r="T265" s="443">
        <v>1.7</v>
      </c>
      <c r="U265" s="497"/>
    </row>
    <row r="266" spans="16:21" s="444" customFormat="1" ht="15">
      <c r="P266" s="447"/>
      <c r="Q266" s="450">
        <v>110</v>
      </c>
      <c r="R266" s="450">
        <v>1400</v>
      </c>
      <c r="S266" s="450">
        <v>0.8</v>
      </c>
      <c r="T266" s="443">
        <v>1.9</v>
      </c>
      <c r="U266" s="497"/>
    </row>
    <row r="267" spans="16:21" s="444" customFormat="1" ht="15">
      <c r="P267" s="447"/>
      <c r="Q267" s="450">
        <v>110</v>
      </c>
      <c r="R267" s="450">
        <v>1400</v>
      </c>
      <c r="S267" s="450">
        <v>1</v>
      </c>
      <c r="T267" s="443">
        <v>2.1</v>
      </c>
      <c r="U267" s="497"/>
    </row>
    <row r="268" spans="16:21" s="444" customFormat="1" ht="15">
      <c r="P268" s="447"/>
      <c r="Q268" s="450">
        <v>110</v>
      </c>
      <c r="R268" s="450">
        <v>1600</v>
      </c>
      <c r="S268" s="450">
        <v>0.2</v>
      </c>
      <c r="T268" s="443">
        <v>0.7</v>
      </c>
      <c r="U268" s="497"/>
    </row>
    <row r="269" spans="16:21" s="444" customFormat="1" ht="15">
      <c r="P269" s="447"/>
      <c r="Q269" s="450">
        <v>110</v>
      </c>
      <c r="R269" s="450">
        <v>1600</v>
      </c>
      <c r="S269" s="450">
        <v>0.4</v>
      </c>
      <c r="T269" s="443">
        <v>0.9</v>
      </c>
      <c r="U269" s="497"/>
    </row>
    <row r="270" spans="16:21" s="444" customFormat="1" ht="15">
      <c r="P270" s="447"/>
      <c r="Q270" s="450">
        <v>110</v>
      </c>
      <c r="R270" s="450">
        <v>1600</v>
      </c>
      <c r="S270" s="450">
        <v>0.6</v>
      </c>
      <c r="T270" s="443">
        <v>1.1000000000000001</v>
      </c>
      <c r="U270" s="497"/>
    </row>
    <row r="271" spans="16:21" s="444" customFormat="1" ht="15">
      <c r="P271" s="447"/>
      <c r="Q271" s="450">
        <v>110</v>
      </c>
      <c r="R271" s="450">
        <v>1600</v>
      </c>
      <c r="S271" s="450">
        <v>0.8</v>
      </c>
      <c r="T271" s="443">
        <v>1.2</v>
      </c>
      <c r="U271" s="497"/>
    </row>
    <row r="272" spans="16:21" s="444" customFormat="1" ht="15">
      <c r="P272" s="447"/>
      <c r="Q272" s="450">
        <v>110</v>
      </c>
      <c r="R272" s="450">
        <v>1600</v>
      </c>
      <c r="S272" s="450">
        <v>1</v>
      </c>
      <c r="T272" s="443">
        <v>1.4</v>
      </c>
      <c r="U272" s="497"/>
    </row>
    <row r="273" spans="16:21" s="444" customFormat="1" ht="15">
      <c r="P273" s="447"/>
      <c r="Q273" s="450">
        <v>110</v>
      </c>
      <c r="R273" s="450">
        <v>10000</v>
      </c>
      <c r="S273" s="450">
        <v>0.2</v>
      </c>
      <c r="T273" s="443">
        <v>0.7</v>
      </c>
      <c r="U273" s="497"/>
    </row>
    <row r="274" spans="16:21" s="444" customFormat="1" ht="15">
      <c r="P274" s="447"/>
      <c r="Q274" s="450">
        <v>110</v>
      </c>
      <c r="R274" s="450">
        <v>10000</v>
      </c>
      <c r="S274" s="450">
        <v>0.4</v>
      </c>
      <c r="T274" s="443">
        <v>0.9</v>
      </c>
      <c r="U274" s="497"/>
    </row>
    <row r="275" spans="16:21" s="444" customFormat="1" ht="15">
      <c r="P275" s="447"/>
      <c r="Q275" s="450">
        <v>110</v>
      </c>
      <c r="R275" s="450">
        <v>10000</v>
      </c>
      <c r="S275" s="450">
        <v>0.6</v>
      </c>
      <c r="T275" s="443">
        <v>1.1000000000000001</v>
      </c>
      <c r="U275" s="497"/>
    </row>
    <row r="276" spans="16:21" s="444" customFormat="1" ht="15">
      <c r="P276" s="447"/>
      <c r="Q276" s="450">
        <v>110</v>
      </c>
      <c r="R276" s="450">
        <v>10000</v>
      </c>
      <c r="S276" s="450">
        <v>0.8</v>
      </c>
      <c r="T276" s="443">
        <v>1.2</v>
      </c>
      <c r="U276" s="497"/>
    </row>
    <row r="277" spans="16:21" s="444" customFormat="1" ht="15">
      <c r="P277" s="447"/>
      <c r="Q277" s="450">
        <v>110</v>
      </c>
      <c r="R277" s="450">
        <v>10000</v>
      </c>
      <c r="S277" s="450">
        <v>1</v>
      </c>
      <c r="T277" s="443">
        <v>1.4</v>
      </c>
      <c r="U277" s="497"/>
    </row>
    <row r="278" spans="16:21" s="444" customFormat="1" ht="15">
      <c r="P278" s="447"/>
      <c r="Q278" s="474"/>
      <c r="R278" s="474"/>
      <c r="S278" s="474"/>
      <c r="T278" s="474"/>
    </row>
    <row r="279" spans="16:21" s="444" customFormat="1" ht="15">
      <c r="P279" s="447"/>
      <c r="Q279" s="474"/>
      <c r="R279" s="474"/>
      <c r="S279" s="474"/>
      <c r="T279" s="474"/>
    </row>
    <row r="280" spans="16:21" s="444" customFormat="1" ht="15">
      <c r="P280" s="447"/>
      <c r="Q280" s="474"/>
      <c r="R280" s="474"/>
      <c r="S280" s="474"/>
      <c r="T280" s="474"/>
    </row>
    <row r="281" spans="16:21" s="444" customFormat="1" ht="15">
      <c r="P281" s="447"/>
      <c r="Q281" s="474"/>
      <c r="R281" s="474"/>
      <c r="S281" s="474"/>
      <c r="T281" s="474"/>
    </row>
    <row r="282" spans="16:21" s="444" customFormat="1" ht="15">
      <c r="P282" s="447"/>
      <c r="Q282" s="474"/>
      <c r="R282" s="474"/>
      <c r="S282" s="474"/>
      <c r="T282" s="474"/>
    </row>
    <row r="283" spans="16:21" s="444" customFormat="1" ht="15">
      <c r="P283" s="447"/>
      <c r="Q283" s="474"/>
      <c r="R283" s="474"/>
      <c r="S283" s="474"/>
      <c r="T283" s="474"/>
    </row>
    <row r="284" spans="16:21" s="444" customFormat="1" ht="15">
      <c r="P284" s="447"/>
      <c r="Q284" s="474"/>
      <c r="R284" s="474"/>
      <c r="S284" s="474"/>
      <c r="T284" s="474"/>
    </row>
    <row r="285" spans="16:21" s="444" customFormat="1" ht="15">
      <c r="P285" s="447"/>
      <c r="Q285" s="474"/>
      <c r="R285" s="474"/>
      <c r="S285" s="474"/>
      <c r="T285" s="474"/>
    </row>
    <row r="286" spans="16:21" s="444" customFormat="1" ht="15">
      <c r="P286" s="447"/>
      <c r="Q286" s="474"/>
      <c r="R286" s="474"/>
      <c r="S286" s="474"/>
      <c r="T286" s="474"/>
    </row>
    <row r="287" spans="16:21" s="444" customFormat="1" ht="15">
      <c r="P287" s="447"/>
      <c r="Q287" s="474"/>
      <c r="R287" s="474"/>
      <c r="S287" s="474"/>
      <c r="T287" s="474"/>
    </row>
    <row r="288" spans="16:21" s="444" customFormat="1" ht="15">
      <c r="P288" s="447"/>
      <c r="Q288" s="474"/>
      <c r="R288" s="474"/>
      <c r="S288" s="474"/>
      <c r="T288" s="474"/>
    </row>
    <row r="289" spans="16:20" s="444" customFormat="1" ht="15">
      <c r="P289" s="447"/>
      <c r="Q289" s="474"/>
      <c r="R289" s="474"/>
      <c r="S289" s="474"/>
      <c r="T289" s="474"/>
    </row>
    <row r="290" spans="16:20" s="444" customFormat="1" ht="15">
      <c r="P290" s="447"/>
      <c r="Q290" s="474"/>
      <c r="R290" s="474"/>
      <c r="S290" s="474"/>
      <c r="T290" s="474"/>
    </row>
    <row r="291" spans="16:20" s="444" customFormat="1" ht="15">
      <c r="P291" s="447"/>
      <c r="Q291" s="474"/>
      <c r="R291" s="474"/>
      <c r="S291" s="474"/>
      <c r="T291" s="474"/>
    </row>
    <row r="292" spans="16:20" s="444" customFormat="1" ht="15">
      <c r="P292" s="447"/>
      <c r="Q292" s="474"/>
      <c r="R292" s="474"/>
      <c r="S292" s="474"/>
      <c r="T292" s="474"/>
    </row>
    <row r="293" spans="16:20" s="444" customFormat="1" ht="15">
      <c r="P293" s="447"/>
      <c r="Q293" s="474"/>
      <c r="R293" s="474"/>
      <c r="S293" s="474"/>
      <c r="T293" s="474"/>
    </row>
    <row r="294" spans="16:20" s="444" customFormat="1" ht="15">
      <c r="P294" s="447"/>
      <c r="Q294" s="474"/>
      <c r="R294" s="474"/>
      <c r="S294" s="474"/>
      <c r="T294" s="474"/>
    </row>
    <row r="295" spans="16:20" s="444" customFormat="1" ht="15">
      <c r="P295" s="447"/>
      <c r="Q295" s="474"/>
      <c r="R295" s="474"/>
      <c r="S295" s="474"/>
      <c r="T295" s="474"/>
    </row>
    <row r="296" spans="16:20" s="444" customFormat="1" ht="15">
      <c r="P296" s="447"/>
      <c r="Q296" s="474"/>
      <c r="R296" s="474"/>
      <c r="S296" s="474"/>
      <c r="T296" s="474"/>
    </row>
    <row r="297" spans="16:20" s="444" customFormat="1" ht="15">
      <c r="P297" s="447"/>
      <c r="Q297" s="474"/>
      <c r="R297" s="474"/>
      <c r="S297" s="474"/>
      <c r="T297" s="474"/>
    </row>
    <row r="298" spans="16:20" s="444" customFormat="1" ht="15">
      <c r="P298" s="447"/>
      <c r="Q298" s="474"/>
      <c r="R298" s="474"/>
      <c r="S298" s="474"/>
      <c r="T298" s="474"/>
    </row>
    <row r="299" spans="16:20" s="444" customFormat="1" ht="15">
      <c r="P299" s="447"/>
      <c r="Q299" s="474"/>
      <c r="R299" s="474"/>
      <c r="S299" s="474"/>
      <c r="T299" s="474"/>
    </row>
    <row r="300" spans="16:20" s="444" customFormat="1" ht="15">
      <c r="P300" s="447"/>
      <c r="Q300" s="474"/>
      <c r="R300" s="474"/>
      <c r="S300" s="474"/>
      <c r="T300" s="474"/>
    </row>
    <row r="301" spans="16:20" s="444" customFormat="1" ht="15">
      <c r="P301" s="447"/>
      <c r="Q301" s="474"/>
      <c r="R301" s="474"/>
      <c r="S301" s="474"/>
      <c r="T301" s="474"/>
    </row>
    <row r="302" spans="16:20" s="444" customFormat="1" ht="15">
      <c r="P302" s="447"/>
      <c r="Q302" s="474"/>
      <c r="R302" s="474"/>
      <c r="S302" s="474"/>
      <c r="T302" s="474"/>
    </row>
    <row r="303" spans="16:20" s="444" customFormat="1" ht="15">
      <c r="P303" s="447"/>
      <c r="Q303" s="474"/>
      <c r="R303" s="474"/>
      <c r="S303" s="474"/>
      <c r="T303" s="474"/>
    </row>
    <row r="304" spans="16:20" s="444" customFormat="1" ht="15">
      <c r="P304" s="447"/>
      <c r="Q304" s="474"/>
      <c r="R304" s="474"/>
      <c r="S304" s="474"/>
      <c r="T304" s="474"/>
    </row>
    <row r="305" spans="16:20" s="444" customFormat="1" ht="15">
      <c r="P305" s="447"/>
      <c r="Q305" s="474"/>
      <c r="R305" s="474"/>
      <c r="S305" s="474"/>
      <c r="T305" s="474"/>
    </row>
    <row r="306" spans="16:20" s="444" customFormat="1" ht="15">
      <c r="P306" s="447"/>
      <c r="Q306" s="474"/>
      <c r="R306" s="474"/>
      <c r="S306" s="474"/>
      <c r="T306" s="474"/>
    </row>
    <row r="307" spans="16:20" s="444" customFormat="1" ht="15">
      <c r="P307" s="447"/>
      <c r="Q307" s="474"/>
      <c r="R307" s="474"/>
      <c r="S307" s="474"/>
      <c r="T307" s="474"/>
    </row>
    <row r="308" spans="16:20" s="444" customFormat="1" ht="15">
      <c r="P308" s="447"/>
      <c r="Q308" s="474"/>
      <c r="R308" s="474"/>
      <c r="S308" s="474"/>
      <c r="T308" s="474"/>
    </row>
    <row r="309" spans="16:20" s="444" customFormat="1" ht="15">
      <c r="P309" s="447"/>
    </row>
    <row r="310" spans="16:20" s="444" customFormat="1" ht="15">
      <c r="P310" s="447"/>
    </row>
    <row r="311" spans="16:20" s="444" customFormat="1" ht="15">
      <c r="P311" s="447"/>
    </row>
    <row r="312" spans="16:20" s="444" customFormat="1" ht="15">
      <c r="P312" s="447"/>
    </row>
    <row r="313" spans="16:20" s="444" customFormat="1" ht="15">
      <c r="P313" s="447"/>
    </row>
    <row r="314" spans="16:20" s="444" customFormat="1" ht="15">
      <c r="P314" s="447"/>
    </row>
    <row r="315" spans="16:20" s="444" customFormat="1" ht="15">
      <c r="P315" s="447"/>
    </row>
    <row r="316" spans="16:20" s="444" customFormat="1" ht="15">
      <c r="P316" s="447"/>
    </row>
    <row r="317" spans="16:20" s="444" customFormat="1" ht="15">
      <c r="P317" s="447"/>
    </row>
    <row r="318" spans="16:20" s="444" customFormat="1" ht="15">
      <c r="P318" s="447"/>
    </row>
    <row r="319" spans="16:20" s="444" customFormat="1" ht="15">
      <c r="P319" s="447"/>
    </row>
    <row r="320" spans="16:20" s="444" customFormat="1" ht="15">
      <c r="P320" s="447"/>
    </row>
    <row r="321" spans="1:16" s="444" customFormat="1" ht="15">
      <c r="A321" s="443"/>
      <c r="B321" s="443"/>
      <c r="C321" s="443"/>
      <c r="D321" s="443"/>
      <c r="E321" s="458"/>
      <c r="F321" s="458"/>
      <c r="G321" s="458"/>
      <c r="H321" s="458"/>
      <c r="I321" s="458"/>
      <c r="J321" s="458"/>
      <c r="K321" s="458"/>
      <c r="L321" s="458"/>
      <c r="M321" s="458"/>
      <c r="N321" s="458"/>
      <c r="O321" s="443"/>
      <c r="P321" s="447"/>
    </row>
    <row r="322" spans="1:16" s="444" customFormat="1" ht="15">
      <c r="A322" s="443"/>
      <c r="B322" s="443"/>
      <c r="C322" s="443"/>
      <c r="D322" s="443"/>
      <c r="E322" s="458"/>
      <c r="F322" s="458"/>
      <c r="G322" s="458"/>
      <c r="H322" s="458"/>
      <c r="I322" s="458"/>
      <c r="J322" s="458"/>
      <c r="K322" s="458"/>
      <c r="L322" s="458"/>
      <c r="M322" s="458"/>
      <c r="N322" s="458"/>
      <c r="O322" s="443"/>
      <c r="P322" s="447"/>
    </row>
    <row r="323" spans="1:16" s="444" customFormat="1" ht="15">
      <c r="A323" s="443"/>
      <c r="B323" s="443"/>
      <c r="C323" s="443"/>
      <c r="D323" s="443"/>
      <c r="E323" s="458"/>
      <c r="F323" s="458"/>
      <c r="G323" s="458"/>
      <c r="H323" s="458"/>
      <c r="I323" s="458"/>
      <c r="J323" s="458"/>
      <c r="K323" s="458"/>
      <c r="L323" s="458"/>
      <c r="M323" s="458"/>
      <c r="N323" s="458"/>
      <c r="O323" s="443"/>
      <c r="P323" s="447"/>
    </row>
    <row r="324" spans="1:16" s="444" customFormat="1" ht="15">
      <c r="A324" s="443"/>
      <c r="B324" s="443"/>
      <c r="C324" s="443"/>
      <c r="D324" s="443"/>
      <c r="E324" s="458"/>
      <c r="F324" s="458"/>
      <c r="G324" s="458"/>
      <c r="H324" s="458"/>
      <c r="I324" s="458"/>
      <c r="J324" s="458"/>
      <c r="K324" s="458"/>
      <c r="L324" s="458"/>
      <c r="M324" s="458"/>
      <c r="N324" s="458"/>
      <c r="O324" s="443"/>
      <c r="P324" s="447"/>
    </row>
    <row r="325" spans="1:16" s="444" customFormat="1" ht="15">
      <c r="A325" s="443"/>
      <c r="B325" s="443"/>
      <c r="C325" s="443"/>
      <c r="D325" s="443"/>
      <c r="E325" s="458"/>
      <c r="F325" s="458"/>
      <c r="G325" s="458"/>
      <c r="H325" s="458"/>
      <c r="I325" s="458"/>
      <c r="J325" s="458"/>
      <c r="K325" s="458"/>
      <c r="L325" s="458"/>
      <c r="M325" s="458"/>
      <c r="N325" s="458"/>
      <c r="O325" s="443"/>
      <c r="P325" s="447"/>
    </row>
    <row r="326" spans="1:16" s="444" customFormat="1" ht="15">
      <c r="A326" s="443"/>
      <c r="B326" s="443"/>
      <c r="C326" s="443"/>
      <c r="D326" s="443"/>
      <c r="E326" s="458"/>
      <c r="F326" s="458"/>
      <c r="G326" s="458"/>
      <c r="H326" s="458"/>
      <c r="I326" s="458"/>
      <c r="J326" s="458"/>
      <c r="K326" s="458"/>
      <c r="L326" s="458"/>
      <c r="M326" s="458"/>
      <c r="N326" s="458"/>
      <c r="O326" s="443"/>
      <c r="P326" s="447"/>
    </row>
    <row r="327" spans="1:16" s="444" customFormat="1" ht="15">
      <c r="A327" s="443"/>
      <c r="B327" s="443"/>
      <c r="C327" s="443"/>
      <c r="D327" s="443"/>
      <c r="E327" s="458"/>
      <c r="F327" s="458"/>
      <c r="G327" s="458"/>
      <c r="H327" s="458"/>
      <c r="I327" s="458"/>
      <c r="J327" s="458"/>
      <c r="K327" s="458"/>
      <c r="L327" s="458"/>
      <c r="M327" s="458"/>
      <c r="N327" s="458"/>
      <c r="O327" s="443"/>
      <c r="P327" s="447"/>
    </row>
    <row r="328" spans="1:16" s="444" customFormat="1" ht="15">
      <c r="A328" s="443"/>
      <c r="B328" s="443"/>
      <c r="C328" s="443"/>
      <c r="D328" s="443"/>
      <c r="E328" s="458"/>
      <c r="F328" s="458"/>
      <c r="G328" s="458"/>
      <c r="H328" s="458"/>
      <c r="I328" s="458"/>
      <c r="J328" s="458"/>
      <c r="K328" s="458"/>
      <c r="L328" s="458"/>
      <c r="M328" s="458"/>
      <c r="N328" s="458"/>
      <c r="O328" s="443"/>
      <c r="P328" s="447"/>
    </row>
    <row r="329" spans="1:16" s="444" customFormat="1" ht="15">
      <c r="A329" s="443"/>
      <c r="B329" s="443"/>
      <c r="C329" s="443"/>
      <c r="D329" s="443"/>
      <c r="E329" s="458"/>
      <c r="F329" s="458"/>
      <c r="G329" s="458"/>
      <c r="H329" s="458"/>
      <c r="I329" s="458"/>
      <c r="J329" s="458"/>
      <c r="K329" s="458"/>
      <c r="L329" s="458"/>
      <c r="M329" s="458"/>
      <c r="N329" s="458"/>
      <c r="O329" s="443"/>
      <c r="P329" s="447"/>
    </row>
    <row r="330" spans="1:16" s="444" customFormat="1" ht="15">
      <c r="A330" s="443"/>
      <c r="B330" s="443"/>
      <c r="C330" s="443"/>
      <c r="D330" s="443"/>
      <c r="E330" s="458"/>
      <c r="F330" s="458"/>
      <c r="G330" s="458"/>
      <c r="H330" s="458"/>
      <c r="I330" s="458"/>
      <c r="J330" s="458"/>
      <c r="K330" s="458"/>
      <c r="L330" s="458"/>
      <c r="M330" s="458"/>
      <c r="N330" s="458"/>
      <c r="O330" s="443"/>
      <c r="P330" s="447"/>
    </row>
    <row r="331" spans="1:16" s="444" customFormat="1" ht="15">
      <c r="A331" s="443"/>
      <c r="B331" s="443"/>
      <c r="C331" s="443"/>
      <c r="D331" s="443"/>
      <c r="E331" s="458"/>
      <c r="F331" s="458"/>
      <c r="G331" s="458"/>
      <c r="H331" s="458"/>
      <c r="I331" s="458"/>
      <c r="J331" s="458"/>
      <c r="K331" s="458"/>
      <c r="L331" s="458"/>
      <c r="M331" s="458"/>
      <c r="N331" s="458"/>
      <c r="O331" s="443"/>
      <c r="P331" s="447"/>
    </row>
    <row r="332" spans="1:16" s="444" customFormat="1" ht="15">
      <c r="A332" s="443"/>
      <c r="B332" s="443"/>
      <c r="C332" s="443"/>
      <c r="D332" s="443"/>
      <c r="E332" s="458"/>
      <c r="F332" s="458"/>
      <c r="G332" s="458"/>
      <c r="H332" s="458"/>
      <c r="I332" s="458"/>
      <c r="J332" s="458"/>
      <c r="K332" s="458"/>
      <c r="L332" s="458"/>
      <c r="M332" s="458"/>
      <c r="N332" s="458"/>
      <c r="O332" s="443"/>
      <c r="P332" s="447"/>
    </row>
    <row r="333" spans="1:16" s="444" customFormat="1" ht="15">
      <c r="A333" s="443"/>
      <c r="B333" s="443"/>
      <c r="C333" s="443"/>
      <c r="D333" s="443"/>
      <c r="E333" s="458"/>
      <c r="F333" s="458"/>
      <c r="G333" s="458"/>
      <c r="H333" s="458"/>
      <c r="I333" s="458"/>
      <c r="J333" s="458"/>
      <c r="K333" s="458"/>
      <c r="L333" s="458"/>
      <c r="M333" s="458"/>
      <c r="N333" s="458"/>
      <c r="O333" s="443"/>
      <c r="P333" s="447"/>
    </row>
    <row r="334" spans="1:16" s="444" customFormat="1" ht="15">
      <c r="A334" s="443"/>
      <c r="B334" s="443"/>
      <c r="C334" s="443"/>
      <c r="D334" s="443"/>
      <c r="E334" s="458"/>
      <c r="F334" s="458"/>
      <c r="G334" s="458"/>
      <c r="H334" s="458"/>
      <c r="I334" s="458"/>
      <c r="J334" s="458"/>
      <c r="K334" s="458"/>
      <c r="L334" s="458"/>
      <c r="M334" s="458"/>
      <c r="N334" s="458"/>
      <c r="O334" s="443"/>
      <c r="P334" s="447"/>
    </row>
    <row r="335" spans="1:16" s="444" customFormat="1" ht="15">
      <c r="A335" s="443"/>
      <c r="B335" s="443"/>
      <c r="C335" s="443"/>
      <c r="D335" s="443"/>
      <c r="E335" s="458"/>
      <c r="F335" s="458"/>
      <c r="G335" s="458"/>
      <c r="H335" s="458"/>
      <c r="I335" s="458"/>
      <c r="J335" s="458"/>
      <c r="K335" s="458"/>
      <c r="L335" s="458"/>
      <c r="M335" s="458"/>
      <c r="N335" s="458"/>
      <c r="O335" s="443"/>
      <c r="P335" s="447"/>
    </row>
    <row r="336" spans="1:16" s="444" customFormat="1" ht="15">
      <c r="A336" s="443"/>
      <c r="B336" s="443"/>
      <c r="C336" s="443"/>
      <c r="D336" s="443"/>
      <c r="E336" s="458"/>
      <c r="F336" s="458"/>
      <c r="G336" s="458"/>
      <c r="H336" s="458"/>
      <c r="I336" s="458"/>
      <c r="J336" s="458"/>
      <c r="K336" s="458"/>
      <c r="L336" s="458"/>
      <c r="M336" s="458"/>
      <c r="N336" s="458"/>
      <c r="O336" s="443"/>
      <c r="P336" s="447"/>
    </row>
    <row r="337" spans="1:16" s="444" customFormat="1" ht="15">
      <c r="A337" s="443"/>
      <c r="B337" s="443"/>
      <c r="C337" s="443"/>
      <c r="D337" s="443"/>
      <c r="E337" s="458"/>
      <c r="F337" s="458"/>
      <c r="G337" s="458"/>
      <c r="H337" s="458"/>
      <c r="I337" s="458"/>
      <c r="J337" s="458"/>
      <c r="K337" s="458"/>
      <c r="L337" s="458"/>
      <c r="M337" s="458"/>
      <c r="N337" s="458"/>
      <c r="O337" s="443"/>
      <c r="P337" s="447"/>
    </row>
    <row r="338" spans="1:16" s="444" customFormat="1" ht="15">
      <c r="A338" s="443"/>
      <c r="B338" s="443"/>
      <c r="C338" s="443"/>
      <c r="D338" s="443"/>
      <c r="E338" s="458"/>
      <c r="F338" s="458"/>
      <c r="G338" s="458"/>
      <c r="H338" s="458"/>
      <c r="I338" s="458"/>
      <c r="J338" s="458"/>
      <c r="K338" s="458"/>
      <c r="L338" s="458"/>
      <c r="M338" s="458"/>
      <c r="N338" s="458"/>
      <c r="O338" s="443"/>
      <c r="P338" s="447"/>
    </row>
    <row r="339" spans="1:16" s="444" customFormat="1" ht="15">
      <c r="A339" s="443"/>
      <c r="B339" s="443"/>
      <c r="C339" s="443"/>
      <c r="D339" s="443"/>
      <c r="E339" s="458"/>
      <c r="F339" s="458"/>
      <c r="G339" s="458"/>
      <c r="H339" s="458"/>
      <c r="I339" s="458"/>
      <c r="J339" s="458"/>
      <c r="K339" s="458"/>
      <c r="L339" s="458"/>
      <c r="M339" s="458"/>
      <c r="N339" s="458"/>
      <c r="O339" s="443"/>
      <c r="P339" s="447"/>
    </row>
    <row r="340" spans="1:16" s="444" customFormat="1" ht="15">
      <c r="A340" s="443"/>
      <c r="B340" s="443"/>
      <c r="C340" s="443"/>
      <c r="D340" s="443"/>
      <c r="E340" s="458"/>
      <c r="F340" s="458"/>
      <c r="G340" s="458"/>
      <c r="H340" s="458"/>
      <c r="I340" s="458"/>
      <c r="J340" s="458"/>
      <c r="K340" s="458"/>
      <c r="L340" s="458"/>
      <c r="M340" s="458"/>
      <c r="N340" s="458"/>
      <c r="O340" s="443"/>
      <c r="P340" s="447"/>
    </row>
    <row r="341" spans="1:16" s="444" customFormat="1" ht="15">
      <c r="A341" s="443"/>
      <c r="B341" s="443"/>
      <c r="C341" s="443"/>
      <c r="D341" s="443"/>
      <c r="E341" s="458"/>
      <c r="F341" s="458"/>
      <c r="G341" s="458"/>
      <c r="H341" s="458"/>
      <c r="I341" s="458"/>
      <c r="J341" s="458"/>
      <c r="K341" s="458"/>
      <c r="L341" s="458"/>
      <c r="M341" s="458"/>
      <c r="N341" s="458"/>
      <c r="O341" s="443"/>
      <c r="P341" s="447"/>
    </row>
    <row r="342" spans="1:16" s="444" customFormat="1" ht="15">
      <c r="A342" s="443"/>
      <c r="B342" s="443"/>
      <c r="C342" s="443"/>
      <c r="D342" s="443"/>
      <c r="E342" s="458"/>
      <c r="F342" s="458"/>
      <c r="G342" s="458"/>
      <c r="H342" s="458"/>
      <c r="I342" s="458"/>
      <c r="J342" s="458"/>
      <c r="K342" s="458"/>
      <c r="L342" s="458"/>
      <c r="M342" s="458"/>
      <c r="N342" s="458"/>
      <c r="O342" s="443"/>
      <c r="P342" s="447"/>
    </row>
    <row r="343" spans="1:16" s="444" customFormat="1" ht="15">
      <c r="A343" s="443"/>
      <c r="B343" s="443"/>
      <c r="C343" s="443"/>
      <c r="D343" s="443"/>
      <c r="E343" s="458"/>
      <c r="F343" s="458"/>
      <c r="G343" s="458"/>
      <c r="H343" s="458"/>
      <c r="I343" s="458"/>
      <c r="J343" s="458"/>
      <c r="K343" s="458"/>
      <c r="L343" s="458"/>
      <c r="M343" s="458"/>
      <c r="N343" s="458"/>
      <c r="O343" s="443"/>
      <c r="P343" s="447"/>
    </row>
    <row r="344" spans="1:16" s="444" customFormat="1" ht="15">
      <c r="A344" s="443"/>
      <c r="B344" s="443"/>
      <c r="C344" s="443"/>
      <c r="D344" s="443"/>
      <c r="E344" s="458"/>
      <c r="F344" s="458"/>
      <c r="G344" s="458"/>
      <c r="H344" s="458"/>
      <c r="I344" s="458"/>
      <c r="J344" s="458"/>
      <c r="K344" s="458"/>
      <c r="L344" s="458"/>
      <c r="M344" s="458"/>
      <c r="N344" s="458"/>
      <c r="O344" s="443"/>
      <c r="P344" s="447"/>
    </row>
    <row r="345" spans="1:16" s="444" customFormat="1" ht="15">
      <c r="A345" s="443"/>
      <c r="B345" s="443"/>
      <c r="C345" s="443"/>
      <c r="D345" s="443"/>
      <c r="E345" s="458"/>
      <c r="F345" s="458"/>
      <c r="G345" s="458"/>
      <c r="H345" s="458"/>
      <c r="I345" s="458"/>
      <c r="J345" s="458"/>
      <c r="K345" s="458"/>
      <c r="L345" s="458"/>
      <c r="M345" s="458"/>
      <c r="N345" s="458"/>
      <c r="O345" s="443"/>
      <c r="P345" s="447"/>
    </row>
    <row r="346" spans="1:16" s="444" customFormat="1" ht="15">
      <c r="A346" s="443"/>
      <c r="B346" s="443"/>
      <c r="C346" s="443"/>
      <c r="D346" s="443"/>
      <c r="E346" s="458"/>
      <c r="F346" s="458"/>
      <c r="G346" s="458"/>
      <c r="H346" s="458"/>
      <c r="I346" s="458"/>
      <c r="J346" s="458"/>
      <c r="K346" s="458"/>
      <c r="L346" s="458"/>
      <c r="M346" s="458"/>
      <c r="N346" s="458"/>
      <c r="O346" s="443"/>
      <c r="P346" s="447"/>
    </row>
    <row r="347" spans="1:16" s="444" customFormat="1" ht="15">
      <c r="A347" s="443"/>
      <c r="B347" s="443"/>
      <c r="C347" s="443"/>
      <c r="D347" s="443"/>
      <c r="E347" s="458"/>
      <c r="F347" s="458"/>
      <c r="G347" s="458"/>
      <c r="H347" s="458"/>
      <c r="I347" s="458"/>
      <c r="J347" s="458"/>
      <c r="K347" s="458"/>
      <c r="L347" s="458"/>
      <c r="M347" s="458"/>
      <c r="N347" s="458"/>
      <c r="O347" s="443"/>
      <c r="P347" s="447"/>
    </row>
    <row r="348" spans="1:16" s="444" customFormat="1" ht="15">
      <c r="A348" s="443"/>
      <c r="B348" s="443"/>
      <c r="C348" s="443"/>
      <c r="D348" s="443"/>
      <c r="E348" s="458"/>
      <c r="F348" s="458"/>
      <c r="G348" s="458"/>
      <c r="H348" s="458"/>
      <c r="I348" s="458"/>
      <c r="J348" s="458"/>
      <c r="K348" s="458"/>
      <c r="L348" s="458"/>
      <c r="M348" s="458"/>
      <c r="N348" s="458"/>
      <c r="O348" s="443"/>
      <c r="P348" s="447"/>
    </row>
    <row r="349" spans="1:16" s="444" customFormat="1" ht="15">
      <c r="A349" s="443"/>
      <c r="B349" s="443"/>
      <c r="C349" s="443"/>
      <c r="D349" s="443"/>
      <c r="E349" s="458"/>
      <c r="F349" s="458"/>
      <c r="G349" s="458"/>
      <c r="H349" s="458"/>
      <c r="I349" s="458"/>
      <c r="J349" s="458"/>
      <c r="K349" s="458"/>
      <c r="L349" s="458"/>
      <c r="M349" s="458"/>
      <c r="N349" s="458"/>
      <c r="O349" s="443"/>
      <c r="P349" s="447"/>
    </row>
    <row r="350" spans="1:16" s="444" customFormat="1" ht="15">
      <c r="A350" s="443"/>
      <c r="B350" s="443"/>
      <c r="C350" s="443"/>
      <c r="D350" s="443"/>
      <c r="E350" s="458"/>
      <c r="F350" s="458"/>
      <c r="G350" s="458"/>
      <c r="H350" s="458"/>
      <c r="I350" s="458"/>
      <c r="J350" s="458"/>
      <c r="K350" s="458"/>
      <c r="L350" s="458"/>
      <c r="M350" s="458"/>
      <c r="N350" s="458"/>
      <c r="O350" s="443"/>
      <c r="P350" s="447"/>
    </row>
    <row r="351" spans="1:16" s="444" customFormat="1" ht="15">
      <c r="A351" s="443"/>
      <c r="B351" s="443"/>
      <c r="C351" s="443"/>
      <c r="D351" s="443"/>
      <c r="E351" s="458"/>
      <c r="F351" s="458"/>
      <c r="G351" s="458"/>
      <c r="H351" s="458"/>
      <c r="I351" s="458"/>
      <c r="J351" s="458"/>
      <c r="K351" s="458"/>
      <c r="L351" s="458"/>
      <c r="M351" s="458"/>
      <c r="N351" s="458"/>
      <c r="O351" s="443"/>
      <c r="P351" s="447"/>
    </row>
    <row r="352" spans="1:16" s="444" customFormat="1" ht="15">
      <c r="A352" s="443"/>
      <c r="B352" s="443"/>
      <c r="C352" s="443"/>
      <c r="D352" s="443"/>
      <c r="E352" s="458"/>
      <c r="F352" s="458"/>
      <c r="G352" s="458"/>
      <c r="H352" s="458"/>
      <c r="I352" s="458"/>
      <c r="J352" s="458"/>
      <c r="K352" s="458"/>
      <c r="L352" s="458"/>
      <c r="M352" s="458"/>
      <c r="N352" s="458"/>
      <c r="O352" s="443"/>
      <c r="P352" s="447"/>
    </row>
    <row r="353" spans="1:16" s="444" customFormat="1" ht="15">
      <c r="A353" s="443"/>
      <c r="B353" s="443"/>
      <c r="C353" s="443"/>
      <c r="D353" s="443"/>
      <c r="E353" s="458"/>
      <c r="F353" s="458"/>
      <c r="G353" s="458"/>
      <c r="H353" s="458"/>
      <c r="I353" s="458"/>
      <c r="J353" s="458"/>
      <c r="K353" s="458"/>
      <c r="L353" s="458"/>
      <c r="M353" s="458"/>
      <c r="N353" s="458"/>
      <c r="O353" s="443"/>
      <c r="P353" s="447"/>
    </row>
    <row r="354" spans="1:16" s="444" customFormat="1" ht="15">
      <c r="A354" s="443"/>
      <c r="B354" s="443"/>
      <c r="C354" s="443"/>
      <c r="D354" s="443"/>
      <c r="E354" s="458"/>
      <c r="F354" s="458"/>
      <c r="G354" s="458"/>
      <c r="H354" s="458"/>
      <c r="I354" s="458"/>
      <c r="J354" s="458"/>
      <c r="K354" s="458"/>
      <c r="L354" s="458"/>
      <c r="M354" s="458"/>
      <c r="N354" s="458"/>
      <c r="O354" s="443"/>
      <c r="P354" s="447"/>
    </row>
    <row r="355" spans="1:16" s="444" customFormat="1" ht="15">
      <c r="A355" s="443"/>
      <c r="B355" s="443"/>
      <c r="C355" s="443"/>
      <c r="D355" s="443"/>
      <c r="E355" s="458"/>
      <c r="F355" s="458"/>
      <c r="G355" s="458"/>
      <c r="H355" s="458"/>
      <c r="I355" s="458"/>
      <c r="J355" s="458"/>
      <c r="K355" s="458"/>
      <c r="L355" s="458"/>
      <c r="M355" s="458"/>
      <c r="N355" s="458"/>
      <c r="O355" s="443"/>
      <c r="P355" s="447"/>
    </row>
    <row r="356" spans="1:16" s="444" customFormat="1" ht="15">
      <c r="A356" s="443"/>
      <c r="B356" s="443"/>
      <c r="C356" s="443"/>
      <c r="D356" s="443"/>
      <c r="E356" s="458"/>
      <c r="F356" s="458"/>
      <c r="G356" s="458"/>
      <c r="H356" s="458"/>
      <c r="I356" s="458"/>
      <c r="J356" s="458"/>
      <c r="K356" s="458"/>
      <c r="L356" s="458"/>
      <c r="M356" s="458"/>
      <c r="N356" s="458"/>
      <c r="O356" s="443"/>
      <c r="P356" s="447"/>
    </row>
    <row r="357" spans="1:16" s="444" customFormat="1" ht="15">
      <c r="A357" s="443"/>
      <c r="B357" s="443"/>
      <c r="C357" s="443"/>
      <c r="D357" s="443"/>
      <c r="E357" s="458"/>
      <c r="F357" s="458"/>
      <c r="G357" s="458"/>
      <c r="H357" s="458"/>
      <c r="I357" s="458"/>
      <c r="J357" s="458"/>
      <c r="K357" s="458"/>
      <c r="L357" s="458"/>
      <c r="M357" s="458"/>
      <c r="N357" s="458"/>
      <c r="O357" s="443"/>
      <c r="P357" s="447"/>
    </row>
    <row r="358" spans="1:16" s="444" customFormat="1" ht="15">
      <c r="A358" s="443"/>
      <c r="B358" s="443"/>
      <c r="C358" s="443"/>
      <c r="D358" s="443"/>
      <c r="E358" s="458"/>
      <c r="F358" s="458"/>
      <c r="G358" s="458"/>
      <c r="H358" s="458"/>
      <c r="I358" s="458"/>
      <c r="J358" s="458"/>
      <c r="K358" s="458"/>
      <c r="L358" s="458"/>
      <c r="M358" s="458"/>
      <c r="N358" s="458"/>
      <c r="O358" s="443"/>
      <c r="P358" s="447"/>
    </row>
    <row r="359" spans="1:16" s="444" customFormat="1" ht="15">
      <c r="A359" s="443"/>
      <c r="B359" s="443"/>
      <c r="C359" s="443"/>
      <c r="D359" s="443"/>
      <c r="E359" s="458"/>
      <c r="F359" s="458"/>
      <c r="G359" s="458"/>
      <c r="H359" s="458"/>
      <c r="I359" s="458"/>
      <c r="J359" s="458"/>
      <c r="K359" s="458"/>
      <c r="L359" s="458"/>
      <c r="M359" s="458"/>
      <c r="N359" s="458"/>
      <c r="O359" s="443"/>
      <c r="P359" s="447"/>
    </row>
    <row r="360" spans="1:16" s="444" customFormat="1" ht="15">
      <c r="A360" s="443"/>
      <c r="B360" s="443"/>
      <c r="C360" s="443"/>
      <c r="D360" s="443"/>
      <c r="E360" s="458"/>
      <c r="F360" s="458"/>
      <c r="G360" s="458"/>
      <c r="H360" s="458"/>
      <c r="I360" s="458"/>
      <c r="J360" s="458"/>
      <c r="K360" s="458"/>
      <c r="L360" s="458"/>
      <c r="M360" s="458"/>
      <c r="N360" s="458"/>
      <c r="O360" s="443"/>
      <c r="P360" s="447"/>
    </row>
    <row r="361" spans="1:16" s="444" customFormat="1" ht="15">
      <c r="A361" s="443"/>
      <c r="B361" s="443"/>
      <c r="C361" s="443"/>
      <c r="D361" s="443"/>
      <c r="E361" s="458"/>
      <c r="F361" s="458"/>
      <c r="G361" s="458"/>
      <c r="H361" s="458"/>
      <c r="I361" s="458"/>
      <c r="J361" s="458"/>
      <c r="K361" s="458"/>
      <c r="L361" s="458"/>
      <c r="M361" s="458"/>
      <c r="N361" s="458"/>
      <c r="O361" s="443"/>
      <c r="P361" s="447"/>
    </row>
    <row r="362" spans="1:16" s="444" customFormat="1" ht="15">
      <c r="A362" s="443"/>
      <c r="B362" s="443"/>
      <c r="C362" s="443"/>
      <c r="D362" s="443"/>
      <c r="E362" s="458"/>
      <c r="F362" s="458"/>
      <c r="G362" s="458"/>
      <c r="H362" s="458"/>
      <c r="I362" s="458"/>
      <c r="J362" s="458"/>
      <c r="K362" s="458"/>
      <c r="L362" s="458"/>
      <c r="M362" s="458"/>
      <c r="N362" s="458"/>
      <c r="O362" s="443"/>
      <c r="P362" s="447"/>
    </row>
    <row r="363" spans="1:16" s="444" customFormat="1" ht="15">
      <c r="A363" s="443"/>
      <c r="B363" s="443"/>
      <c r="C363" s="443"/>
      <c r="D363" s="443"/>
      <c r="E363" s="458"/>
      <c r="F363" s="458"/>
      <c r="G363" s="458"/>
      <c r="H363" s="458"/>
      <c r="I363" s="458"/>
      <c r="J363" s="458"/>
      <c r="K363" s="458"/>
      <c r="L363" s="458"/>
      <c r="M363" s="458"/>
      <c r="N363" s="458"/>
      <c r="O363" s="443"/>
      <c r="P363" s="447"/>
    </row>
    <row r="364" spans="1:16" s="444" customFormat="1" ht="15">
      <c r="A364" s="443"/>
      <c r="B364" s="443"/>
      <c r="C364" s="443"/>
      <c r="D364" s="443"/>
      <c r="E364" s="458"/>
      <c r="F364" s="458"/>
      <c r="G364" s="458"/>
      <c r="H364" s="458"/>
      <c r="I364" s="458"/>
      <c r="J364" s="458"/>
      <c r="K364" s="458"/>
      <c r="L364" s="458"/>
      <c r="M364" s="458"/>
      <c r="N364" s="458"/>
      <c r="O364" s="443"/>
      <c r="P364" s="447"/>
    </row>
    <row r="365" spans="1:16" s="444" customFormat="1" ht="15">
      <c r="A365" s="443"/>
      <c r="B365" s="443"/>
      <c r="C365" s="443"/>
      <c r="D365" s="443"/>
      <c r="E365" s="458"/>
      <c r="F365" s="458"/>
      <c r="G365" s="458"/>
      <c r="H365" s="458"/>
      <c r="I365" s="458"/>
      <c r="J365" s="458"/>
      <c r="K365" s="458"/>
      <c r="L365" s="458"/>
      <c r="M365" s="458"/>
      <c r="N365" s="458"/>
      <c r="O365" s="443"/>
      <c r="P365" s="447"/>
    </row>
    <row r="366" spans="1:16" s="444" customFormat="1" ht="15">
      <c r="A366" s="443"/>
      <c r="B366" s="443"/>
      <c r="C366" s="443"/>
      <c r="D366" s="443"/>
      <c r="E366" s="458"/>
      <c r="F366" s="458"/>
      <c r="G366" s="458"/>
      <c r="H366" s="458"/>
      <c r="I366" s="458"/>
      <c r="J366" s="458"/>
      <c r="K366" s="458"/>
      <c r="L366" s="458"/>
      <c r="M366" s="458"/>
      <c r="N366" s="458"/>
      <c r="O366" s="443"/>
      <c r="P366" s="447"/>
    </row>
    <row r="367" spans="1:16" s="444" customFormat="1" ht="15">
      <c r="A367" s="443"/>
      <c r="B367" s="443"/>
      <c r="C367" s="443"/>
      <c r="D367" s="443"/>
      <c r="E367" s="458"/>
      <c r="F367" s="458"/>
      <c r="G367" s="458"/>
      <c r="H367" s="458"/>
      <c r="I367" s="458"/>
      <c r="J367" s="458"/>
      <c r="K367" s="458"/>
      <c r="L367" s="458"/>
      <c r="M367" s="458"/>
      <c r="N367" s="458"/>
      <c r="O367" s="443"/>
      <c r="P367" s="447"/>
    </row>
    <row r="368" spans="1:16" s="444" customFormat="1" ht="15">
      <c r="A368" s="443"/>
      <c r="B368" s="443"/>
      <c r="C368" s="443"/>
      <c r="D368" s="443"/>
      <c r="E368" s="458"/>
      <c r="F368" s="458"/>
      <c r="G368" s="458"/>
      <c r="H368" s="458"/>
      <c r="I368" s="458"/>
      <c r="J368" s="458"/>
      <c r="K368" s="458"/>
      <c r="L368" s="458"/>
      <c r="M368" s="458"/>
      <c r="N368" s="458"/>
      <c r="O368" s="443"/>
      <c r="P368" s="447"/>
    </row>
    <row r="369" spans="1:16" s="444" customFormat="1" ht="15">
      <c r="A369" s="443"/>
      <c r="B369" s="443"/>
      <c r="C369" s="443"/>
      <c r="D369" s="443"/>
      <c r="E369" s="458"/>
      <c r="F369" s="458"/>
      <c r="G369" s="458"/>
      <c r="H369" s="458"/>
      <c r="I369" s="458"/>
      <c r="J369" s="458"/>
      <c r="K369" s="458"/>
      <c r="L369" s="458"/>
      <c r="M369" s="458"/>
      <c r="N369" s="458"/>
      <c r="O369" s="443"/>
      <c r="P369" s="447"/>
    </row>
    <row r="370" spans="1:16" s="444" customFormat="1" ht="15">
      <c r="A370" s="443"/>
      <c r="B370" s="443"/>
      <c r="C370" s="443"/>
      <c r="D370" s="443"/>
      <c r="E370" s="458"/>
      <c r="F370" s="458"/>
      <c r="G370" s="458"/>
      <c r="H370" s="458"/>
      <c r="I370" s="458"/>
      <c r="J370" s="458"/>
      <c r="K370" s="458"/>
      <c r="L370" s="458"/>
      <c r="M370" s="458"/>
      <c r="N370" s="458"/>
      <c r="O370" s="443"/>
      <c r="P370" s="447"/>
    </row>
    <row r="371" spans="1:16" s="444" customFormat="1" ht="15">
      <c r="A371" s="443"/>
      <c r="B371" s="443"/>
      <c r="C371" s="443"/>
      <c r="D371" s="443"/>
      <c r="E371" s="458"/>
      <c r="F371" s="458"/>
      <c r="G371" s="458"/>
      <c r="H371" s="458"/>
      <c r="I371" s="458"/>
      <c r="J371" s="458"/>
      <c r="K371" s="458"/>
      <c r="L371" s="458"/>
      <c r="M371" s="458"/>
      <c r="N371" s="458"/>
      <c r="O371" s="443"/>
      <c r="P371" s="447"/>
    </row>
    <row r="372" spans="1:16" s="444" customFormat="1" ht="15">
      <c r="A372" s="443"/>
      <c r="B372" s="443"/>
      <c r="C372" s="443"/>
      <c r="D372" s="443"/>
      <c r="E372" s="458"/>
      <c r="F372" s="458"/>
      <c r="G372" s="458"/>
      <c r="H372" s="458"/>
      <c r="I372" s="458"/>
      <c r="J372" s="458"/>
      <c r="K372" s="458"/>
      <c r="L372" s="458"/>
      <c r="M372" s="458"/>
      <c r="N372" s="458"/>
      <c r="O372" s="443"/>
      <c r="P372" s="447"/>
    </row>
    <row r="373" spans="1:16" s="444" customFormat="1" ht="15">
      <c r="A373" s="443"/>
      <c r="B373" s="443"/>
      <c r="C373" s="443"/>
      <c r="D373" s="443"/>
      <c r="E373" s="458"/>
      <c r="F373" s="458"/>
      <c r="G373" s="458"/>
      <c r="H373" s="458"/>
      <c r="I373" s="458"/>
      <c r="J373" s="458"/>
      <c r="K373" s="458"/>
      <c r="L373" s="458"/>
      <c r="M373" s="458"/>
      <c r="N373" s="458"/>
      <c r="O373" s="443"/>
      <c r="P373" s="447"/>
    </row>
    <row r="374" spans="1:16" s="444" customFormat="1" ht="15">
      <c r="A374" s="443"/>
      <c r="B374" s="443"/>
      <c r="C374" s="443"/>
      <c r="D374" s="443"/>
      <c r="E374" s="458"/>
      <c r="F374" s="458"/>
      <c r="G374" s="458"/>
      <c r="H374" s="458"/>
      <c r="I374" s="458"/>
      <c r="J374" s="458"/>
      <c r="K374" s="458"/>
      <c r="L374" s="458"/>
      <c r="M374" s="458"/>
      <c r="N374" s="458"/>
      <c r="O374" s="443"/>
      <c r="P374" s="447"/>
    </row>
    <row r="375" spans="1:16" s="444" customFormat="1" ht="15">
      <c r="A375" s="443"/>
      <c r="B375" s="443"/>
      <c r="C375" s="443"/>
      <c r="D375" s="443"/>
      <c r="E375" s="458"/>
      <c r="F375" s="458"/>
      <c r="G375" s="458"/>
      <c r="H375" s="458"/>
      <c r="I375" s="458"/>
      <c r="J375" s="458"/>
      <c r="K375" s="458"/>
      <c r="L375" s="458"/>
      <c r="M375" s="458"/>
      <c r="N375" s="458"/>
      <c r="O375" s="443"/>
      <c r="P375" s="447"/>
    </row>
    <row r="376" spans="1:16" s="444" customFormat="1" ht="15">
      <c r="A376" s="443"/>
      <c r="B376" s="443"/>
      <c r="C376" s="443"/>
      <c r="D376" s="443"/>
      <c r="E376" s="458"/>
      <c r="F376" s="458"/>
      <c r="G376" s="458"/>
      <c r="H376" s="458"/>
      <c r="I376" s="458"/>
      <c r="J376" s="458"/>
      <c r="K376" s="458"/>
      <c r="L376" s="458"/>
      <c r="M376" s="458"/>
      <c r="N376" s="458"/>
      <c r="O376" s="443"/>
      <c r="P376" s="447"/>
    </row>
    <row r="377" spans="1:16" s="444" customFormat="1" ht="15">
      <c r="A377" s="443"/>
      <c r="B377" s="443"/>
      <c r="C377" s="443"/>
      <c r="D377" s="443"/>
      <c r="E377" s="458"/>
      <c r="F377" s="458"/>
      <c r="G377" s="458"/>
      <c r="H377" s="458"/>
      <c r="I377" s="458"/>
      <c r="J377" s="458"/>
      <c r="K377" s="458"/>
      <c r="L377" s="458"/>
      <c r="M377" s="458"/>
      <c r="N377" s="458"/>
      <c r="O377" s="443"/>
      <c r="P377" s="447"/>
    </row>
    <row r="378" spans="1:16" s="444" customFormat="1" ht="15">
      <c r="A378" s="443"/>
      <c r="B378" s="443"/>
      <c r="C378" s="443"/>
      <c r="D378" s="443"/>
      <c r="E378" s="458"/>
      <c r="F378" s="458"/>
      <c r="G378" s="458"/>
      <c r="H378" s="458"/>
      <c r="I378" s="458"/>
      <c r="J378" s="458"/>
      <c r="K378" s="458"/>
      <c r="L378" s="458"/>
      <c r="M378" s="458"/>
      <c r="N378" s="458"/>
      <c r="O378" s="443"/>
      <c r="P378" s="447"/>
    </row>
    <row r="379" spans="1:16" s="444" customFormat="1" ht="15">
      <c r="A379" s="443"/>
      <c r="B379" s="443"/>
      <c r="C379" s="443"/>
      <c r="D379" s="443"/>
      <c r="E379" s="458"/>
      <c r="F379" s="458"/>
      <c r="G379" s="458"/>
      <c r="H379" s="458"/>
      <c r="I379" s="458"/>
      <c r="J379" s="458"/>
      <c r="K379" s="458"/>
      <c r="L379" s="458"/>
      <c r="M379" s="458"/>
      <c r="N379" s="458"/>
      <c r="O379" s="443"/>
      <c r="P379" s="447"/>
    </row>
    <row r="380" spans="1:16" s="444" customFormat="1" ht="15">
      <c r="A380" s="443"/>
      <c r="B380" s="443"/>
      <c r="C380" s="443"/>
      <c r="D380" s="443"/>
      <c r="E380" s="458"/>
      <c r="F380" s="458"/>
      <c r="G380" s="458"/>
      <c r="H380" s="458"/>
      <c r="I380" s="458"/>
      <c r="J380" s="458"/>
      <c r="K380" s="458"/>
      <c r="L380" s="458"/>
      <c r="M380" s="458"/>
      <c r="N380" s="458"/>
      <c r="O380" s="443"/>
      <c r="P380" s="447"/>
    </row>
    <row r="381" spans="1:16" s="444" customFormat="1" ht="15">
      <c r="A381" s="443"/>
      <c r="B381" s="443"/>
      <c r="C381" s="443"/>
      <c r="D381" s="443"/>
      <c r="E381" s="458"/>
      <c r="F381" s="458"/>
      <c r="G381" s="458"/>
      <c r="H381" s="458"/>
      <c r="I381" s="458"/>
      <c r="J381" s="458"/>
      <c r="K381" s="458"/>
      <c r="L381" s="458"/>
      <c r="M381" s="458"/>
      <c r="N381" s="458"/>
      <c r="O381" s="443"/>
      <c r="P381" s="447"/>
    </row>
    <row r="382" spans="1:16" s="444" customFormat="1" ht="15">
      <c r="A382" s="443"/>
      <c r="B382" s="443"/>
      <c r="C382" s="443"/>
      <c r="D382" s="443"/>
      <c r="E382" s="458"/>
      <c r="F382" s="458"/>
      <c r="G382" s="458"/>
      <c r="H382" s="458"/>
      <c r="I382" s="458"/>
      <c r="J382" s="458"/>
      <c r="K382" s="458"/>
      <c r="L382" s="458"/>
      <c r="M382" s="458"/>
      <c r="N382" s="458"/>
      <c r="O382" s="443"/>
      <c r="P382" s="447"/>
    </row>
    <row r="383" spans="1:16" s="444" customFormat="1" ht="15">
      <c r="A383" s="443"/>
      <c r="B383" s="443"/>
      <c r="C383" s="443"/>
      <c r="D383" s="443"/>
      <c r="E383" s="458"/>
      <c r="F383" s="458"/>
      <c r="G383" s="458"/>
      <c r="H383" s="458"/>
      <c r="I383" s="458"/>
      <c r="J383" s="458"/>
      <c r="K383" s="458"/>
      <c r="L383" s="458"/>
      <c r="M383" s="458"/>
      <c r="N383" s="458"/>
      <c r="O383" s="443"/>
      <c r="P383" s="447"/>
    </row>
    <row r="384" spans="1:16" s="444" customFormat="1" ht="15">
      <c r="A384" s="443"/>
      <c r="B384" s="443"/>
      <c r="C384" s="443"/>
      <c r="D384" s="443"/>
      <c r="E384" s="458"/>
      <c r="F384" s="458"/>
      <c r="G384" s="458"/>
      <c r="H384" s="458"/>
      <c r="I384" s="458"/>
      <c r="J384" s="458"/>
      <c r="K384" s="458"/>
      <c r="L384" s="458"/>
      <c r="M384" s="458"/>
      <c r="N384" s="458"/>
      <c r="O384" s="443"/>
      <c r="P384" s="447"/>
    </row>
    <row r="385" spans="1:16" s="444" customFormat="1" ht="15">
      <c r="A385" s="443"/>
      <c r="B385" s="443"/>
      <c r="C385" s="443"/>
      <c r="D385" s="443"/>
      <c r="E385" s="458"/>
      <c r="F385" s="458"/>
      <c r="G385" s="458"/>
      <c r="H385" s="458"/>
      <c r="I385" s="458"/>
      <c r="J385" s="458"/>
      <c r="K385" s="458"/>
      <c r="L385" s="458"/>
      <c r="M385" s="458"/>
      <c r="N385" s="458"/>
      <c r="O385" s="443"/>
      <c r="P385" s="447"/>
    </row>
    <row r="386" spans="1:16" s="444" customFormat="1" ht="15">
      <c r="A386" s="443"/>
      <c r="B386" s="443"/>
      <c r="C386" s="443"/>
      <c r="D386" s="443"/>
      <c r="E386" s="458"/>
      <c r="F386" s="458"/>
      <c r="G386" s="458"/>
      <c r="H386" s="458"/>
      <c r="I386" s="458"/>
      <c r="J386" s="458"/>
      <c r="K386" s="458"/>
      <c r="L386" s="458"/>
      <c r="M386" s="458"/>
      <c r="N386" s="458"/>
      <c r="O386" s="443"/>
      <c r="P386" s="447"/>
    </row>
    <row r="387" spans="1:16" s="444" customFormat="1" ht="15">
      <c r="A387" s="443"/>
      <c r="B387" s="443"/>
      <c r="C387" s="443"/>
      <c r="D387" s="443"/>
      <c r="E387" s="458"/>
      <c r="F387" s="458"/>
      <c r="G387" s="458"/>
      <c r="H387" s="458"/>
      <c r="I387" s="458"/>
      <c r="J387" s="458"/>
      <c r="K387" s="458"/>
      <c r="L387" s="458"/>
      <c r="M387" s="458"/>
      <c r="N387" s="458"/>
      <c r="O387" s="443"/>
      <c r="P387" s="447"/>
    </row>
    <row r="388" spans="1:16" s="444" customFormat="1" ht="15">
      <c r="A388" s="443"/>
      <c r="B388" s="443"/>
      <c r="C388" s="443"/>
      <c r="D388" s="443"/>
      <c r="E388" s="458"/>
      <c r="F388" s="458"/>
      <c r="G388" s="458"/>
      <c r="H388" s="458"/>
      <c r="I388" s="458"/>
      <c r="J388" s="458"/>
      <c r="K388" s="458"/>
      <c r="L388" s="458"/>
      <c r="M388" s="458"/>
      <c r="N388" s="458"/>
      <c r="O388" s="443"/>
      <c r="P388" s="447"/>
    </row>
    <row r="389" spans="1:16" s="444" customFormat="1" ht="15">
      <c r="A389" s="443"/>
      <c r="B389" s="443"/>
      <c r="C389" s="443"/>
      <c r="D389" s="443"/>
      <c r="E389" s="458"/>
      <c r="F389" s="458"/>
      <c r="G389" s="458"/>
      <c r="H389" s="458"/>
      <c r="I389" s="458"/>
      <c r="J389" s="458"/>
      <c r="K389" s="458"/>
      <c r="L389" s="458"/>
      <c r="M389" s="458"/>
      <c r="N389" s="458"/>
      <c r="O389" s="443"/>
      <c r="P389" s="447"/>
    </row>
    <row r="390" spans="1:16" s="444" customFormat="1" ht="15">
      <c r="A390" s="443"/>
      <c r="B390" s="443"/>
      <c r="C390" s="443"/>
      <c r="D390" s="443"/>
      <c r="E390" s="458"/>
      <c r="F390" s="458"/>
      <c r="G390" s="458"/>
      <c r="H390" s="458"/>
      <c r="I390" s="458"/>
      <c r="J390" s="458"/>
      <c r="K390" s="458"/>
      <c r="L390" s="458"/>
      <c r="M390" s="458"/>
      <c r="N390" s="458"/>
      <c r="O390" s="443"/>
      <c r="P390" s="447"/>
    </row>
    <row r="391" spans="1:16" s="444" customFormat="1" ht="15">
      <c r="A391" s="443"/>
      <c r="B391" s="443"/>
      <c r="C391" s="443"/>
      <c r="D391" s="443"/>
      <c r="E391" s="458"/>
      <c r="F391" s="458"/>
      <c r="G391" s="458"/>
      <c r="H391" s="458"/>
      <c r="I391" s="458"/>
      <c r="J391" s="458"/>
      <c r="K391" s="458"/>
      <c r="L391" s="458"/>
      <c r="M391" s="458"/>
      <c r="N391" s="458"/>
      <c r="O391" s="443"/>
      <c r="P391" s="447"/>
    </row>
    <row r="392" spans="1:16" s="444" customFormat="1" ht="15">
      <c r="A392" s="443"/>
      <c r="B392" s="443"/>
      <c r="C392" s="443"/>
      <c r="D392" s="443"/>
      <c r="E392" s="458"/>
      <c r="F392" s="458"/>
      <c r="G392" s="458"/>
      <c r="H392" s="458"/>
      <c r="I392" s="458"/>
      <c r="J392" s="458"/>
      <c r="K392" s="458"/>
      <c r="L392" s="458"/>
      <c r="M392" s="458"/>
      <c r="N392" s="458"/>
      <c r="O392" s="443"/>
      <c r="P392" s="447"/>
    </row>
    <row r="393" spans="1:16" s="444" customFormat="1" ht="15">
      <c r="A393" s="443"/>
      <c r="B393" s="443"/>
      <c r="C393" s="443"/>
      <c r="D393" s="443"/>
      <c r="E393" s="458"/>
      <c r="F393" s="458"/>
      <c r="G393" s="458"/>
      <c r="H393" s="458"/>
      <c r="I393" s="458"/>
      <c r="J393" s="458"/>
      <c r="K393" s="458"/>
      <c r="L393" s="458"/>
      <c r="M393" s="458"/>
      <c r="N393" s="458"/>
      <c r="O393" s="443"/>
      <c r="P393" s="447"/>
    </row>
    <row r="394" spans="1:16" s="444" customFormat="1" ht="15">
      <c r="A394" s="443"/>
      <c r="B394" s="443"/>
      <c r="C394" s="443"/>
      <c r="D394" s="443"/>
      <c r="E394" s="458"/>
      <c r="F394" s="458"/>
      <c r="G394" s="458"/>
      <c r="H394" s="458"/>
      <c r="I394" s="458"/>
      <c r="J394" s="458"/>
      <c r="K394" s="458"/>
      <c r="L394" s="458"/>
      <c r="M394" s="458"/>
      <c r="N394" s="458"/>
      <c r="O394" s="443"/>
      <c r="P394" s="447"/>
    </row>
    <row r="395" spans="1:16" s="444" customFormat="1" ht="15">
      <c r="A395" s="443"/>
      <c r="B395" s="443"/>
      <c r="C395" s="443"/>
      <c r="D395" s="443"/>
      <c r="E395" s="458"/>
      <c r="F395" s="458"/>
      <c r="G395" s="458"/>
      <c r="H395" s="458"/>
      <c r="I395" s="458"/>
      <c r="J395" s="458"/>
      <c r="K395" s="458"/>
      <c r="L395" s="458"/>
      <c r="M395" s="458"/>
      <c r="N395" s="458"/>
      <c r="O395" s="443"/>
      <c r="P395" s="447"/>
    </row>
    <row r="396" spans="1:16" s="444" customFormat="1" ht="15">
      <c r="A396" s="443"/>
      <c r="B396" s="443"/>
      <c r="C396" s="443"/>
      <c r="D396" s="443"/>
      <c r="E396" s="458"/>
      <c r="F396" s="458"/>
      <c r="G396" s="458"/>
      <c r="H396" s="458"/>
      <c r="I396" s="458"/>
      <c r="J396" s="458"/>
      <c r="K396" s="458"/>
      <c r="L396" s="458"/>
      <c r="M396" s="458"/>
      <c r="N396" s="458"/>
      <c r="O396" s="443"/>
      <c r="P396" s="447"/>
    </row>
    <row r="397" spans="1:16" s="444" customFormat="1" ht="15">
      <c r="A397" s="443"/>
      <c r="B397" s="443"/>
      <c r="C397" s="443"/>
      <c r="D397" s="443"/>
      <c r="E397" s="458"/>
      <c r="F397" s="458"/>
      <c r="G397" s="458"/>
      <c r="H397" s="458"/>
      <c r="I397" s="458"/>
      <c r="J397" s="458"/>
      <c r="K397" s="458"/>
      <c r="L397" s="458"/>
      <c r="M397" s="458"/>
      <c r="N397" s="458"/>
      <c r="O397" s="443"/>
      <c r="P397" s="447"/>
    </row>
    <row r="398" spans="1:16" s="444" customFormat="1" ht="15">
      <c r="A398" s="443"/>
      <c r="B398" s="443"/>
      <c r="C398" s="443"/>
      <c r="D398" s="443"/>
      <c r="E398" s="458"/>
      <c r="F398" s="458"/>
      <c r="G398" s="458"/>
      <c r="H398" s="458"/>
      <c r="I398" s="458"/>
      <c r="J398" s="458"/>
      <c r="K398" s="458"/>
      <c r="L398" s="458"/>
      <c r="M398" s="458"/>
      <c r="N398" s="458"/>
      <c r="O398" s="443"/>
      <c r="P398" s="447"/>
    </row>
    <row r="399" spans="1:16" s="444" customFormat="1" ht="15">
      <c r="A399" s="443"/>
      <c r="B399" s="443"/>
      <c r="C399" s="443"/>
      <c r="D399" s="443"/>
      <c r="E399" s="458"/>
      <c r="F399" s="458"/>
      <c r="G399" s="458"/>
      <c r="H399" s="458"/>
      <c r="I399" s="458"/>
      <c r="J399" s="458"/>
      <c r="K399" s="458"/>
      <c r="L399" s="458"/>
      <c r="M399" s="458"/>
      <c r="N399" s="458"/>
      <c r="O399" s="443"/>
      <c r="P399" s="447"/>
    </row>
    <row r="400" spans="1:16" s="444" customFormat="1" ht="15">
      <c r="A400" s="443"/>
      <c r="B400" s="443"/>
      <c r="C400" s="443"/>
      <c r="D400" s="443"/>
      <c r="E400" s="458"/>
      <c r="F400" s="458"/>
      <c r="G400" s="458"/>
      <c r="H400" s="458"/>
      <c r="I400" s="458"/>
      <c r="J400" s="458"/>
      <c r="K400" s="458"/>
      <c r="L400" s="458"/>
      <c r="M400" s="458"/>
      <c r="N400" s="458"/>
      <c r="O400" s="443"/>
      <c r="P400" s="447"/>
    </row>
    <row r="401" spans="1:16" s="444" customFormat="1" ht="15">
      <c r="A401" s="443"/>
      <c r="B401" s="443"/>
      <c r="C401" s="443"/>
      <c r="D401" s="443"/>
      <c r="E401" s="458"/>
      <c r="F401" s="458"/>
      <c r="G401" s="458"/>
      <c r="H401" s="458"/>
      <c r="I401" s="458"/>
      <c r="J401" s="458"/>
      <c r="K401" s="458"/>
      <c r="L401" s="458"/>
      <c r="M401" s="458"/>
      <c r="N401" s="458"/>
      <c r="O401" s="443"/>
      <c r="P401" s="447"/>
    </row>
    <row r="402" spans="1:16" s="444" customFormat="1" ht="15">
      <c r="A402" s="443"/>
      <c r="B402" s="443"/>
      <c r="C402" s="443"/>
      <c r="D402" s="443"/>
      <c r="E402" s="458"/>
      <c r="F402" s="458"/>
      <c r="G402" s="458"/>
      <c r="H402" s="458"/>
      <c r="I402" s="458"/>
      <c r="J402" s="458"/>
      <c r="K402" s="458"/>
      <c r="L402" s="458"/>
      <c r="M402" s="458"/>
      <c r="N402" s="458"/>
      <c r="O402" s="443"/>
      <c r="P402" s="447"/>
    </row>
    <row r="403" spans="1:16" s="444" customFormat="1" ht="15">
      <c r="A403" s="443"/>
      <c r="B403" s="443"/>
      <c r="C403" s="443"/>
      <c r="D403" s="443"/>
      <c r="E403" s="458"/>
      <c r="F403" s="458"/>
      <c r="G403" s="458"/>
      <c r="H403" s="458"/>
      <c r="I403" s="458"/>
      <c r="J403" s="458"/>
      <c r="K403" s="458"/>
      <c r="L403" s="458"/>
      <c r="M403" s="458"/>
      <c r="N403" s="458"/>
      <c r="O403" s="443"/>
      <c r="P403" s="447"/>
    </row>
    <row r="404" spans="1:16" s="444" customFormat="1" ht="15">
      <c r="A404" s="443"/>
      <c r="B404" s="443"/>
      <c r="C404" s="443"/>
      <c r="D404" s="443"/>
      <c r="E404" s="458"/>
      <c r="F404" s="458"/>
      <c r="G404" s="458"/>
      <c r="H404" s="458"/>
      <c r="I404" s="458"/>
      <c r="J404" s="458"/>
      <c r="K404" s="458"/>
      <c r="L404" s="458"/>
      <c r="M404" s="458"/>
      <c r="N404" s="458"/>
      <c r="O404" s="443"/>
      <c r="P404" s="447"/>
    </row>
    <row r="405" spans="1:16" s="444" customFormat="1" ht="15">
      <c r="A405" s="443"/>
      <c r="B405" s="443"/>
      <c r="C405" s="443"/>
      <c r="D405" s="443"/>
      <c r="E405" s="458"/>
      <c r="F405" s="458"/>
      <c r="G405" s="458"/>
      <c r="H405" s="458"/>
      <c r="I405" s="458"/>
      <c r="J405" s="458"/>
      <c r="K405" s="458"/>
      <c r="L405" s="458"/>
      <c r="M405" s="458"/>
      <c r="N405" s="458"/>
      <c r="O405" s="443"/>
      <c r="P405" s="447"/>
    </row>
    <row r="406" spans="1:16" s="444" customFormat="1" ht="15">
      <c r="A406" s="443"/>
      <c r="B406" s="443"/>
      <c r="C406" s="443"/>
      <c r="D406" s="443"/>
      <c r="E406" s="458"/>
      <c r="F406" s="458"/>
      <c r="G406" s="458"/>
      <c r="H406" s="458"/>
      <c r="I406" s="458"/>
      <c r="J406" s="458"/>
      <c r="K406" s="458"/>
      <c r="L406" s="458"/>
      <c r="M406" s="458"/>
      <c r="N406" s="458"/>
      <c r="O406" s="443"/>
      <c r="P406" s="447"/>
    </row>
    <row r="407" spans="1:16" s="444" customFormat="1" ht="15">
      <c r="A407" s="443"/>
      <c r="B407" s="443"/>
      <c r="C407" s="443"/>
      <c r="D407" s="443"/>
      <c r="E407" s="458"/>
      <c r="F407" s="458"/>
      <c r="G407" s="458"/>
      <c r="H407" s="458"/>
      <c r="I407" s="458"/>
      <c r="J407" s="458"/>
      <c r="K407" s="458"/>
      <c r="L407" s="458"/>
      <c r="M407" s="458"/>
      <c r="N407" s="458"/>
      <c r="O407" s="443"/>
      <c r="P407" s="447"/>
    </row>
    <row r="408" spans="1:16" s="444" customFormat="1" ht="15">
      <c r="A408" s="443"/>
      <c r="B408" s="443"/>
      <c r="C408" s="443"/>
      <c r="D408" s="443"/>
      <c r="E408" s="458"/>
      <c r="F408" s="458"/>
      <c r="G408" s="458"/>
      <c r="H408" s="458"/>
      <c r="I408" s="458"/>
      <c r="J408" s="458"/>
      <c r="K408" s="458"/>
      <c r="L408" s="458"/>
      <c r="M408" s="458"/>
      <c r="N408" s="458"/>
      <c r="O408" s="443"/>
      <c r="P408" s="447"/>
    </row>
    <row r="409" spans="1:16" s="444" customFormat="1" ht="15">
      <c r="A409" s="443"/>
      <c r="B409" s="443"/>
      <c r="C409" s="443"/>
      <c r="D409" s="443"/>
      <c r="E409" s="458"/>
      <c r="F409" s="458"/>
      <c r="G409" s="458"/>
      <c r="H409" s="458"/>
      <c r="I409" s="458"/>
      <c r="J409" s="458"/>
      <c r="K409" s="458"/>
      <c r="L409" s="458"/>
      <c r="M409" s="458"/>
      <c r="N409" s="458"/>
      <c r="O409" s="443"/>
      <c r="P409" s="447"/>
    </row>
    <row r="410" spans="1:16" s="444" customFormat="1" ht="15">
      <c r="A410" s="443"/>
      <c r="B410" s="443"/>
      <c r="C410" s="443"/>
      <c r="D410" s="443"/>
      <c r="E410" s="458"/>
      <c r="F410" s="458"/>
      <c r="G410" s="458"/>
      <c r="H410" s="458"/>
      <c r="I410" s="458"/>
      <c r="J410" s="458"/>
      <c r="K410" s="458"/>
      <c r="L410" s="458"/>
      <c r="M410" s="458"/>
      <c r="N410" s="458"/>
      <c r="O410" s="443"/>
      <c r="P410" s="447"/>
    </row>
    <row r="411" spans="1:16" s="444" customFormat="1" ht="15">
      <c r="A411" s="443"/>
      <c r="B411" s="443"/>
      <c r="C411" s="443"/>
      <c r="D411" s="443"/>
      <c r="E411" s="458"/>
      <c r="F411" s="458"/>
      <c r="G411" s="458"/>
      <c r="H411" s="458"/>
      <c r="I411" s="458"/>
      <c r="J411" s="458"/>
      <c r="K411" s="458"/>
      <c r="L411" s="458"/>
      <c r="M411" s="458"/>
      <c r="N411" s="458"/>
      <c r="O411" s="443"/>
      <c r="P411" s="447"/>
    </row>
    <row r="412" spans="1:16" s="444" customFormat="1" ht="15">
      <c r="A412" s="443"/>
      <c r="B412" s="443"/>
      <c r="C412" s="443"/>
      <c r="D412" s="443"/>
      <c r="E412" s="458"/>
      <c r="F412" s="458"/>
      <c r="G412" s="458"/>
      <c r="H412" s="458"/>
      <c r="I412" s="458"/>
      <c r="J412" s="458"/>
      <c r="K412" s="458"/>
      <c r="L412" s="458"/>
      <c r="M412" s="458"/>
      <c r="N412" s="458"/>
      <c r="O412" s="443"/>
      <c r="P412" s="447"/>
    </row>
    <row r="413" spans="1:16" s="444" customFormat="1" ht="15">
      <c r="A413" s="443"/>
      <c r="B413" s="443"/>
      <c r="C413" s="443"/>
      <c r="D413" s="443"/>
      <c r="E413" s="458"/>
      <c r="F413" s="458"/>
      <c r="G413" s="458"/>
      <c r="H413" s="458"/>
      <c r="I413" s="458"/>
      <c r="J413" s="458"/>
      <c r="K413" s="458"/>
      <c r="L413" s="458"/>
      <c r="M413" s="458"/>
      <c r="N413" s="458"/>
      <c r="O413" s="443"/>
      <c r="P413" s="447"/>
    </row>
    <row r="414" spans="1:16" s="444" customFormat="1" ht="15">
      <c r="A414" s="443"/>
      <c r="B414" s="443"/>
      <c r="C414" s="443"/>
      <c r="D414" s="443"/>
      <c r="E414" s="458"/>
      <c r="F414" s="458"/>
      <c r="G414" s="458"/>
      <c r="H414" s="458"/>
      <c r="I414" s="458"/>
      <c r="J414" s="458"/>
      <c r="K414" s="458"/>
      <c r="L414" s="458"/>
      <c r="M414" s="458"/>
      <c r="N414" s="458"/>
      <c r="O414" s="443"/>
      <c r="P414" s="447"/>
    </row>
    <row r="415" spans="1:16" s="444" customFormat="1" ht="15">
      <c r="A415" s="443"/>
      <c r="B415" s="443"/>
      <c r="C415" s="443"/>
      <c r="D415" s="443"/>
      <c r="E415" s="458"/>
      <c r="F415" s="458"/>
      <c r="G415" s="458"/>
      <c r="H415" s="458"/>
      <c r="I415" s="458"/>
      <c r="J415" s="458"/>
      <c r="K415" s="458"/>
      <c r="L415" s="458"/>
      <c r="M415" s="458"/>
      <c r="N415" s="458"/>
      <c r="O415" s="443"/>
      <c r="P415" s="447"/>
    </row>
    <row r="416" spans="1:16" s="444" customFormat="1" ht="15">
      <c r="A416" s="443"/>
      <c r="B416" s="443"/>
      <c r="C416" s="443"/>
      <c r="D416" s="443"/>
      <c r="E416" s="458"/>
      <c r="F416" s="458"/>
      <c r="G416" s="458"/>
      <c r="H416" s="458"/>
      <c r="I416" s="458"/>
      <c r="J416" s="458"/>
      <c r="K416" s="458"/>
      <c r="L416" s="458"/>
      <c r="M416" s="458"/>
      <c r="N416" s="458"/>
      <c r="O416" s="443"/>
      <c r="P416" s="447"/>
    </row>
    <row r="417" spans="1:16" s="444" customFormat="1" ht="15">
      <c r="A417" s="443"/>
      <c r="B417" s="443"/>
      <c r="C417" s="443"/>
      <c r="D417" s="443"/>
      <c r="E417" s="458"/>
      <c r="F417" s="458"/>
      <c r="G417" s="458"/>
      <c r="H417" s="458"/>
      <c r="I417" s="458"/>
      <c r="J417" s="458"/>
      <c r="K417" s="458"/>
      <c r="L417" s="458"/>
      <c r="M417" s="458"/>
      <c r="N417" s="458"/>
      <c r="O417" s="443"/>
      <c r="P417" s="447"/>
    </row>
    <row r="418" spans="1:16" s="444" customFormat="1" ht="15">
      <c r="A418" s="443"/>
      <c r="B418" s="443"/>
      <c r="C418" s="443"/>
      <c r="D418" s="443"/>
      <c r="E418" s="458"/>
      <c r="F418" s="458"/>
      <c r="G418" s="458"/>
      <c r="H418" s="458"/>
      <c r="I418" s="458"/>
      <c r="J418" s="458"/>
      <c r="K418" s="458"/>
      <c r="L418" s="458"/>
      <c r="M418" s="458"/>
      <c r="N418" s="458"/>
      <c r="O418" s="443"/>
      <c r="P418" s="447"/>
    </row>
    <row r="419" spans="1:16" s="444" customFormat="1" ht="15">
      <c r="A419" s="443"/>
      <c r="B419" s="443"/>
      <c r="C419" s="443"/>
      <c r="D419" s="443"/>
      <c r="E419" s="458"/>
      <c r="F419" s="458"/>
      <c r="G419" s="458"/>
      <c r="H419" s="458"/>
      <c r="I419" s="458"/>
      <c r="J419" s="458"/>
      <c r="K419" s="458"/>
      <c r="L419" s="458"/>
      <c r="M419" s="458"/>
      <c r="N419" s="458"/>
      <c r="O419" s="443"/>
      <c r="P419" s="447"/>
    </row>
    <row r="420" spans="1:16" s="444" customFormat="1" ht="15">
      <c r="A420" s="443"/>
      <c r="B420" s="443"/>
      <c r="C420" s="443"/>
      <c r="D420" s="443"/>
      <c r="E420" s="458"/>
      <c r="F420" s="458"/>
      <c r="G420" s="458"/>
      <c r="H420" s="458"/>
      <c r="I420" s="458"/>
      <c r="J420" s="458"/>
      <c r="K420" s="458"/>
      <c r="L420" s="458"/>
      <c r="M420" s="458"/>
      <c r="N420" s="458"/>
      <c r="O420" s="443"/>
      <c r="P420" s="447"/>
    </row>
    <row r="421" spans="1:16" s="444" customFormat="1" ht="15">
      <c r="A421" s="443"/>
      <c r="B421" s="443"/>
      <c r="C421" s="443"/>
      <c r="D421" s="443"/>
      <c r="E421" s="458"/>
      <c r="F421" s="458"/>
      <c r="G421" s="458"/>
      <c r="H421" s="458"/>
      <c r="I421" s="458"/>
      <c r="J421" s="458"/>
      <c r="K421" s="458"/>
      <c r="L421" s="458"/>
      <c r="M421" s="458"/>
      <c r="N421" s="458"/>
      <c r="O421" s="443"/>
      <c r="P421" s="447"/>
    </row>
    <row r="422" spans="1:16" s="444" customFormat="1" ht="15">
      <c r="A422" s="443"/>
      <c r="B422" s="443"/>
      <c r="C422" s="443"/>
      <c r="D422" s="443"/>
      <c r="E422" s="458"/>
      <c r="F422" s="458"/>
      <c r="G422" s="458"/>
      <c r="H422" s="458"/>
      <c r="I422" s="458"/>
      <c r="J422" s="458"/>
      <c r="K422" s="458"/>
      <c r="L422" s="458"/>
      <c r="M422" s="458"/>
      <c r="N422" s="458"/>
      <c r="O422" s="443"/>
      <c r="P422" s="447"/>
    </row>
    <row r="423" spans="1:16" s="444" customFormat="1" ht="15">
      <c r="A423" s="443"/>
      <c r="B423" s="443"/>
      <c r="C423" s="443"/>
      <c r="D423" s="443"/>
      <c r="E423" s="458"/>
      <c r="F423" s="458"/>
      <c r="G423" s="458"/>
      <c r="H423" s="458"/>
      <c r="I423" s="458"/>
      <c r="J423" s="458"/>
      <c r="K423" s="458"/>
      <c r="L423" s="458"/>
      <c r="M423" s="458"/>
      <c r="N423" s="458"/>
      <c r="O423" s="443"/>
      <c r="P423" s="447"/>
    </row>
    <row r="424" spans="1:16" s="444" customFormat="1" ht="15">
      <c r="A424" s="443"/>
      <c r="B424" s="443"/>
      <c r="C424" s="443"/>
      <c r="D424" s="443"/>
      <c r="E424" s="458"/>
      <c r="F424" s="458"/>
      <c r="G424" s="458"/>
      <c r="H424" s="458"/>
      <c r="I424" s="458"/>
      <c r="J424" s="458"/>
      <c r="K424" s="458"/>
      <c r="L424" s="458"/>
      <c r="M424" s="458"/>
      <c r="N424" s="458"/>
      <c r="O424" s="443"/>
      <c r="P424" s="447"/>
    </row>
    <row r="425" spans="1:16" s="444" customFormat="1" ht="15">
      <c r="A425" s="443"/>
      <c r="B425" s="443"/>
      <c r="C425" s="443"/>
      <c r="D425" s="443"/>
      <c r="E425" s="458"/>
      <c r="F425" s="458"/>
      <c r="G425" s="458"/>
      <c r="H425" s="458"/>
      <c r="I425" s="458"/>
      <c r="J425" s="458"/>
      <c r="K425" s="458"/>
      <c r="L425" s="458"/>
      <c r="M425" s="458"/>
      <c r="N425" s="458"/>
      <c r="O425" s="443"/>
      <c r="P425" s="447"/>
    </row>
    <row r="426" spans="1:16" s="444" customFormat="1" ht="15">
      <c r="A426" s="443"/>
      <c r="B426" s="443"/>
      <c r="C426" s="443"/>
      <c r="D426" s="443"/>
      <c r="E426" s="458"/>
      <c r="F426" s="458"/>
      <c r="G426" s="458"/>
      <c r="H426" s="458"/>
      <c r="I426" s="458"/>
      <c r="J426" s="458"/>
      <c r="K426" s="458"/>
      <c r="L426" s="458"/>
      <c r="M426" s="458"/>
      <c r="N426" s="458"/>
      <c r="O426" s="443"/>
      <c r="P426" s="447"/>
    </row>
    <row r="427" spans="1:16" s="444" customFormat="1" ht="15">
      <c r="A427" s="443"/>
      <c r="B427" s="443"/>
      <c r="C427" s="443"/>
      <c r="D427" s="443"/>
      <c r="E427" s="458"/>
      <c r="F427" s="458"/>
      <c r="G427" s="458"/>
      <c r="H427" s="458"/>
      <c r="I427" s="458"/>
      <c r="J427" s="458"/>
      <c r="K427" s="458"/>
      <c r="L427" s="458"/>
      <c r="M427" s="458"/>
      <c r="N427" s="458"/>
      <c r="O427" s="443"/>
      <c r="P427" s="447"/>
    </row>
    <row r="428" spans="1:16" s="444" customFormat="1" ht="15">
      <c r="A428" s="443"/>
      <c r="B428" s="443"/>
      <c r="C428" s="443"/>
      <c r="D428" s="443"/>
      <c r="E428" s="458"/>
      <c r="F428" s="458"/>
      <c r="G428" s="458"/>
      <c r="H428" s="458"/>
      <c r="I428" s="458"/>
      <c r="J428" s="458"/>
      <c r="K428" s="458"/>
      <c r="L428" s="458"/>
      <c r="M428" s="458"/>
      <c r="N428" s="458"/>
      <c r="O428" s="443"/>
      <c r="P428" s="447"/>
    </row>
    <row r="429" spans="1:16" s="444" customFormat="1" ht="15">
      <c r="A429" s="443"/>
      <c r="B429" s="443"/>
      <c r="C429" s="443"/>
      <c r="D429" s="443"/>
      <c r="E429" s="458"/>
      <c r="F429" s="458"/>
      <c r="G429" s="458"/>
      <c r="H429" s="458"/>
      <c r="I429" s="458"/>
      <c r="J429" s="458"/>
      <c r="K429" s="458"/>
      <c r="L429" s="458"/>
      <c r="M429" s="458"/>
      <c r="N429" s="458"/>
      <c r="O429" s="443"/>
      <c r="P429" s="447"/>
    </row>
    <row r="430" spans="1:16" s="444" customFormat="1" ht="15">
      <c r="A430" s="443"/>
      <c r="B430" s="443"/>
      <c r="C430" s="443"/>
      <c r="D430" s="443"/>
      <c r="E430" s="458"/>
      <c r="F430" s="458"/>
      <c r="G430" s="458"/>
      <c r="H430" s="458"/>
      <c r="I430" s="458"/>
      <c r="J430" s="458"/>
      <c r="K430" s="458"/>
      <c r="L430" s="458"/>
      <c r="M430" s="458"/>
      <c r="N430" s="458"/>
      <c r="O430" s="443"/>
      <c r="P430" s="447"/>
    </row>
    <row r="431" spans="1:16" s="444" customFormat="1" ht="15">
      <c r="A431" s="443"/>
      <c r="B431" s="443"/>
      <c r="C431" s="443"/>
      <c r="D431" s="443"/>
      <c r="E431" s="458"/>
      <c r="F431" s="458"/>
      <c r="G431" s="458"/>
      <c r="H431" s="458"/>
      <c r="I431" s="458"/>
      <c r="J431" s="458"/>
      <c r="K431" s="458"/>
      <c r="L431" s="458"/>
      <c r="M431" s="458"/>
      <c r="N431" s="458"/>
      <c r="O431" s="443"/>
      <c r="P431" s="447"/>
    </row>
    <row r="432" spans="1:16" s="444" customFormat="1" ht="15">
      <c r="A432" s="443"/>
      <c r="B432" s="443"/>
      <c r="C432" s="443"/>
      <c r="D432" s="443"/>
      <c r="E432" s="458"/>
      <c r="F432" s="458"/>
      <c r="G432" s="458"/>
      <c r="H432" s="458"/>
      <c r="I432" s="458"/>
      <c r="J432" s="458"/>
      <c r="K432" s="458"/>
      <c r="L432" s="458"/>
      <c r="M432" s="458"/>
      <c r="N432" s="458"/>
      <c r="O432" s="443"/>
      <c r="P432" s="447"/>
    </row>
    <row r="433" spans="1:16" s="444" customFormat="1" ht="15">
      <c r="A433" s="443"/>
      <c r="B433" s="443"/>
      <c r="C433" s="443"/>
      <c r="D433" s="443"/>
      <c r="E433" s="458"/>
      <c r="F433" s="458"/>
      <c r="G433" s="458"/>
      <c r="H433" s="458"/>
      <c r="I433" s="458"/>
      <c r="J433" s="458"/>
      <c r="K433" s="458"/>
      <c r="L433" s="458"/>
      <c r="M433" s="458"/>
      <c r="N433" s="458"/>
      <c r="O433" s="443"/>
      <c r="P433" s="447"/>
    </row>
    <row r="434" spans="1:16" s="444" customFormat="1" ht="15">
      <c r="A434" s="443"/>
      <c r="B434" s="443"/>
      <c r="C434" s="443"/>
      <c r="D434" s="443"/>
      <c r="E434" s="458"/>
      <c r="F434" s="458"/>
      <c r="G434" s="458"/>
      <c r="H434" s="458"/>
      <c r="I434" s="458"/>
      <c r="J434" s="458"/>
      <c r="K434" s="458"/>
      <c r="L434" s="458"/>
      <c r="M434" s="458"/>
      <c r="N434" s="458"/>
      <c r="O434" s="443"/>
      <c r="P434" s="447"/>
    </row>
    <row r="435" spans="1:16" s="444" customFormat="1" ht="15">
      <c r="A435" s="443"/>
      <c r="B435" s="443"/>
      <c r="C435" s="443"/>
      <c r="D435" s="443"/>
      <c r="E435" s="458"/>
      <c r="F435" s="458"/>
      <c r="G435" s="458"/>
      <c r="H435" s="458"/>
      <c r="I435" s="458"/>
      <c r="J435" s="458"/>
      <c r="K435" s="458"/>
      <c r="L435" s="458"/>
      <c r="M435" s="458"/>
      <c r="N435" s="458"/>
      <c r="O435" s="443"/>
      <c r="P435" s="447"/>
    </row>
    <row r="436" spans="1:16" s="444" customFormat="1" ht="15">
      <c r="A436" s="443"/>
      <c r="B436" s="443"/>
      <c r="C436" s="443"/>
      <c r="D436" s="443"/>
      <c r="E436" s="458"/>
      <c r="F436" s="458"/>
      <c r="G436" s="458"/>
      <c r="H436" s="458"/>
      <c r="I436" s="458"/>
      <c r="J436" s="458"/>
      <c r="K436" s="458"/>
      <c r="L436" s="458"/>
      <c r="M436" s="458"/>
      <c r="N436" s="458"/>
      <c r="O436" s="443"/>
      <c r="P436" s="447"/>
    </row>
    <row r="437" spans="1:16" s="444" customFormat="1" ht="15">
      <c r="A437" s="443"/>
      <c r="B437" s="443"/>
      <c r="C437" s="443"/>
      <c r="D437" s="443"/>
      <c r="E437" s="458"/>
      <c r="F437" s="458"/>
      <c r="G437" s="458"/>
      <c r="H437" s="458"/>
      <c r="I437" s="458"/>
      <c r="J437" s="458"/>
      <c r="K437" s="458"/>
      <c r="L437" s="458"/>
      <c r="M437" s="458"/>
      <c r="N437" s="458"/>
      <c r="O437" s="443"/>
      <c r="P437" s="447"/>
    </row>
    <row r="438" spans="1:16" s="444" customFormat="1" ht="15">
      <c r="A438" s="443"/>
      <c r="B438" s="443"/>
      <c r="C438" s="443"/>
      <c r="D438" s="443"/>
      <c r="E438" s="458"/>
      <c r="F438" s="458"/>
      <c r="G438" s="458"/>
      <c r="H438" s="458"/>
      <c r="I438" s="458"/>
      <c r="J438" s="458"/>
      <c r="K438" s="458"/>
      <c r="L438" s="458"/>
      <c r="M438" s="458"/>
      <c r="N438" s="458"/>
      <c r="O438" s="443"/>
      <c r="P438" s="447"/>
    </row>
    <row r="439" spans="1:16" s="444" customFormat="1" ht="15">
      <c r="A439" s="443"/>
      <c r="B439" s="443"/>
      <c r="C439" s="443"/>
      <c r="D439" s="443"/>
      <c r="E439" s="458"/>
      <c r="F439" s="458"/>
      <c r="G439" s="458"/>
      <c r="H439" s="458"/>
      <c r="I439" s="458"/>
      <c r="J439" s="458"/>
      <c r="K439" s="458"/>
      <c r="L439" s="458"/>
      <c r="M439" s="458"/>
      <c r="N439" s="458"/>
      <c r="O439" s="443"/>
      <c r="P439" s="447"/>
    </row>
    <row r="440" spans="1:16" s="444" customFormat="1" ht="15">
      <c r="A440" s="443"/>
      <c r="B440" s="443"/>
      <c r="C440" s="443"/>
      <c r="D440" s="443"/>
      <c r="E440" s="458"/>
      <c r="F440" s="458"/>
      <c r="G440" s="458"/>
      <c r="H440" s="458"/>
      <c r="I440" s="458"/>
      <c r="J440" s="458"/>
      <c r="K440" s="458"/>
      <c r="L440" s="458"/>
      <c r="M440" s="458"/>
      <c r="N440" s="458"/>
      <c r="O440" s="443"/>
      <c r="P440" s="447"/>
    </row>
    <row r="441" spans="1:16" s="444" customFormat="1" ht="15">
      <c r="A441" s="443"/>
      <c r="B441" s="443"/>
      <c r="C441" s="443"/>
      <c r="D441" s="443"/>
      <c r="E441" s="458"/>
      <c r="F441" s="458"/>
      <c r="G441" s="458"/>
      <c r="H441" s="458"/>
      <c r="I441" s="458"/>
      <c r="J441" s="458"/>
      <c r="K441" s="458"/>
      <c r="L441" s="458"/>
      <c r="M441" s="458"/>
      <c r="N441" s="458"/>
      <c r="O441" s="443"/>
      <c r="P441" s="447"/>
    </row>
    <row r="442" spans="1:16" s="444" customFormat="1" ht="15">
      <c r="A442" s="443"/>
      <c r="B442" s="443"/>
      <c r="C442" s="443"/>
      <c r="D442" s="443"/>
      <c r="E442" s="458"/>
      <c r="F442" s="458"/>
      <c r="G442" s="458"/>
      <c r="H442" s="458"/>
      <c r="I442" s="458"/>
      <c r="J442" s="458"/>
      <c r="K442" s="458"/>
      <c r="L442" s="458"/>
      <c r="M442" s="458"/>
      <c r="N442" s="458"/>
      <c r="O442" s="443"/>
      <c r="P442" s="447"/>
    </row>
    <row r="443" spans="1:16" s="444" customFormat="1" ht="15">
      <c r="A443" s="443"/>
      <c r="B443" s="443"/>
      <c r="C443" s="443"/>
      <c r="D443" s="443"/>
      <c r="E443" s="458"/>
      <c r="F443" s="458"/>
      <c r="G443" s="458"/>
      <c r="H443" s="458"/>
      <c r="I443" s="458"/>
      <c r="J443" s="458"/>
      <c r="K443" s="458"/>
      <c r="L443" s="458"/>
      <c r="M443" s="458"/>
      <c r="N443" s="458"/>
      <c r="O443" s="443"/>
      <c r="P443" s="447"/>
    </row>
    <row r="444" spans="1:16" s="444" customFormat="1" ht="15">
      <c r="A444" s="443"/>
      <c r="B444" s="443"/>
      <c r="C444" s="443"/>
      <c r="D444" s="443"/>
      <c r="E444" s="458"/>
      <c r="F444" s="458"/>
      <c r="G444" s="458"/>
      <c r="H444" s="458"/>
      <c r="I444" s="458"/>
      <c r="J444" s="458"/>
      <c r="K444" s="458"/>
      <c r="L444" s="458"/>
      <c r="M444" s="458"/>
      <c r="N444" s="458"/>
      <c r="O444" s="443"/>
      <c r="P444" s="447"/>
    </row>
    <row r="445" spans="1:16" s="444" customFormat="1" ht="15">
      <c r="A445" s="443"/>
      <c r="B445" s="443"/>
      <c r="C445" s="443"/>
      <c r="D445" s="443"/>
      <c r="E445" s="458"/>
      <c r="F445" s="458"/>
      <c r="G445" s="458"/>
      <c r="H445" s="458"/>
      <c r="I445" s="458"/>
      <c r="J445" s="458"/>
      <c r="K445" s="458"/>
      <c r="L445" s="458"/>
      <c r="M445" s="458"/>
      <c r="N445" s="458"/>
      <c r="O445" s="443"/>
      <c r="P445" s="447"/>
    </row>
    <row r="446" spans="1:16" s="444" customFormat="1" ht="15">
      <c r="A446" s="443"/>
      <c r="B446" s="443"/>
      <c r="C446" s="443"/>
      <c r="D446" s="443"/>
      <c r="E446" s="458"/>
      <c r="F446" s="458"/>
      <c r="G446" s="458"/>
      <c r="H446" s="458"/>
      <c r="I446" s="458"/>
      <c r="J446" s="458"/>
      <c r="K446" s="458"/>
      <c r="L446" s="458"/>
      <c r="M446" s="458"/>
      <c r="N446" s="458"/>
      <c r="O446" s="443"/>
      <c r="P446" s="447"/>
    </row>
    <row r="447" spans="1:16" s="444" customFormat="1" ht="15">
      <c r="A447" s="443"/>
      <c r="B447" s="443"/>
      <c r="C447" s="443"/>
      <c r="D447" s="443"/>
      <c r="E447" s="458"/>
      <c r="F447" s="458"/>
      <c r="G447" s="458"/>
      <c r="H447" s="458"/>
      <c r="I447" s="458"/>
      <c r="J447" s="458"/>
      <c r="K447" s="458"/>
      <c r="L447" s="458"/>
      <c r="M447" s="458"/>
      <c r="N447" s="458"/>
      <c r="O447" s="443"/>
      <c r="P447" s="447"/>
    </row>
    <row r="448" spans="1:16" s="444" customFormat="1" ht="15">
      <c r="A448" s="443"/>
      <c r="B448" s="443"/>
      <c r="C448" s="443"/>
      <c r="D448" s="443"/>
      <c r="E448" s="458"/>
      <c r="F448" s="458"/>
      <c r="G448" s="458"/>
      <c r="H448" s="458"/>
      <c r="I448" s="458"/>
      <c r="J448" s="458"/>
      <c r="K448" s="458"/>
      <c r="L448" s="458"/>
      <c r="M448" s="458"/>
      <c r="N448" s="458"/>
      <c r="O448" s="443"/>
      <c r="P448" s="447"/>
    </row>
    <row r="449" spans="1:16" s="444" customFormat="1" ht="15">
      <c r="A449" s="443"/>
      <c r="B449" s="443"/>
      <c r="C449" s="443"/>
      <c r="D449" s="443"/>
      <c r="E449" s="458"/>
      <c r="F449" s="458"/>
      <c r="G449" s="458"/>
      <c r="H449" s="458"/>
      <c r="I449" s="458"/>
      <c r="J449" s="458"/>
      <c r="K449" s="458"/>
      <c r="L449" s="458"/>
      <c r="M449" s="458"/>
      <c r="N449" s="458"/>
      <c r="O449" s="443"/>
      <c r="P449" s="447"/>
    </row>
    <row r="450" spans="1:16" s="444" customFormat="1" ht="15">
      <c r="A450" s="443"/>
      <c r="B450" s="443"/>
      <c r="C450" s="443"/>
      <c r="D450" s="443"/>
      <c r="E450" s="458"/>
      <c r="F450" s="458"/>
      <c r="G450" s="458"/>
      <c r="H450" s="458"/>
      <c r="I450" s="458"/>
      <c r="J450" s="458"/>
      <c r="K450" s="458"/>
      <c r="L450" s="458"/>
      <c r="M450" s="458"/>
      <c r="N450" s="458"/>
      <c r="O450" s="443"/>
      <c r="P450" s="447"/>
    </row>
    <row r="451" spans="1:16" s="444" customFormat="1" ht="15">
      <c r="A451" s="443"/>
      <c r="B451" s="443"/>
      <c r="C451" s="443"/>
      <c r="D451" s="443"/>
      <c r="E451" s="458"/>
      <c r="F451" s="458"/>
      <c r="G451" s="458"/>
      <c r="H451" s="458"/>
      <c r="I451" s="458"/>
      <c r="J451" s="458"/>
      <c r="K451" s="458"/>
      <c r="L451" s="458"/>
      <c r="M451" s="458"/>
      <c r="N451" s="458"/>
      <c r="O451" s="443"/>
      <c r="P451" s="447"/>
    </row>
    <row r="452" spans="1:16" s="444" customFormat="1" ht="15">
      <c r="A452" s="443"/>
      <c r="B452" s="443"/>
      <c r="C452" s="443"/>
      <c r="D452" s="443"/>
      <c r="E452" s="458"/>
      <c r="F452" s="458"/>
      <c r="G452" s="458"/>
      <c r="H452" s="458"/>
      <c r="I452" s="458"/>
      <c r="J452" s="458"/>
      <c r="K452" s="458"/>
      <c r="L452" s="458"/>
      <c r="M452" s="458"/>
      <c r="N452" s="458"/>
      <c r="O452" s="443"/>
      <c r="P452" s="447"/>
    </row>
    <row r="453" spans="1:16" s="444" customFormat="1" ht="15">
      <c r="A453" s="443"/>
      <c r="B453" s="443"/>
      <c r="C453" s="443"/>
      <c r="D453" s="443"/>
      <c r="E453" s="458"/>
      <c r="F453" s="458"/>
      <c r="G453" s="458"/>
      <c r="H453" s="458"/>
      <c r="I453" s="458"/>
      <c r="J453" s="458"/>
      <c r="K453" s="458"/>
      <c r="L453" s="458"/>
      <c r="M453" s="458"/>
      <c r="N453" s="458"/>
      <c r="O453" s="443"/>
      <c r="P453" s="447"/>
    </row>
    <row r="454" spans="1:16" s="444" customFormat="1" ht="15">
      <c r="A454" s="443"/>
      <c r="B454" s="443"/>
      <c r="C454" s="443"/>
      <c r="D454" s="443"/>
      <c r="E454" s="458"/>
      <c r="F454" s="458"/>
      <c r="G454" s="458"/>
      <c r="H454" s="458"/>
      <c r="I454" s="458"/>
      <c r="J454" s="458"/>
      <c r="K454" s="458"/>
      <c r="L454" s="458"/>
      <c r="M454" s="458"/>
      <c r="N454" s="458"/>
      <c r="O454" s="443"/>
      <c r="P454" s="447"/>
    </row>
    <row r="455" spans="1:16" s="444" customFormat="1" ht="15">
      <c r="A455" s="443"/>
      <c r="B455" s="443"/>
      <c r="C455" s="443"/>
      <c r="D455" s="443"/>
      <c r="E455" s="458"/>
      <c r="F455" s="458"/>
      <c r="G455" s="458"/>
      <c r="H455" s="458"/>
      <c r="I455" s="458"/>
      <c r="J455" s="458"/>
      <c r="K455" s="458"/>
      <c r="L455" s="458"/>
      <c r="M455" s="458"/>
      <c r="N455" s="458"/>
      <c r="O455" s="443"/>
      <c r="P455" s="447"/>
    </row>
    <row r="456" spans="1:16" s="444" customFormat="1" ht="15">
      <c r="A456" s="443"/>
      <c r="B456" s="443"/>
      <c r="C456" s="443"/>
      <c r="D456" s="443"/>
      <c r="E456" s="458"/>
      <c r="F456" s="458"/>
      <c r="G456" s="458"/>
      <c r="H456" s="458"/>
      <c r="I456" s="458"/>
      <c r="J456" s="458"/>
      <c r="K456" s="458"/>
      <c r="L456" s="458"/>
      <c r="M456" s="458"/>
      <c r="N456" s="458"/>
      <c r="O456" s="443"/>
      <c r="P456" s="447"/>
    </row>
    <row r="457" spans="1:16" s="444" customFormat="1" ht="15">
      <c r="A457" s="443"/>
      <c r="B457" s="443"/>
      <c r="C457" s="443"/>
      <c r="D457" s="443"/>
      <c r="E457" s="458"/>
      <c r="F457" s="458"/>
      <c r="G457" s="458"/>
      <c r="H457" s="458"/>
      <c r="I457" s="458"/>
      <c r="J457" s="458"/>
      <c r="K457" s="458"/>
      <c r="L457" s="458"/>
      <c r="M457" s="458"/>
      <c r="N457" s="458"/>
      <c r="O457" s="443"/>
      <c r="P457" s="447"/>
    </row>
    <row r="458" spans="1:16" s="444" customFormat="1" ht="15">
      <c r="A458" s="443"/>
      <c r="B458" s="443"/>
      <c r="C458" s="443"/>
      <c r="D458" s="443"/>
      <c r="E458" s="458"/>
      <c r="F458" s="458"/>
      <c r="G458" s="458"/>
      <c r="H458" s="458"/>
      <c r="I458" s="458"/>
      <c r="J458" s="458"/>
      <c r="K458" s="458"/>
      <c r="L458" s="458"/>
      <c r="M458" s="458"/>
      <c r="N458" s="458"/>
      <c r="O458" s="443"/>
      <c r="P458" s="447"/>
    </row>
    <row r="459" spans="1:16" s="444" customFormat="1" ht="15">
      <c r="A459" s="443"/>
      <c r="B459" s="443"/>
      <c r="C459" s="443"/>
      <c r="D459" s="443"/>
      <c r="E459" s="458"/>
      <c r="F459" s="458"/>
      <c r="G459" s="458"/>
      <c r="H459" s="458"/>
      <c r="I459" s="458"/>
      <c r="J459" s="458"/>
      <c r="K459" s="458"/>
      <c r="L459" s="458"/>
      <c r="M459" s="458"/>
      <c r="N459" s="458"/>
      <c r="O459" s="443"/>
      <c r="P459" s="447"/>
    </row>
    <row r="460" spans="1:16" s="444" customFormat="1" ht="15">
      <c r="A460" s="443"/>
      <c r="B460" s="443"/>
      <c r="C460" s="443"/>
      <c r="D460" s="443"/>
      <c r="E460" s="458"/>
      <c r="F460" s="458"/>
      <c r="G460" s="458"/>
      <c r="H460" s="458"/>
      <c r="I460" s="458"/>
      <c r="J460" s="458"/>
      <c r="K460" s="458"/>
      <c r="L460" s="458"/>
      <c r="M460" s="458"/>
      <c r="N460" s="458"/>
      <c r="O460" s="443"/>
      <c r="P460" s="447"/>
    </row>
    <row r="461" spans="1:16" s="444" customFormat="1" ht="15">
      <c r="A461" s="443"/>
      <c r="B461" s="443"/>
      <c r="C461" s="443"/>
      <c r="D461" s="443"/>
      <c r="E461" s="458"/>
      <c r="F461" s="458"/>
      <c r="G461" s="458"/>
      <c r="H461" s="458"/>
      <c r="I461" s="458"/>
      <c r="J461" s="458"/>
      <c r="K461" s="458"/>
      <c r="L461" s="458"/>
      <c r="M461" s="458"/>
      <c r="N461" s="458"/>
      <c r="O461" s="443"/>
      <c r="P461" s="447"/>
    </row>
    <row r="462" spans="1:16" s="444" customFormat="1" ht="15">
      <c r="A462" s="443"/>
      <c r="B462" s="443"/>
      <c r="C462" s="443"/>
      <c r="D462" s="443"/>
      <c r="E462" s="458"/>
      <c r="F462" s="458"/>
      <c r="G462" s="458"/>
      <c r="H462" s="458"/>
      <c r="I462" s="458"/>
      <c r="J462" s="458"/>
      <c r="K462" s="458"/>
      <c r="L462" s="458"/>
      <c r="M462" s="458"/>
      <c r="N462" s="458"/>
      <c r="O462" s="443"/>
      <c r="P462" s="447"/>
    </row>
    <row r="463" spans="1:16" s="444" customFormat="1" ht="15">
      <c r="A463" s="443"/>
      <c r="B463" s="443"/>
      <c r="C463" s="443"/>
      <c r="D463" s="443"/>
      <c r="E463" s="458"/>
      <c r="F463" s="458"/>
      <c r="G463" s="458"/>
      <c r="H463" s="458"/>
      <c r="I463" s="458"/>
      <c r="J463" s="458"/>
      <c r="K463" s="458"/>
      <c r="L463" s="458"/>
      <c r="M463" s="458"/>
      <c r="N463" s="458"/>
      <c r="O463" s="443"/>
      <c r="P463" s="447"/>
    </row>
    <row r="464" spans="1:16" s="444" customFormat="1" ht="15">
      <c r="A464" s="443"/>
      <c r="B464" s="443"/>
      <c r="C464" s="443"/>
      <c r="D464" s="443"/>
      <c r="E464" s="458"/>
      <c r="F464" s="458"/>
      <c r="G464" s="458"/>
      <c r="H464" s="458"/>
      <c r="I464" s="458"/>
      <c r="J464" s="458"/>
      <c r="K464" s="458"/>
      <c r="L464" s="458"/>
      <c r="M464" s="458"/>
      <c r="N464" s="458"/>
      <c r="O464" s="443"/>
      <c r="P464" s="447"/>
    </row>
    <row r="465" spans="1:16" s="444" customFormat="1" ht="15">
      <c r="A465" s="443"/>
      <c r="B465" s="443"/>
      <c r="C465" s="443"/>
      <c r="D465" s="443"/>
      <c r="E465" s="458"/>
      <c r="F465" s="458"/>
      <c r="G465" s="458"/>
      <c r="H465" s="458"/>
      <c r="I465" s="458"/>
      <c r="J465" s="458"/>
      <c r="K465" s="458"/>
      <c r="L465" s="458"/>
      <c r="M465" s="458"/>
      <c r="N465" s="458"/>
      <c r="O465" s="443"/>
      <c r="P465" s="447"/>
    </row>
    <row r="466" spans="1:16" s="444" customFormat="1" ht="15">
      <c r="A466" s="443"/>
      <c r="B466" s="443"/>
      <c r="C466" s="443"/>
      <c r="D466" s="443"/>
      <c r="E466" s="458"/>
      <c r="F466" s="458"/>
      <c r="G466" s="458"/>
      <c r="H466" s="458"/>
      <c r="I466" s="458"/>
      <c r="J466" s="458"/>
      <c r="K466" s="458"/>
      <c r="L466" s="458"/>
      <c r="M466" s="458"/>
      <c r="N466" s="458"/>
      <c r="O466" s="443"/>
      <c r="P466" s="447"/>
    </row>
    <row r="467" spans="1:16" s="444" customFormat="1" ht="15">
      <c r="A467" s="443"/>
      <c r="B467" s="443"/>
      <c r="C467" s="443"/>
      <c r="D467" s="443"/>
      <c r="E467" s="458"/>
      <c r="F467" s="458"/>
      <c r="G467" s="458"/>
      <c r="H467" s="458"/>
      <c r="I467" s="458"/>
      <c r="J467" s="458"/>
      <c r="K467" s="458"/>
      <c r="L467" s="458"/>
      <c r="M467" s="458"/>
      <c r="N467" s="458"/>
      <c r="O467" s="443"/>
      <c r="P467" s="447"/>
    </row>
    <row r="468" spans="1:16" s="444" customFormat="1" ht="15">
      <c r="A468" s="443"/>
      <c r="B468" s="443"/>
      <c r="C468" s="443"/>
      <c r="D468" s="443"/>
      <c r="E468" s="458"/>
      <c r="F468" s="458"/>
      <c r="G468" s="458"/>
      <c r="H468" s="458"/>
      <c r="I468" s="458"/>
      <c r="J468" s="458"/>
      <c r="K468" s="458"/>
      <c r="L468" s="458"/>
      <c r="M468" s="458"/>
      <c r="N468" s="458"/>
      <c r="O468" s="443"/>
      <c r="P468" s="447"/>
    </row>
    <row r="469" spans="1:16" s="444" customFormat="1" ht="15">
      <c r="A469" s="443"/>
      <c r="B469" s="443"/>
      <c r="C469" s="443"/>
      <c r="D469" s="443"/>
      <c r="E469" s="458"/>
      <c r="F469" s="458"/>
      <c r="G469" s="458"/>
      <c r="H469" s="458"/>
      <c r="I469" s="458"/>
      <c r="J469" s="458"/>
      <c r="K469" s="458"/>
      <c r="L469" s="458"/>
      <c r="M469" s="458"/>
      <c r="N469" s="458"/>
      <c r="O469" s="443"/>
      <c r="P469" s="447"/>
    </row>
    <row r="470" spans="1:16" s="444" customFormat="1" ht="15">
      <c r="A470" s="443"/>
      <c r="B470" s="443"/>
      <c r="C470" s="443"/>
      <c r="D470" s="443"/>
      <c r="E470" s="458"/>
      <c r="F470" s="458"/>
      <c r="G470" s="458"/>
      <c r="H470" s="458"/>
      <c r="I470" s="458"/>
      <c r="J470" s="458"/>
      <c r="K470" s="458"/>
      <c r="L470" s="458"/>
      <c r="M470" s="458"/>
      <c r="N470" s="458"/>
      <c r="O470" s="443"/>
      <c r="P470" s="447"/>
    </row>
    <row r="471" spans="1:16" s="444" customFormat="1" ht="15">
      <c r="A471" s="443"/>
      <c r="B471" s="443"/>
      <c r="C471" s="443"/>
      <c r="D471" s="443"/>
      <c r="E471" s="458"/>
      <c r="F471" s="458"/>
      <c r="G471" s="458"/>
      <c r="H471" s="458"/>
      <c r="I471" s="458"/>
      <c r="J471" s="458"/>
      <c r="K471" s="458"/>
      <c r="L471" s="458"/>
      <c r="M471" s="458"/>
      <c r="N471" s="458"/>
      <c r="O471" s="443"/>
      <c r="P471" s="447"/>
    </row>
    <row r="472" spans="1:16" s="444" customFormat="1" ht="15">
      <c r="A472" s="443"/>
      <c r="B472" s="443"/>
      <c r="C472" s="443"/>
      <c r="D472" s="443"/>
      <c r="E472" s="458"/>
      <c r="F472" s="458"/>
      <c r="G472" s="458"/>
      <c r="H472" s="458"/>
      <c r="I472" s="458"/>
      <c r="J472" s="458"/>
      <c r="K472" s="458"/>
      <c r="L472" s="458"/>
      <c r="M472" s="458"/>
      <c r="N472" s="458"/>
      <c r="O472" s="443"/>
      <c r="P472" s="447"/>
    </row>
    <row r="473" spans="1:16" s="444" customFormat="1" ht="15">
      <c r="A473" s="443"/>
      <c r="B473" s="443"/>
      <c r="C473" s="443"/>
      <c r="D473" s="443"/>
      <c r="E473" s="458"/>
      <c r="F473" s="458"/>
      <c r="G473" s="458"/>
      <c r="H473" s="458"/>
      <c r="I473" s="458"/>
      <c r="J473" s="458"/>
      <c r="K473" s="458"/>
      <c r="L473" s="458"/>
      <c r="M473" s="458"/>
      <c r="N473" s="458"/>
      <c r="O473" s="443"/>
      <c r="P473" s="447"/>
    </row>
    <row r="474" spans="1:16" s="444" customFormat="1" ht="15">
      <c r="A474" s="443"/>
      <c r="B474" s="443"/>
      <c r="C474" s="443"/>
      <c r="D474" s="443"/>
      <c r="E474" s="458"/>
      <c r="F474" s="458"/>
      <c r="G474" s="458"/>
      <c r="H474" s="458"/>
      <c r="I474" s="458"/>
      <c r="J474" s="458"/>
      <c r="K474" s="458"/>
      <c r="L474" s="458"/>
      <c r="M474" s="458"/>
      <c r="N474" s="458"/>
      <c r="O474" s="443"/>
      <c r="P474" s="447"/>
    </row>
    <row r="475" spans="1:16" s="444" customFormat="1" ht="15">
      <c r="A475" s="443"/>
      <c r="B475" s="443"/>
      <c r="C475" s="443"/>
      <c r="D475" s="443"/>
      <c r="E475" s="458"/>
      <c r="F475" s="458"/>
      <c r="G475" s="458"/>
      <c r="H475" s="458"/>
      <c r="I475" s="458"/>
      <c r="J475" s="458"/>
      <c r="K475" s="458"/>
      <c r="L475" s="458"/>
      <c r="M475" s="458"/>
      <c r="N475" s="458"/>
      <c r="O475" s="443"/>
      <c r="P475" s="447"/>
    </row>
    <row r="476" spans="1:16" s="444" customFormat="1" ht="15">
      <c r="A476" s="443"/>
      <c r="B476" s="443"/>
      <c r="C476" s="443"/>
      <c r="D476" s="443"/>
      <c r="E476" s="458"/>
      <c r="F476" s="458"/>
      <c r="G476" s="458"/>
      <c r="H476" s="458"/>
      <c r="I476" s="458"/>
      <c r="J476" s="458"/>
      <c r="K476" s="458"/>
      <c r="L476" s="458"/>
      <c r="M476" s="458"/>
      <c r="N476" s="458"/>
      <c r="O476" s="443"/>
      <c r="P476" s="447"/>
    </row>
    <row r="477" spans="1:16" s="444" customFormat="1" ht="15">
      <c r="A477" s="443"/>
      <c r="B477" s="443"/>
      <c r="C477" s="443"/>
      <c r="D477" s="443"/>
      <c r="E477" s="458"/>
      <c r="F477" s="458"/>
      <c r="G477" s="458"/>
      <c r="H477" s="458"/>
      <c r="I477" s="458"/>
      <c r="J477" s="458"/>
      <c r="K477" s="458"/>
      <c r="L477" s="458"/>
      <c r="M477" s="458"/>
      <c r="N477" s="458"/>
      <c r="O477" s="443"/>
      <c r="P477" s="447"/>
    </row>
    <row r="478" spans="1:16" s="444" customFormat="1" ht="15">
      <c r="A478" s="443"/>
      <c r="B478" s="443"/>
      <c r="C478" s="443"/>
      <c r="D478" s="443"/>
      <c r="E478" s="458"/>
      <c r="F478" s="458"/>
      <c r="G478" s="458"/>
      <c r="H478" s="458"/>
      <c r="I478" s="458"/>
      <c r="J478" s="458"/>
      <c r="K478" s="458"/>
      <c r="L478" s="458"/>
      <c r="M478" s="458"/>
      <c r="N478" s="458"/>
      <c r="O478" s="443"/>
      <c r="P478" s="447"/>
    </row>
    <row r="479" spans="1:16" s="444" customFormat="1" ht="15">
      <c r="A479" s="443"/>
      <c r="B479" s="443"/>
      <c r="C479" s="443"/>
      <c r="D479" s="443"/>
      <c r="E479" s="458"/>
      <c r="F479" s="458"/>
      <c r="G479" s="458"/>
      <c r="H479" s="458"/>
      <c r="I479" s="458"/>
      <c r="J479" s="458"/>
      <c r="K479" s="458"/>
      <c r="L479" s="458"/>
      <c r="M479" s="458"/>
      <c r="N479" s="458"/>
      <c r="O479" s="443"/>
      <c r="P479" s="447"/>
    </row>
    <row r="480" spans="1:16" s="444" customFormat="1" ht="15">
      <c r="A480" s="443"/>
      <c r="B480" s="443"/>
      <c r="C480" s="443"/>
      <c r="D480" s="443"/>
      <c r="E480" s="458"/>
      <c r="F480" s="458"/>
      <c r="G480" s="458"/>
      <c r="H480" s="458"/>
      <c r="I480" s="458"/>
      <c r="J480" s="458"/>
      <c r="K480" s="458"/>
      <c r="L480" s="458"/>
      <c r="M480" s="458"/>
      <c r="N480" s="458"/>
      <c r="O480" s="443"/>
      <c r="P480" s="447"/>
    </row>
    <row r="481" spans="1:16" s="444" customFormat="1" ht="15">
      <c r="A481" s="443"/>
      <c r="B481" s="443"/>
      <c r="C481" s="443"/>
      <c r="D481" s="443"/>
      <c r="E481" s="458"/>
      <c r="F481" s="458"/>
      <c r="G481" s="458"/>
      <c r="H481" s="458"/>
      <c r="I481" s="458"/>
      <c r="J481" s="458"/>
      <c r="K481" s="458"/>
      <c r="L481" s="458"/>
      <c r="M481" s="458"/>
      <c r="N481" s="458"/>
      <c r="O481" s="443"/>
      <c r="P481" s="447"/>
    </row>
    <row r="482" spans="1:16" s="444" customFormat="1" ht="15">
      <c r="A482" s="443"/>
      <c r="B482" s="443"/>
      <c r="C482" s="443"/>
      <c r="D482" s="443"/>
      <c r="E482" s="458"/>
      <c r="F482" s="458"/>
      <c r="G482" s="458"/>
      <c r="H482" s="458"/>
      <c r="I482" s="458"/>
      <c r="J482" s="458"/>
      <c r="K482" s="458"/>
      <c r="L482" s="458"/>
      <c r="M482" s="458"/>
      <c r="N482" s="458"/>
      <c r="O482" s="443"/>
      <c r="P482" s="447"/>
    </row>
    <row r="483" spans="1:16" s="444" customFormat="1" ht="15">
      <c r="A483" s="443"/>
      <c r="B483" s="443"/>
      <c r="C483" s="443"/>
      <c r="D483" s="443"/>
      <c r="E483" s="458"/>
      <c r="F483" s="458"/>
      <c r="G483" s="458"/>
      <c r="H483" s="458"/>
      <c r="I483" s="458"/>
      <c r="J483" s="458"/>
      <c r="K483" s="458"/>
      <c r="L483" s="458"/>
      <c r="M483" s="458"/>
      <c r="N483" s="458"/>
      <c r="O483" s="443"/>
      <c r="P483" s="447"/>
    </row>
    <row r="484" spans="1:16" s="444" customFormat="1" ht="15">
      <c r="A484" s="443"/>
      <c r="B484" s="443"/>
      <c r="C484" s="443"/>
      <c r="D484" s="443"/>
      <c r="E484" s="458"/>
      <c r="F484" s="458"/>
      <c r="G484" s="458"/>
      <c r="H484" s="458"/>
      <c r="I484" s="458"/>
      <c r="J484" s="458"/>
      <c r="K484" s="458"/>
      <c r="L484" s="458"/>
      <c r="M484" s="458"/>
      <c r="N484" s="458"/>
      <c r="O484" s="443"/>
      <c r="P484" s="447"/>
    </row>
    <row r="485" spans="1:16" s="444" customFormat="1" ht="15">
      <c r="A485" s="443"/>
      <c r="B485" s="443"/>
      <c r="C485" s="443"/>
      <c r="D485" s="443"/>
      <c r="E485" s="458"/>
      <c r="F485" s="458"/>
      <c r="G485" s="458"/>
      <c r="H485" s="458"/>
      <c r="I485" s="458"/>
      <c r="J485" s="458"/>
      <c r="K485" s="458"/>
      <c r="L485" s="458"/>
      <c r="M485" s="458"/>
      <c r="N485" s="458"/>
      <c r="O485" s="443"/>
      <c r="P485" s="447"/>
    </row>
    <row r="486" spans="1:16" s="444" customFormat="1" ht="15">
      <c r="A486" s="443"/>
      <c r="B486" s="443"/>
      <c r="C486" s="443"/>
      <c r="D486" s="443"/>
      <c r="E486" s="458"/>
      <c r="F486" s="458"/>
      <c r="G486" s="458"/>
      <c r="H486" s="458"/>
      <c r="I486" s="458"/>
      <c r="J486" s="458"/>
      <c r="K486" s="458"/>
      <c r="L486" s="458"/>
      <c r="M486" s="458"/>
      <c r="N486" s="458"/>
      <c r="O486" s="443"/>
      <c r="P486" s="447"/>
    </row>
    <row r="487" spans="1:16" s="444" customFormat="1" ht="15">
      <c r="A487" s="443"/>
      <c r="B487" s="443"/>
      <c r="C487" s="443"/>
      <c r="D487" s="443"/>
      <c r="E487" s="458"/>
      <c r="F487" s="458"/>
      <c r="G487" s="458"/>
      <c r="H487" s="458"/>
      <c r="I487" s="458"/>
      <c r="J487" s="458"/>
      <c r="K487" s="458"/>
      <c r="L487" s="458"/>
      <c r="M487" s="458"/>
      <c r="N487" s="458"/>
      <c r="O487" s="443"/>
      <c r="P487" s="447"/>
    </row>
    <row r="488" spans="1:16" s="444" customFormat="1" ht="15">
      <c r="A488" s="443"/>
      <c r="B488" s="443"/>
      <c r="C488" s="443"/>
      <c r="D488" s="443"/>
      <c r="E488" s="458"/>
      <c r="F488" s="458"/>
      <c r="G488" s="458"/>
      <c r="H488" s="458"/>
      <c r="I488" s="458"/>
      <c r="J488" s="458"/>
      <c r="K488" s="458"/>
      <c r="L488" s="458"/>
      <c r="M488" s="458"/>
      <c r="N488" s="458"/>
      <c r="O488" s="443"/>
      <c r="P488" s="447"/>
    </row>
    <row r="489" spans="1:16" s="444" customFormat="1" ht="15">
      <c r="A489" s="443"/>
      <c r="B489" s="443"/>
      <c r="C489" s="443"/>
      <c r="D489" s="443"/>
      <c r="E489" s="458"/>
      <c r="F489" s="458"/>
      <c r="G489" s="458"/>
      <c r="H489" s="458"/>
      <c r="I489" s="458"/>
      <c r="J489" s="458"/>
      <c r="K489" s="458"/>
      <c r="L489" s="458"/>
      <c r="M489" s="458"/>
      <c r="N489" s="458"/>
      <c r="O489" s="443"/>
      <c r="P489" s="447"/>
    </row>
    <row r="490" spans="1:16" s="444" customFormat="1" ht="15">
      <c r="A490" s="443"/>
      <c r="B490" s="443"/>
      <c r="C490" s="443"/>
      <c r="D490" s="443"/>
      <c r="E490" s="458"/>
      <c r="F490" s="458"/>
      <c r="G490" s="458"/>
      <c r="H490" s="458"/>
      <c r="I490" s="458"/>
      <c r="J490" s="458"/>
      <c r="K490" s="458"/>
      <c r="L490" s="458"/>
      <c r="M490" s="458"/>
      <c r="N490" s="458"/>
      <c r="O490" s="443"/>
      <c r="P490" s="447"/>
    </row>
    <row r="491" spans="1:16" s="444" customFormat="1" ht="15">
      <c r="A491" s="443"/>
      <c r="B491" s="443"/>
      <c r="C491" s="443"/>
      <c r="D491" s="443"/>
      <c r="E491" s="458"/>
      <c r="F491" s="458"/>
      <c r="G491" s="458"/>
      <c r="H491" s="458"/>
      <c r="I491" s="458"/>
      <c r="J491" s="458"/>
      <c r="K491" s="458"/>
      <c r="L491" s="458"/>
      <c r="M491" s="458"/>
      <c r="N491" s="458"/>
      <c r="O491" s="443"/>
      <c r="P491" s="447"/>
    </row>
    <row r="492" spans="1:16" s="444" customFormat="1" ht="15">
      <c r="A492" s="443"/>
      <c r="B492" s="443"/>
      <c r="C492" s="443"/>
      <c r="D492" s="443"/>
      <c r="E492" s="458"/>
      <c r="F492" s="458"/>
      <c r="G492" s="458"/>
      <c r="H492" s="458"/>
      <c r="I492" s="458"/>
      <c r="J492" s="458"/>
      <c r="K492" s="458"/>
      <c r="L492" s="458"/>
      <c r="M492" s="458"/>
      <c r="N492" s="458"/>
      <c r="O492" s="443"/>
      <c r="P492" s="447"/>
    </row>
    <row r="493" spans="1:16" s="444" customFormat="1" ht="15">
      <c r="A493" s="443"/>
      <c r="B493" s="443"/>
      <c r="C493" s="443"/>
      <c r="D493" s="443"/>
      <c r="E493" s="458"/>
      <c r="F493" s="458"/>
      <c r="G493" s="458"/>
      <c r="H493" s="458"/>
      <c r="I493" s="458"/>
      <c r="J493" s="458"/>
      <c r="K493" s="458"/>
      <c r="L493" s="458"/>
      <c r="M493" s="458"/>
      <c r="N493" s="458"/>
      <c r="O493" s="443"/>
      <c r="P493" s="447"/>
    </row>
    <row r="494" spans="1:16" s="444" customFormat="1" ht="15">
      <c r="A494" s="443"/>
      <c r="B494" s="443"/>
      <c r="C494" s="443"/>
      <c r="D494" s="443"/>
      <c r="E494" s="458"/>
      <c r="F494" s="458"/>
      <c r="G494" s="458"/>
      <c r="H494" s="458"/>
      <c r="I494" s="458"/>
      <c r="J494" s="458"/>
      <c r="K494" s="458"/>
      <c r="L494" s="458"/>
      <c r="M494" s="458"/>
      <c r="N494" s="458"/>
      <c r="O494" s="443"/>
      <c r="P494" s="447"/>
    </row>
    <row r="495" spans="1:16" s="444" customFormat="1" ht="15">
      <c r="A495" s="443"/>
      <c r="B495" s="443"/>
      <c r="C495" s="443"/>
      <c r="D495" s="443"/>
      <c r="E495" s="458"/>
      <c r="F495" s="458"/>
      <c r="G495" s="458"/>
      <c r="H495" s="458"/>
      <c r="I495" s="458"/>
      <c r="J495" s="458"/>
      <c r="K495" s="458"/>
      <c r="L495" s="458"/>
      <c r="M495" s="458"/>
      <c r="N495" s="458"/>
      <c r="O495" s="443"/>
      <c r="P495" s="447"/>
    </row>
    <row r="496" spans="1:16" s="444" customFormat="1" ht="15">
      <c r="A496" s="443"/>
      <c r="B496" s="443"/>
      <c r="C496" s="443"/>
      <c r="D496" s="443"/>
      <c r="E496" s="458"/>
      <c r="F496" s="458"/>
      <c r="G496" s="458"/>
      <c r="H496" s="458"/>
      <c r="I496" s="458"/>
      <c r="J496" s="458"/>
      <c r="K496" s="458"/>
      <c r="L496" s="458"/>
      <c r="M496" s="458"/>
      <c r="N496" s="458"/>
      <c r="O496" s="443"/>
      <c r="P496" s="447"/>
    </row>
    <row r="497" spans="1:16" s="444" customFormat="1" ht="15">
      <c r="A497" s="443"/>
      <c r="B497" s="443"/>
      <c r="C497" s="443"/>
      <c r="D497" s="443"/>
      <c r="E497" s="458"/>
      <c r="F497" s="458"/>
      <c r="G497" s="458"/>
      <c r="H497" s="458"/>
      <c r="I497" s="458"/>
      <c r="J497" s="458"/>
      <c r="K497" s="458"/>
      <c r="L497" s="458"/>
      <c r="M497" s="458"/>
      <c r="N497" s="458"/>
      <c r="O497" s="443"/>
      <c r="P497" s="447"/>
    </row>
    <row r="498" spans="1:16" s="444" customFormat="1" ht="15">
      <c r="A498" s="443"/>
      <c r="B498" s="443"/>
      <c r="C498" s="443"/>
      <c r="D498" s="443"/>
      <c r="E498" s="458"/>
      <c r="F498" s="458"/>
      <c r="G498" s="458"/>
      <c r="H498" s="458"/>
      <c r="I498" s="458"/>
      <c r="J498" s="458"/>
      <c r="K498" s="458"/>
      <c r="L498" s="458"/>
      <c r="M498" s="458"/>
      <c r="N498" s="458"/>
      <c r="O498" s="443"/>
      <c r="P498" s="447"/>
    </row>
    <row r="499" spans="1:16" s="444" customFormat="1" ht="15">
      <c r="A499" s="443"/>
      <c r="B499" s="443"/>
      <c r="C499" s="443"/>
      <c r="D499" s="443"/>
      <c r="E499" s="458"/>
      <c r="F499" s="458"/>
      <c r="G499" s="458"/>
      <c r="H499" s="458"/>
      <c r="I499" s="458"/>
      <c r="J499" s="458"/>
      <c r="K499" s="458"/>
      <c r="L499" s="458"/>
      <c r="M499" s="458"/>
      <c r="N499" s="458"/>
      <c r="O499" s="443"/>
      <c r="P499" s="447"/>
    </row>
    <row r="500" spans="1:16" s="444" customFormat="1" ht="15">
      <c r="A500" s="443"/>
      <c r="B500" s="443"/>
      <c r="C500" s="443"/>
      <c r="D500" s="443"/>
      <c r="E500" s="458"/>
      <c r="F500" s="458"/>
      <c r="G500" s="458"/>
      <c r="H500" s="458"/>
      <c r="I500" s="458"/>
      <c r="J500" s="458"/>
      <c r="K500" s="458"/>
      <c r="L500" s="458"/>
      <c r="M500" s="458"/>
      <c r="N500" s="458"/>
      <c r="O500" s="443"/>
      <c r="P500" s="447"/>
    </row>
    <row r="501" spans="1:16" s="444" customFormat="1" ht="15">
      <c r="A501" s="443"/>
      <c r="B501" s="443"/>
      <c r="C501" s="443"/>
      <c r="D501" s="443"/>
      <c r="E501" s="458"/>
      <c r="F501" s="458"/>
      <c r="G501" s="458"/>
      <c r="H501" s="458"/>
      <c r="I501" s="458"/>
      <c r="J501" s="458"/>
      <c r="K501" s="458"/>
      <c r="L501" s="458"/>
      <c r="M501" s="458"/>
      <c r="N501" s="458"/>
      <c r="O501" s="443"/>
      <c r="P501" s="447"/>
    </row>
    <row r="502" spans="1:16" s="444" customFormat="1" ht="15">
      <c r="A502" s="443"/>
      <c r="B502" s="443"/>
      <c r="C502" s="443"/>
      <c r="D502" s="443"/>
      <c r="E502" s="458"/>
      <c r="F502" s="458"/>
      <c r="G502" s="458"/>
      <c r="H502" s="458"/>
      <c r="I502" s="458"/>
      <c r="J502" s="458"/>
      <c r="K502" s="458"/>
      <c r="L502" s="458"/>
      <c r="M502" s="458"/>
      <c r="N502" s="458"/>
      <c r="O502" s="443"/>
      <c r="P502" s="447"/>
    </row>
    <row r="503" spans="1:16" s="444" customFormat="1" ht="15">
      <c r="A503" s="443"/>
      <c r="B503" s="443"/>
      <c r="C503" s="443"/>
      <c r="D503" s="443"/>
      <c r="E503" s="458"/>
      <c r="F503" s="458"/>
      <c r="G503" s="458"/>
      <c r="H503" s="458"/>
      <c r="I503" s="458"/>
      <c r="J503" s="458"/>
      <c r="K503" s="458"/>
      <c r="L503" s="458"/>
      <c r="M503" s="458"/>
      <c r="N503" s="458"/>
      <c r="O503" s="443"/>
      <c r="P503" s="447"/>
    </row>
    <row r="504" spans="1:16" s="444" customFormat="1" ht="15">
      <c r="A504" s="443"/>
      <c r="B504" s="443"/>
      <c r="C504" s="443"/>
      <c r="D504" s="443"/>
      <c r="E504" s="458"/>
      <c r="F504" s="458"/>
      <c r="G504" s="458"/>
      <c r="H504" s="458"/>
      <c r="I504" s="458"/>
      <c r="J504" s="458"/>
      <c r="K504" s="458"/>
      <c r="L504" s="458"/>
      <c r="M504" s="458"/>
      <c r="N504" s="458"/>
      <c r="O504" s="443"/>
      <c r="P504" s="447"/>
    </row>
    <row r="505" spans="1:16" s="444" customFormat="1" ht="15">
      <c r="A505" s="443"/>
      <c r="B505" s="443"/>
      <c r="C505" s="443"/>
      <c r="D505" s="443"/>
      <c r="E505" s="458"/>
      <c r="F505" s="458"/>
      <c r="G505" s="458"/>
      <c r="H505" s="458"/>
      <c r="I505" s="458"/>
      <c r="J505" s="458"/>
      <c r="K505" s="458"/>
      <c r="L505" s="458"/>
      <c r="M505" s="458"/>
      <c r="N505" s="458"/>
      <c r="O505" s="443"/>
      <c r="P505" s="447"/>
    </row>
    <row r="506" spans="1:16" s="444" customFormat="1" ht="15">
      <c r="A506" s="443"/>
      <c r="B506" s="443"/>
      <c r="C506" s="443"/>
      <c r="D506" s="443"/>
      <c r="E506" s="458"/>
      <c r="F506" s="458"/>
      <c r="G506" s="458"/>
      <c r="H506" s="458"/>
      <c r="I506" s="458"/>
      <c r="J506" s="458"/>
      <c r="K506" s="458"/>
      <c r="L506" s="458"/>
      <c r="M506" s="458"/>
      <c r="N506" s="458"/>
      <c r="O506" s="443"/>
      <c r="P506" s="447"/>
    </row>
    <row r="507" spans="1:16" s="444" customFormat="1" ht="15">
      <c r="A507" s="443"/>
      <c r="B507" s="443"/>
      <c r="C507" s="443"/>
      <c r="D507" s="443"/>
      <c r="E507" s="458"/>
      <c r="F507" s="458"/>
      <c r="G507" s="458"/>
      <c r="H507" s="458"/>
      <c r="I507" s="458"/>
      <c r="J507" s="458"/>
      <c r="K507" s="458"/>
      <c r="L507" s="458"/>
      <c r="M507" s="458"/>
      <c r="N507" s="458"/>
      <c r="O507" s="443"/>
      <c r="P507" s="447"/>
    </row>
    <row r="508" spans="1:16" s="444" customFormat="1" ht="15">
      <c r="A508" s="443"/>
      <c r="B508" s="443"/>
      <c r="C508" s="443"/>
      <c r="D508" s="443"/>
      <c r="E508" s="458"/>
      <c r="F508" s="458"/>
      <c r="G508" s="458"/>
      <c r="H508" s="458"/>
      <c r="I508" s="458"/>
      <c r="J508" s="458"/>
      <c r="K508" s="458"/>
      <c r="L508" s="458"/>
      <c r="M508" s="458"/>
      <c r="N508" s="458"/>
      <c r="O508" s="443"/>
      <c r="P508" s="447"/>
    </row>
    <row r="509" spans="1:16" s="444" customFormat="1" ht="15">
      <c r="A509" s="443"/>
      <c r="B509" s="443"/>
      <c r="C509" s="443"/>
      <c r="D509" s="443"/>
      <c r="E509" s="458"/>
      <c r="F509" s="458"/>
      <c r="G509" s="458"/>
      <c r="H509" s="458"/>
      <c r="I509" s="458"/>
      <c r="J509" s="458"/>
      <c r="K509" s="458"/>
      <c r="L509" s="458"/>
      <c r="M509" s="458"/>
      <c r="N509" s="458"/>
      <c r="O509" s="443"/>
      <c r="P509" s="447"/>
    </row>
    <row r="510" spans="1:16" s="444" customFormat="1" ht="15">
      <c r="A510" s="443"/>
      <c r="B510" s="443"/>
      <c r="C510" s="443"/>
      <c r="D510" s="443"/>
      <c r="E510" s="458"/>
      <c r="F510" s="458"/>
      <c r="G510" s="458"/>
      <c r="H510" s="458"/>
      <c r="I510" s="458"/>
      <c r="J510" s="458"/>
      <c r="K510" s="458"/>
      <c r="L510" s="458"/>
      <c r="M510" s="458"/>
      <c r="N510" s="458"/>
      <c r="O510" s="443"/>
      <c r="P510" s="447"/>
    </row>
    <row r="511" spans="1:16" s="444" customFormat="1" ht="15">
      <c r="A511" s="443"/>
      <c r="B511" s="443"/>
      <c r="C511" s="443"/>
      <c r="D511" s="443"/>
      <c r="E511" s="458"/>
      <c r="F511" s="458"/>
      <c r="G511" s="458"/>
      <c r="H511" s="458"/>
      <c r="I511" s="458"/>
      <c r="J511" s="458"/>
      <c r="K511" s="458"/>
      <c r="L511" s="458"/>
      <c r="M511" s="458"/>
      <c r="N511" s="458"/>
      <c r="O511" s="443"/>
      <c r="P511" s="447"/>
    </row>
    <row r="512" spans="1:16" s="444" customFormat="1" ht="15">
      <c r="A512" s="443"/>
      <c r="B512" s="443"/>
      <c r="C512" s="443"/>
      <c r="D512" s="443"/>
      <c r="E512" s="458"/>
      <c r="F512" s="458"/>
      <c r="G512" s="458"/>
      <c r="H512" s="458"/>
      <c r="I512" s="458"/>
      <c r="J512" s="458"/>
      <c r="K512" s="458"/>
      <c r="L512" s="458"/>
      <c r="M512" s="458"/>
      <c r="N512" s="458"/>
      <c r="O512" s="443"/>
      <c r="P512" s="447"/>
    </row>
    <row r="513" spans="1:16" s="444" customFormat="1" ht="15">
      <c r="A513" s="443"/>
      <c r="B513" s="443"/>
      <c r="C513" s="443"/>
      <c r="D513" s="443"/>
      <c r="E513" s="458"/>
      <c r="F513" s="458"/>
      <c r="G513" s="458"/>
      <c r="H513" s="458"/>
      <c r="I513" s="458"/>
      <c r="J513" s="458"/>
      <c r="K513" s="458"/>
      <c r="L513" s="458"/>
      <c r="M513" s="458"/>
      <c r="N513" s="458"/>
      <c r="O513" s="443"/>
      <c r="P513" s="447"/>
    </row>
    <row r="514" spans="1:16" s="444" customFormat="1" ht="15">
      <c r="A514" s="443"/>
      <c r="B514" s="443"/>
      <c r="C514" s="443"/>
      <c r="D514" s="443"/>
      <c r="E514" s="458"/>
      <c r="F514" s="458"/>
      <c r="G514" s="458"/>
      <c r="H514" s="458"/>
      <c r="I514" s="458"/>
      <c r="J514" s="458"/>
      <c r="K514" s="458"/>
      <c r="L514" s="458"/>
      <c r="M514" s="458"/>
      <c r="N514" s="458"/>
      <c r="O514" s="443"/>
      <c r="P514" s="447"/>
    </row>
    <row r="515" spans="1:16" s="444" customFormat="1" ht="15">
      <c r="A515" s="443"/>
      <c r="B515" s="443"/>
      <c r="C515" s="443"/>
      <c r="D515" s="443"/>
      <c r="E515" s="458"/>
      <c r="F515" s="458"/>
      <c r="G515" s="458"/>
      <c r="H515" s="458"/>
      <c r="I515" s="458"/>
      <c r="J515" s="458"/>
      <c r="K515" s="458"/>
      <c r="L515" s="458"/>
      <c r="M515" s="458"/>
      <c r="N515" s="458"/>
      <c r="O515" s="443"/>
      <c r="P515" s="447"/>
    </row>
    <row r="516" spans="1:16" s="444" customFormat="1" ht="15">
      <c r="A516" s="443"/>
      <c r="B516" s="443"/>
      <c r="C516" s="443"/>
      <c r="D516" s="443"/>
      <c r="E516" s="458"/>
      <c r="F516" s="458"/>
      <c r="G516" s="458"/>
      <c r="H516" s="458"/>
      <c r="I516" s="458"/>
      <c r="J516" s="458"/>
      <c r="K516" s="458"/>
      <c r="L516" s="458"/>
      <c r="M516" s="458"/>
      <c r="N516" s="458"/>
      <c r="O516" s="443"/>
      <c r="P516" s="447"/>
    </row>
    <row r="517" spans="1:16" s="444" customFormat="1" ht="15">
      <c r="A517" s="443"/>
      <c r="B517" s="443"/>
      <c r="C517" s="443"/>
      <c r="D517" s="443"/>
      <c r="E517" s="458"/>
      <c r="F517" s="458"/>
      <c r="G517" s="458"/>
      <c r="H517" s="458"/>
      <c r="I517" s="458"/>
      <c r="J517" s="458"/>
      <c r="K517" s="458"/>
      <c r="L517" s="458"/>
      <c r="M517" s="458"/>
      <c r="N517" s="458"/>
      <c r="O517" s="443"/>
      <c r="P517" s="447"/>
    </row>
    <row r="518" spans="1:16" s="444" customFormat="1" ht="15">
      <c r="A518" s="443"/>
      <c r="B518" s="443"/>
      <c r="C518" s="443"/>
      <c r="D518" s="443"/>
      <c r="E518" s="458"/>
      <c r="F518" s="458"/>
      <c r="G518" s="458"/>
      <c r="H518" s="458"/>
      <c r="I518" s="458"/>
      <c r="J518" s="458"/>
      <c r="K518" s="458"/>
      <c r="L518" s="458"/>
      <c r="M518" s="458"/>
      <c r="N518" s="458"/>
      <c r="O518" s="443"/>
      <c r="P518" s="447"/>
    </row>
    <row r="519" spans="1:16" s="444" customFormat="1" ht="15">
      <c r="A519" s="443"/>
      <c r="B519" s="443"/>
      <c r="C519" s="443"/>
      <c r="D519" s="443"/>
      <c r="E519" s="458"/>
      <c r="F519" s="458"/>
      <c r="G519" s="458"/>
      <c r="H519" s="458"/>
      <c r="I519" s="458"/>
      <c r="J519" s="458"/>
      <c r="K519" s="458"/>
      <c r="L519" s="458"/>
      <c r="M519" s="458"/>
      <c r="N519" s="458"/>
      <c r="O519" s="443"/>
      <c r="P519" s="447"/>
    </row>
    <row r="520" spans="1:16" s="444" customFormat="1" ht="15">
      <c r="A520" s="443"/>
      <c r="B520" s="443"/>
      <c r="C520" s="443"/>
      <c r="D520" s="443"/>
      <c r="E520" s="458"/>
      <c r="F520" s="458"/>
      <c r="G520" s="458"/>
      <c r="H520" s="458"/>
      <c r="I520" s="458"/>
      <c r="J520" s="458"/>
      <c r="K520" s="458"/>
      <c r="L520" s="458"/>
      <c r="M520" s="458"/>
      <c r="N520" s="458"/>
      <c r="O520" s="443"/>
      <c r="P520" s="447"/>
    </row>
    <row r="521" spans="1:16" s="444" customFormat="1" ht="15">
      <c r="A521" s="443"/>
      <c r="B521" s="443"/>
      <c r="C521" s="443"/>
      <c r="D521" s="443"/>
      <c r="E521" s="458"/>
      <c r="F521" s="458"/>
      <c r="G521" s="458"/>
      <c r="H521" s="458"/>
      <c r="I521" s="458"/>
      <c r="J521" s="458"/>
      <c r="K521" s="458"/>
      <c r="L521" s="458"/>
      <c r="M521" s="458"/>
      <c r="N521" s="458"/>
      <c r="O521" s="443"/>
      <c r="P521" s="447"/>
    </row>
    <row r="522" spans="1:16" s="444" customFormat="1" ht="15">
      <c r="A522" s="443"/>
      <c r="B522" s="443"/>
      <c r="C522" s="443"/>
      <c r="D522" s="443"/>
      <c r="E522" s="458"/>
      <c r="F522" s="458"/>
      <c r="G522" s="458"/>
      <c r="H522" s="458"/>
      <c r="I522" s="458"/>
      <c r="J522" s="458"/>
      <c r="K522" s="458"/>
      <c r="L522" s="458"/>
      <c r="M522" s="458"/>
      <c r="N522" s="458"/>
      <c r="O522" s="443"/>
      <c r="P522" s="447"/>
    </row>
    <row r="523" spans="1:16" s="444" customFormat="1" ht="15">
      <c r="A523" s="443"/>
      <c r="B523" s="443"/>
      <c r="C523" s="443"/>
      <c r="D523" s="443"/>
      <c r="E523" s="458"/>
      <c r="F523" s="458"/>
      <c r="G523" s="458"/>
      <c r="H523" s="458"/>
      <c r="I523" s="458"/>
      <c r="J523" s="458"/>
      <c r="K523" s="458"/>
      <c r="L523" s="458"/>
      <c r="M523" s="458"/>
      <c r="N523" s="458"/>
      <c r="O523" s="443"/>
      <c r="P523" s="447"/>
    </row>
    <row r="524" spans="1:16" s="444" customFormat="1" ht="15">
      <c r="A524" s="443"/>
      <c r="B524" s="443"/>
      <c r="C524" s="443"/>
      <c r="D524" s="443"/>
      <c r="E524" s="458"/>
      <c r="F524" s="458"/>
      <c r="G524" s="458"/>
      <c r="H524" s="458"/>
      <c r="I524" s="458"/>
      <c r="J524" s="458"/>
      <c r="K524" s="458"/>
      <c r="L524" s="458"/>
      <c r="M524" s="458"/>
      <c r="N524" s="458"/>
      <c r="O524" s="443"/>
      <c r="P524" s="447"/>
    </row>
    <row r="525" spans="1:16" s="444" customFormat="1" ht="15">
      <c r="A525" s="443"/>
      <c r="B525" s="443"/>
      <c r="C525" s="443"/>
      <c r="D525" s="443"/>
      <c r="E525" s="458"/>
      <c r="F525" s="458"/>
      <c r="G525" s="458"/>
      <c r="H525" s="458"/>
      <c r="I525" s="458"/>
      <c r="J525" s="458"/>
      <c r="K525" s="458"/>
      <c r="L525" s="458"/>
      <c r="M525" s="458"/>
      <c r="N525" s="458"/>
      <c r="O525" s="443"/>
      <c r="P525" s="447"/>
    </row>
    <row r="526" spans="1:16" s="444" customFormat="1" ht="15">
      <c r="A526" s="443"/>
      <c r="B526" s="443"/>
      <c r="C526" s="443"/>
      <c r="D526" s="443"/>
      <c r="E526" s="458"/>
      <c r="F526" s="458"/>
      <c r="G526" s="458"/>
      <c r="H526" s="458"/>
      <c r="I526" s="458"/>
      <c r="J526" s="458"/>
      <c r="K526" s="458"/>
      <c r="L526" s="458"/>
      <c r="M526" s="458"/>
      <c r="N526" s="458"/>
      <c r="O526" s="443"/>
      <c r="P526" s="447"/>
    </row>
    <row r="527" spans="1:16" s="444" customFormat="1" ht="15">
      <c r="A527" s="443"/>
      <c r="B527" s="443"/>
      <c r="C527" s="443"/>
      <c r="D527" s="443"/>
      <c r="E527" s="458"/>
      <c r="F527" s="458"/>
      <c r="G527" s="458"/>
      <c r="H527" s="458"/>
      <c r="I527" s="458"/>
      <c r="J527" s="458"/>
      <c r="K527" s="458"/>
      <c r="L527" s="458"/>
      <c r="M527" s="458"/>
      <c r="N527" s="458"/>
      <c r="O527" s="443"/>
      <c r="P527" s="447"/>
    </row>
    <row r="528" spans="1:16" s="444" customFormat="1" ht="15">
      <c r="A528" s="443"/>
      <c r="B528" s="443"/>
      <c r="C528" s="443"/>
      <c r="D528" s="443"/>
      <c r="E528" s="458"/>
      <c r="F528" s="458"/>
      <c r="G528" s="458"/>
      <c r="H528" s="458"/>
      <c r="I528" s="458"/>
      <c r="J528" s="458"/>
      <c r="K528" s="458"/>
      <c r="L528" s="458"/>
      <c r="M528" s="458"/>
      <c r="N528" s="458"/>
      <c r="O528" s="443"/>
      <c r="P528" s="447"/>
    </row>
    <row r="529" spans="1:16" s="444" customFormat="1" ht="15">
      <c r="A529" s="443"/>
      <c r="B529" s="443"/>
      <c r="C529" s="443"/>
      <c r="D529" s="443"/>
      <c r="E529" s="458"/>
      <c r="F529" s="458"/>
      <c r="G529" s="458"/>
      <c r="H529" s="458"/>
      <c r="I529" s="458"/>
      <c r="J529" s="458"/>
      <c r="K529" s="458"/>
      <c r="L529" s="458"/>
      <c r="M529" s="458"/>
      <c r="N529" s="458"/>
      <c r="O529" s="443"/>
      <c r="P529" s="447"/>
    </row>
    <row r="530" spans="1:16" s="444" customFormat="1" ht="15">
      <c r="A530" s="443"/>
      <c r="B530" s="443"/>
      <c r="C530" s="443"/>
      <c r="D530" s="443"/>
      <c r="E530" s="458"/>
      <c r="F530" s="458"/>
      <c r="G530" s="458"/>
      <c r="H530" s="458"/>
      <c r="I530" s="458"/>
      <c r="J530" s="458"/>
      <c r="K530" s="458"/>
      <c r="L530" s="458"/>
      <c r="M530" s="458"/>
      <c r="N530" s="458"/>
      <c r="O530" s="443"/>
      <c r="P530" s="447"/>
    </row>
    <row r="531" spans="1:16" s="444" customFormat="1" ht="15">
      <c r="A531" s="443"/>
      <c r="B531" s="443"/>
      <c r="C531" s="443"/>
      <c r="D531" s="443"/>
      <c r="E531" s="458"/>
      <c r="F531" s="458"/>
      <c r="G531" s="458"/>
      <c r="H531" s="458"/>
      <c r="I531" s="458"/>
      <c r="J531" s="458"/>
      <c r="K531" s="458"/>
      <c r="L531" s="458"/>
      <c r="M531" s="458"/>
      <c r="N531" s="458"/>
      <c r="O531" s="443"/>
      <c r="P531" s="447"/>
    </row>
    <row r="532" spans="1:16" s="444" customFormat="1" ht="15">
      <c r="A532" s="443"/>
      <c r="B532" s="443"/>
      <c r="C532" s="443"/>
      <c r="D532" s="443"/>
      <c r="E532" s="458"/>
      <c r="F532" s="458"/>
      <c r="G532" s="458"/>
      <c r="H532" s="458"/>
      <c r="I532" s="458"/>
      <c r="J532" s="458"/>
      <c r="K532" s="458"/>
      <c r="L532" s="458"/>
      <c r="M532" s="458"/>
      <c r="N532" s="458"/>
      <c r="O532" s="443"/>
      <c r="P532" s="447"/>
    </row>
    <row r="533" spans="1:16" s="444" customFormat="1" ht="15">
      <c r="A533" s="443"/>
      <c r="B533" s="443"/>
      <c r="C533" s="443"/>
      <c r="D533" s="443"/>
      <c r="E533" s="458"/>
      <c r="F533" s="458"/>
      <c r="G533" s="458"/>
      <c r="H533" s="458"/>
      <c r="I533" s="458"/>
      <c r="J533" s="458"/>
      <c r="K533" s="458"/>
      <c r="L533" s="458"/>
      <c r="M533" s="458"/>
      <c r="N533" s="458"/>
      <c r="O533" s="443"/>
      <c r="P533" s="447"/>
    </row>
    <row r="534" spans="1:16" s="444" customFormat="1" ht="15">
      <c r="A534" s="443"/>
      <c r="B534" s="443"/>
      <c r="C534" s="443"/>
      <c r="D534" s="443"/>
      <c r="E534" s="458"/>
      <c r="F534" s="458"/>
      <c r="G534" s="458"/>
      <c r="H534" s="458"/>
      <c r="I534" s="458"/>
      <c r="J534" s="458"/>
      <c r="K534" s="458"/>
      <c r="L534" s="458"/>
      <c r="M534" s="458"/>
      <c r="N534" s="458"/>
      <c r="O534" s="443"/>
      <c r="P534" s="447"/>
    </row>
    <row r="535" spans="1:16" s="444" customFormat="1" ht="15">
      <c r="A535" s="443"/>
      <c r="B535" s="443"/>
      <c r="C535" s="443"/>
      <c r="D535" s="443"/>
      <c r="E535" s="458"/>
      <c r="F535" s="458"/>
      <c r="G535" s="458"/>
      <c r="H535" s="458"/>
      <c r="I535" s="458"/>
      <c r="J535" s="458"/>
      <c r="K535" s="458"/>
      <c r="L535" s="458"/>
      <c r="M535" s="458"/>
      <c r="N535" s="458"/>
      <c r="O535" s="443"/>
      <c r="P535" s="447"/>
    </row>
    <row r="536" spans="1:16" s="444" customFormat="1" ht="15">
      <c r="A536" s="443"/>
      <c r="B536" s="443"/>
      <c r="C536" s="443"/>
      <c r="D536" s="443"/>
      <c r="E536" s="458"/>
      <c r="F536" s="458"/>
      <c r="G536" s="458"/>
      <c r="H536" s="458"/>
      <c r="I536" s="458"/>
      <c r="J536" s="458"/>
      <c r="K536" s="458"/>
      <c r="L536" s="458"/>
      <c r="M536" s="458"/>
      <c r="N536" s="458"/>
      <c r="O536" s="443"/>
      <c r="P536" s="447"/>
    </row>
    <row r="537" spans="1:16" s="444" customFormat="1" ht="15">
      <c r="A537" s="443"/>
      <c r="B537" s="443"/>
      <c r="C537" s="443"/>
      <c r="D537" s="443"/>
      <c r="E537" s="458"/>
      <c r="F537" s="458"/>
      <c r="G537" s="458"/>
      <c r="H537" s="458"/>
      <c r="I537" s="458"/>
      <c r="J537" s="458"/>
      <c r="K537" s="458"/>
      <c r="L537" s="458"/>
      <c r="M537" s="458"/>
      <c r="N537" s="458"/>
      <c r="O537" s="443"/>
      <c r="P537" s="447"/>
    </row>
    <row r="538" spans="1:16" s="444" customFormat="1" ht="15">
      <c r="A538" s="443"/>
      <c r="B538" s="443"/>
      <c r="C538" s="443"/>
      <c r="D538" s="443"/>
      <c r="E538" s="458"/>
      <c r="F538" s="458"/>
      <c r="G538" s="458"/>
      <c r="H538" s="458"/>
      <c r="I538" s="458"/>
      <c r="J538" s="458"/>
      <c r="K538" s="458"/>
      <c r="L538" s="458"/>
      <c r="M538" s="458"/>
      <c r="N538" s="458"/>
      <c r="O538" s="443"/>
      <c r="P538" s="447"/>
    </row>
    <row r="539" spans="1:16" s="444" customFormat="1" ht="15">
      <c r="A539" s="443"/>
      <c r="B539" s="443"/>
      <c r="C539" s="443"/>
      <c r="D539" s="443"/>
      <c r="E539" s="458"/>
      <c r="F539" s="458"/>
      <c r="G539" s="458"/>
      <c r="H539" s="458"/>
      <c r="I539" s="458"/>
      <c r="J539" s="458"/>
      <c r="K539" s="458"/>
      <c r="L539" s="458"/>
      <c r="M539" s="458"/>
      <c r="N539" s="458"/>
      <c r="O539" s="443"/>
      <c r="P539" s="447"/>
    </row>
    <row r="540" spans="1:16" s="444" customFormat="1" ht="15">
      <c r="A540" s="443"/>
      <c r="B540" s="443"/>
      <c r="C540" s="443"/>
      <c r="D540" s="443"/>
      <c r="E540" s="458"/>
      <c r="F540" s="458"/>
      <c r="G540" s="458"/>
      <c r="H540" s="458"/>
      <c r="I540" s="458"/>
      <c r="J540" s="458"/>
      <c r="K540" s="458"/>
      <c r="L540" s="458"/>
      <c r="M540" s="458"/>
      <c r="N540" s="458"/>
      <c r="O540" s="443"/>
      <c r="P540" s="447"/>
    </row>
    <row r="541" spans="1:16" s="444" customFormat="1" ht="15">
      <c r="A541" s="443"/>
      <c r="B541" s="443"/>
      <c r="C541" s="443"/>
      <c r="D541" s="443"/>
      <c r="E541" s="458"/>
      <c r="F541" s="458"/>
      <c r="G541" s="458"/>
      <c r="H541" s="458"/>
      <c r="I541" s="458"/>
      <c r="J541" s="458"/>
      <c r="K541" s="458"/>
      <c r="L541" s="458"/>
      <c r="M541" s="458"/>
      <c r="N541" s="458"/>
      <c r="O541" s="443"/>
      <c r="P541" s="447"/>
    </row>
    <row r="542" spans="1:16" s="444" customFormat="1" ht="15">
      <c r="A542" s="443"/>
      <c r="B542" s="443"/>
      <c r="C542" s="443"/>
      <c r="D542" s="443"/>
      <c r="E542" s="458"/>
      <c r="F542" s="458"/>
      <c r="G542" s="458"/>
      <c r="H542" s="458"/>
      <c r="I542" s="458"/>
      <c r="J542" s="458"/>
      <c r="K542" s="458"/>
      <c r="L542" s="458"/>
      <c r="M542" s="458"/>
      <c r="N542" s="458"/>
      <c r="O542" s="443"/>
      <c r="P542" s="447"/>
    </row>
    <row r="543" spans="1:16" s="444" customFormat="1" ht="15">
      <c r="A543" s="443"/>
      <c r="B543" s="443"/>
      <c r="C543" s="443"/>
      <c r="D543" s="443"/>
      <c r="E543" s="458"/>
      <c r="F543" s="458"/>
      <c r="G543" s="458"/>
      <c r="H543" s="458"/>
      <c r="I543" s="458"/>
      <c r="J543" s="458"/>
      <c r="K543" s="458"/>
      <c r="L543" s="458"/>
      <c r="M543" s="458"/>
      <c r="N543" s="458"/>
      <c r="O543" s="443"/>
      <c r="P543" s="447"/>
    </row>
    <row r="544" spans="1:16" s="444" customFormat="1" ht="15">
      <c r="A544" s="443"/>
      <c r="B544" s="443"/>
      <c r="C544" s="443"/>
      <c r="D544" s="443"/>
      <c r="E544" s="458"/>
      <c r="F544" s="458"/>
      <c r="G544" s="458"/>
      <c r="H544" s="458"/>
      <c r="I544" s="458"/>
      <c r="J544" s="458"/>
      <c r="K544" s="458"/>
      <c r="L544" s="458"/>
      <c r="M544" s="458"/>
      <c r="N544" s="458"/>
      <c r="O544" s="443"/>
      <c r="P544" s="447"/>
    </row>
    <row r="545" spans="1:16" s="444" customFormat="1" ht="15">
      <c r="A545" s="443"/>
      <c r="B545" s="443"/>
      <c r="C545" s="443"/>
      <c r="D545" s="443"/>
      <c r="E545" s="458"/>
      <c r="F545" s="458"/>
      <c r="G545" s="458"/>
      <c r="H545" s="458"/>
      <c r="I545" s="458"/>
      <c r="J545" s="458"/>
      <c r="K545" s="458"/>
      <c r="L545" s="458"/>
      <c r="M545" s="458"/>
      <c r="N545" s="458"/>
      <c r="O545" s="443"/>
      <c r="P545" s="447"/>
    </row>
    <row r="546" spans="1:16" s="444" customFormat="1" ht="15">
      <c r="A546" s="443"/>
      <c r="B546" s="443"/>
      <c r="C546" s="443"/>
      <c r="D546" s="443"/>
      <c r="E546" s="458"/>
      <c r="F546" s="458"/>
      <c r="G546" s="458"/>
      <c r="H546" s="458"/>
      <c r="I546" s="458"/>
      <c r="J546" s="458"/>
      <c r="K546" s="458"/>
      <c r="L546" s="458"/>
      <c r="M546" s="458"/>
      <c r="N546" s="458"/>
      <c r="O546" s="443"/>
      <c r="P546" s="447"/>
    </row>
    <row r="547" spans="1:16" s="444" customFormat="1" ht="15">
      <c r="A547" s="443"/>
      <c r="B547" s="443"/>
      <c r="C547" s="443"/>
      <c r="D547" s="443"/>
      <c r="E547" s="458"/>
      <c r="F547" s="458"/>
      <c r="G547" s="458"/>
      <c r="H547" s="458"/>
      <c r="I547" s="458"/>
      <c r="J547" s="458"/>
      <c r="K547" s="458"/>
      <c r="L547" s="458"/>
      <c r="M547" s="458"/>
      <c r="N547" s="458"/>
      <c r="O547" s="443"/>
      <c r="P547" s="447"/>
    </row>
    <row r="548" spans="1:16" s="444" customFormat="1" ht="15">
      <c r="A548" s="443"/>
      <c r="B548" s="443"/>
      <c r="C548" s="443"/>
      <c r="D548" s="443"/>
      <c r="E548" s="458"/>
      <c r="F548" s="458"/>
      <c r="G548" s="458"/>
      <c r="H548" s="458"/>
      <c r="I548" s="458"/>
      <c r="J548" s="458"/>
      <c r="K548" s="458"/>
      <c r="L548" s="458"/>
      <c r="M548" s="458"/>
      <c r="N548" s="458"/>
      <c r="O548" s="443"/>
      <c r="P548" s="447"/>
    </row>
    <row r="549" spans="1:16" s="444" customFormat="1" ht="15">
      <c r="A549" s="443"/>
      <c r="B549" s="443"/>
      <c r="C549" s="443"/>
      <c r="D549" s="443"/>
      <c r="E549" s="458"/>
      <c r="F549" s="458"/>
      <c r="G549" s="458"/>
      <c r="H549" s="458"/>
      <c r="I549" s="458"/>
      <c r="J549" s="458"/>
      <c r="K549" s="458"/>
      <c r="L549" s="458"/>
      <c r="M549" s="458"/>
      <c r="N549" s="458"/>
      <c r="O549" s="443"/>
      <c r="P549" s="447"/>
    </row>
    <row r="550" spans="1:16" s="444" customFormat="1" ht="15">
      <c r="A550" s="443"/>
      <c r="B550" s="443"/>
      <c r="C550" s="443"/>
      <c r="D550" s="443"/>
      <c r="E550" s="458"/>
      <c r="F550" s="458"/>
      <c r="G550" s="458"/>
      <c r="H550" s="458"/>
      <c r="I550" s="458"/>
      <c r="J550" s="458"/>
      <c r="K550" s="458"/>
      <c r="L550" s="458"/>
      <c r="M550" s="458"/>
      <c r="N550" s="458"/>
      <c r="O550" s="443"/>
      <c r="P550" s="447"/>
    </row>
    <row r="551" spans="1:16" s="444" customFormat="1" ht="15">
      <c r="A551" s="443"/>
      <c r="B551" s="443"/>
      <c r="C551" s="443"/>
      <c r="D551" s="443"/>
      <c r="E551" s="458"/>
      <c r="F551" s="458"/>
      <c r="G551" s="458"/>
      <c r="H551" s="458"/>
      <c r="I551" s="458"/>
      <c r="J551" s="458"/>
      <c r="K551" s="458"/>
      <c r="L551" s="458"/>
      <c r="M551" s="458"/>
      <c r="N551" s="458"/>
      <c r="O551" s="443"/>
      <c r="P551" s="447"/>
    </row>
    <row r="552" spans="1:16" s="444" customFormat="1" ht="15">
      <c r="A552" s="443"/>
      <c r="B552" s="443"/>
      <c r="C552" s="443"/>
      <c r="D552" s="443"/>
      <c r="E552" s="458"/>
      <c r="F552" s="458"/>
      <c r="G552" s="458"/>
      <c r="H552" s="458"/>
      <c r="I552" s="458"/>
      <c r="J552" s="458"/>
      <c r="K552" s="458"/>
      <c r="L552" s="458"/>
      <c r="M552" s="458"/>
      <c r="N552" s="458"/>
      <c r="O552" s="443"/>
      <c r="P552" s="447"/>
    </row>
    <row r="553" spans="1:16" s="444" customFormat="1" ht="15">
      <c r="A553" s="443"/>
      <c r="B553" s="443"/>
      <c r="C553" s="443"/>
      <c r="D553" s="443"/>
      <c r="E553" s="458"/>
      <c r="F553" s="458"/>
      <c r="G553" s="458"/>
      <c r="H553" s="458"/>
      <c r="I553" s="458"/>
      <c r="J553" s="458"/>
      <c r="K553" s="458"/>
      <c r="L553" s="458"/>
      <c r="M553" s="458"/>
      <c r="N553" s="458"/>
      <c r="O553" s="443"/>
      <c r="P553" s="447"/>
    </row>
    <row r="554" spans="1:16" s="444" customFormat="1" ht="15">
      <c r="A554" s="443"/>
      <c r="B554" s="443"/>
      <c r="C554" s="443"/>
      <c r="D554" s="443"/>
      <c r="E554" s="458"/>
      <c r="F554" s="458"/>
      <c r="G554" s="458"/>
      <c r="H554" s="458"/>
      <c r="I554" s="458"/>
      <c r="J554" s="458"/>
      <c r="K554" s="458"/>
      <c r="L554" s="458"/>
      <c r="M554" s="458"/>
      <c r="N554" s="458"/>
      <c r="O554" s="443"/>
      <c r="P554" s="447"/>
    </row>
    <row r="555" spans="1:16" s="444" customFormat="1" ht="15">
      <c r="A555" s="443"/>
      <c r="B555" s="443"/>
      <c r="C555" s="443"/>
      <c r="D555" s="443"/>
      <c r="E555" s="458"/>
      <c r="F555" s="458"/>
      <c r="G555" s="458"/>
      <c r="H555" s="458"/>
      <c r="I555" s="458"/>
      <c r="J555" s="458"/>
      <c r="K555" s="458"/>
      <c r="L555" s="458"/>
      <c r="M555" s="458"/>
      <c r="N555" s="458"/>
      <c r="O555" s="443"/>
      <c r="P555" s="447"/>
    </row>
    <row r="556" spans="1:16" s="444" customFormat="1" ht="15">
      <c r="A556" s="443"/>
      <c r="B556" s="443"/>
      <c r="C556" s="443"/>
      <c r="D556" s="443"/>
      <c r="E556" s="458"/>
      <c r="F556" s="458"/>
      <c r="G556" s="458"/>
      <c r="H556" s="458"/>
      <c r="I556" s="458"/>
      <c r="J556" s="458"/>
      <c r="K556" s="458"/>
      <c r="L556" s="458"/>
      <c r="M556" s="458"/>
      <c r="N556" s="458"/>
      <c r="O556" s="443"/>
      <c r="P556" s="447"/>
    </row>
    <row r="557" spans="1:16" s="444" customFormat="1" ht="15">
      <c r="A557" s="443"/>
      <c r="B557" s="443"/>
      <c r="C557" s="443"/>
      <c r="D557" s="443"/>
      <c r="E557" s="458"/>
      <c r="F557" s="458"/>
      <c r="G557" s="458"/>
      <c r="H557" s="458"/>
      <c r="I557" s="458"/>
      <c r="J557" s="458"/>
      <c r="K557" s="458"/>
      <c r="L557" s="458"/>
      <c r="M557" s="458"/>
      <c r="N557" s="458"/>
      <c r="O557" s="443"/>
      <c r="P557" s="447"/>
    </row>
    <row r="558" spans="1:16" s="444" customFormat="1" ht="15">
      <c r="A558" s="443"/>
      <c r="B558" s="443"/>
      <c r="C558" s="443"/>
      <c r="D558" s="443"/>
      <c r="E558" s="458"/>
      <c r="F558" s="458"/>
      <c r="G558" s="458"/>
      <c r="H558" s="458"/>
      <c r="I558" s="458"/>
      <c r="J558" s="458"/>
      <c r="K558" s="458"/>
      <c r="L558" s="458"/>
      <c r="M558" s="458"/>
      <c r="N558" s="458"/>
      <c r="O558" s="443"/>
      <c r="P558" s="447"/>
    </row>
    <row r="559" spans="1:16" s="444" customFormat="1" ht="15">
      <c r="A559" s="443"/>
      <c r="B559" s="443"/>
      <c r="C559" s="443"/>
      <c r="D559" s="443"/>
      <c r="E559" s="458"/>
      <c r="F559" s="458"/>
      <c r="G559" s="458"/>
      <c r="H559" s="458"/>
      <c r="I559" s="458"/>
      <c r="J559" s="458"/>
      <c r="K559" s="458"/>
      <c r="L559" s="458"/>
      <c r="M559" s="458"/>
      <c r="N559" s="458"/>
      <c r="O559" s="443"/>
      <c r="P559" s="447"/>
    </row>
    <row r="560" spans="1:16" s="444" customFormat="1" ht="15">
      <c r="A560" s="443"/>
      <c r="B560" s="443"/>
      <c r="C560" s="443"/>
      <c r="D560" s="443"/>
      <c r="E560" s="458"/>
      <c r="F560" s="458"/>
      <c r="G560" s="458"/>
      <c r="H560" s="458"/>
      <c r="I560" s="458"/>
      <c r="J560" s="458"/>
      <c r="K560" s="458"/>
      <c r="L560" s="458"/>
      <c r="M560" s="458"/>
      <c r="N560" s="458"/>
      <c r="O560" s="443"/>
      <c r="P560" s="447"/>
    </row>
    <row r="561" spans="1:16" s="444" customFormat="1" ht="15">
      <c r="A561" s="443"/>
      <c r="B561" s="443"/>
      <c r="C561" s="443"/>
      <c r="D561" s="443"/>
      <c r="E561" s="458"/>
      <c r="F561" s="458"/>
      <c r="G561" s="458"/>
      <c r="H561" s="458"/>
      <c r="I561" s="458"/>
      <c r="J561" s="458"/>
      <c r="K561" s="458"/>
      <c r="L561" s="458"/>
      <c r="M561" s="458"/>
      <c r="N561" s="458"/>
      <c r="O561" s="443"/>
      <c r="P561" s="447"/>
    </row>
    <row r="562" spans="1:16" s="444" customFormat="1" ht="15">
      <c r="A562" s="443"/>
      <c r="B562" s="443"/>
      <c r="C562" s="443"/>
      <c r="D562" s="443"/>
      <c r="E562" s="458"/>
      <c r="F562" s="458"/>
      <c r="G562" s="458"/>
      <c r="H562" s="458"/>
      <c r="I562" s="458"/>
      <c r="J562" s="458"/>
      <c r="K562" s="458"/>
      <c r="L562" s="458"/>
      <c r="M562" s="458"/>
      <c r="N562" s="458"/>
      <c r="O562" s="443"/>
      <c r="P562" s="447"/>
    </row>
    <row r="563" spans="1:16" s="444" customFormat="1" ht="15">
      <c r="A563" s="443"/>
      <c r="B563" s="443"/>
      <c r="C563" s="443"/>
      <c r="D563" s="443"/>
      <c r="E563" s="458"/>
      <c r="F563" s="458"/>
      <c r="G563" s="458"/>
      <c r="H563" s="458"/>
      <c r="I563" s="458"/>
      <c r="J563" s="458"/>
      <c r="K563" s="458"/>
      <c r="L563" s="458"/>
      <c r="M563" s="458"/>
      <c r="N563" s="458"/>
      <c r="O563" s="443"/>
      <c r="P563" s="447"/>
    </row>
    <row r="564" spans="1:16" s="444" customFormat="1" ht="15">
      <c r="A564" s="443"/>
      <c r="B564" s="443"/>
      <c r="C564" s="443"/>
      <c r="D564" s="443"/>
      <c r="E564" s="458"/>
      <c r="F564" s="458"/>
      <c r="G564" s="458"/>
      <c r="H564" s="458"/>
      <c r="I564" s="458"/>
      <c r="J564" s="458"/>
      <c r="K564" s="458"/>
      <c r="L564" s="458"/>
      <c r="M564" s="458"/>
      <c r="N564" s="458"/>
      <c r="O564" s="443"/>
      <c r="P564" s="447"/>
    </row>
    <row r="565" spans="1:16" s="444" customFormat="1" ht="15">
      <c r="A565" s="443"/>
      <c r="B565" s="443"/>
      <c r="C565" s="443"/>
      <c r="D565" s="443"/>
      <c r="E565" s="458"/>
      <c r="F565" s="458"/>
      <c r="G565" s="458"/>
      <c r="H565" s="458"/>
      <c r="I565" s="458"/>
      <c r="J565" s="458"/>
      <c r="K565" s="458"/>
      <c r="L565" s="458"/>
      <c r="M565" s="458"/>
      <c r="N565" s="458"/>
      <c r="O565" s="443"/>
      <c r="P565" s="447"/>
    </row>
    <row r="566" spans="1:16" s="444" customFormat="1" ht="15">
      <c r="A566" s="443"/>
      <c r="B566" s="443"/>
      <c r="C566" s="443"/>
      <c r="D566" s="443"/>
      <c r="E566" s="458"/>
      <c r="F566" s="458"/>
      <c r="G566" s="458"/>
      <c r="H566" s="458"/>
      <c r="I566" s="458"/>
      <c r="J566" s="458"/>
      <c r="K566" s="458"/>
      <c r="L566" s="458"/>
      <c r="M566" s="458"/>
      <c r="N566" s="458"/>
      <c r="O566" s="443"/>
      <c r="P566" s="447"/>
    </row>
    <row r="567" spans="1:16" s="444" customFormat="1" ht="15">
      <c r="A567" s="443"/>
      <c r="B567" s="443"/>
      <c r="C567" s="443"/>
      <c r="D567" s="443"/>
      <c r="E567" s="458"/>
      <c r="F567" s="458"/>
      <c r="G567" s="458"/>
      <c r="H567" s="458"/>
      <c r="I567" s="458"/>
      <c r="J567" s="458"/>
      <c r="K567" s="458"/>
      <c r="L567" s="458"/>
      <c r="M567" s="458"/>
      <c r="N567" s="458"/>
      <c r="O567" s="443"/>
      <c r="P567" s="447"/>
    </row>
    <row r="568" spans="1:16" s="444" customFormat="1" ht="15">
      <c r="A568" s="443"/>
      <c r="B568" s="443"/>
      <c r="C568" s="443"/>
      <c r="D568" s="443"/>
      <c r="E568" s="458"/>
      <c r="F568" s="458"/>
      <c r="G568" s="458"/>
      <c r="H568" s="458"/>
      <c r="I568" s="458"/>
      <c r="J568" s="458"/>
      <c r="K568" s="458"/>
      <c r="L568" s="458"/>
      <c r="M568" s="458"/>
      <c r="N568" s="458"/>
      <c r="O568" s="443"/>
      <c r="P568" s="447"/>
    </row>
    <row r="569" spans="1:16" s="444" customFormat="1" ht="15">
      <c r="A569" s="443"/>
      <c r="B569" s="443"/>
      <c r="C569" s="443"/>
      <c r="D569" s="443"/>
      <c r="E569" s="458"/>
      <c r="F569" s="458"/>
      <c r="G569" s="458"/>
      <c r="H569" s="458"/>
      <c r="I569" s="458"/>
      <c r="J569" s="458"/>
      <c r="K569" s="458"/>
      <c r="L569" s="458"/>
      <c r="M569" s="458"/>
      <c r="N569" s="458"/>
      <c r="O569" s="443"/>
      <c r="P569" s="447"/>
    </row>
    <row r="570" spans="1:16" s="444" customFormat="1" ht="15">
      <c r="A570" s="443"/>
      <c r="B570" s="443"/>
      <c r="C570" s="443"/>
      <c r="D570" s="443"/>
      <c r="E570" s="458"/>
      <c r="F570" s="458"/>
      <c r="G570" s="458"/>
      <c r="H570" s="458"/>
      <c r="I570" s="458"/>
      <c r="J570" s="458"/>
      <c r="K570" s="458"/>
      <c r="L570" s="458"/>
      <c r="M570" s="458"/>
      <c r="N570" s="458"/>
      <c r="O570" s="443"/>
      <c r="P570" s="447"/>
    </row>
    <row r="571" spans="1:16" s="444" customFormat="1" ht="15">
      <c r="A571" s="443"/>
      <c r="B571" s="443"/>
      <c r="C571" s="443"/>
      <c r="D571" s="443"/>
      <c r="E571" s="458"/>
      <c r="F571" s="458"/>
      <c r="G571" s="458"/>
      <c r="H571" s="458"/>
      <c r="I571" s="458"/>
      <c r="J571" s="458"/>
      <c r="K571" s="458"/>
      <c r="L571" s="458"/>
      <c r="M571" s="458"/>
      <c r="N571" s="458"/>
      <c r="O571" s="443"/>
      <c r="P571" s="447"/>
    </row>
    <row r="572" spans="1:16" s="444" customFormat="1" ht="15">
      <c r="A572" s="443"/>
      <c r="B572" s="443"/>
      <c r="C572" s="443"/>
      <c r="D572" s="443"/>
      <c r="E572" s="458"/>
      <c r="F572" s="458"/>
      <c r="G572" s="458"/>
      <c r="H572" s="458"/>
      <c r="I572" s="458"/>
      <c r="J572" s="458"/>
      <c r="K572" s="458"/>
      <c r="L572" s="458"/>
      <c r="M572" s="458"/>
      <c r="N572" s="458"/>
      <c r="O572" s="443"/>
      <c r="P572" s="447"/>
    </row>
    <row r="573" spans="1:16" s="444" customFormat="1" ht="15">
      <c r="A573" s="443"/>
      <c r="B573" s="443"/>
      <c r="C573" s="443"/>
      <c r="D573" s="443"/>
      <c r="E573" s="458"/>
      <c r="F573" s="458"/>
      <c r="G573" s="458"/>
      <c r="H573" s="458"/>
      <c r="I573" s="458"/>
      <c r="J573" s="458"/>
      <c r="K573" s="458"/>
      <c r="L573" s="458"/>
      <c r="M573" s="458"/>
      <c r="N573" s="458"/>
      <c r="O573" s="443"/>
      <c r="P573" s="447"/>
    </row>
    <row r="574" spans="1:16" s="444" customFormat="1" ht="15">
      <c r="A574" s="443"/>
      <c r="B574" s="443"/>
      <c r="C574" s="443"/>
      <c r="D574" s="443"/>
      <c r="E574" s="458"/>
      <c r="F574" s="458"/>
      <c r="G574" s="458"/>
      <c r="H574" s="458"/>
      <c r="I574" s="458"/>
      <c r="J574" s="458"/>
      <c r="K574" s="458"/>
      <c r="L574" s="458"/>
      <c r="M574" s="458"/>
      <c r="N574" s="458"/>
      <c r="O574" s="443"/>
      <c r="P574" s="447"/>
    </row>
    <row r="575" spans="1:16" s="444" customFormat="1" ht="15">
      <c r="A575" s="443"/>
      <c r="B575" s="443"/>
      <c r="C575" s="443"/>
      <c r="D575" s="443"/>
      <c r="E575" s="458"/>
      <c r="F575" s="458"/>
      <c r="G575" s="458"/>
      <c r="H575" s="458"/>
      <c r="I575" s="458"/>
      <c r="J575" s="458"/>
      <c r="K575" s="458"/>
      <c r="L575" s="458"/>
      <c r="M575" s="458"/>
      <c r="N575" s="458"/>
      <c r="O575" s="443"/>
      <c r="P575" s="447"/>
    </row>
    <row r="576" spans="1:16" s="444" customFormat="1" ht="15">
      <c r="A576" s="443"/>
      <c r="B576" s="443"/>
      <c r="C576" s="443"/>
      <c r="D576" s="443"/>
      <c r="E576" s="458"/>
      <c r="F576" s="458"/>
      <c r="G576" s="458"/>
      <c r="H576" s="458"/>
      <c r="I576" s="458"/>
      <c r="J576" s="458"/>
      <c r="K576" s="458"/>
      <c r="L576" s="458"/>
      <c r="M576" s="458"/>
      <c r="N576" s="458"/>
      <c r="O576" s="443"/>
      <c r="P576" s="447"/>
    </row>
    <row r="577" spans="1:16" s="444" customFormat="1" ht="15">
      <c r="A577" s="443"/>
      <c r="B577" s="443"/>
      <c r="C577" s="443"/>
      <c r="D577" s="443"/>
      <c r="E577" s="458"/>
      <c r="F577" s="458"/>
      <c r="G577" s="458"/>
      <c r="H577" s="458"/>
      <c r="I577" s="458"/>
      <c r="J577" s="458"/>
      <c r="K577" s="458"/>
      <c r="L577" s="458"/>
      <c r="M577" s="458"/>
      <c r="N577" s="458"/>
      <c r="O577" s="443"/>
      <c r="P577" s="447"/>
    </row>
    <row r="578" spans="1:16" s="444" customFormat="1" ht="15">
      <c r="A578" s="443"/>
      <c r="B578" s="443"/>
      <c r="C578" s="443"/>
      <c r="D578" s="443"/>
      <c r="E578" s="458"/>
      <c r="F578" s="458"/>
      <c r="G578" s="458"/>
      <c r="H578" s="458"/>
      <c r="I578" s="458"/>
      <c r="J578" s="458"/>
      <c r="K578" s="458"/>
      <c r="L578" s="458"/>
      <c r="M578" s="458"/>
      <c r="N578" s="458"/>
      <c r="O578" s="443"/>
      <c r="P578" s="447"/>
    </row>
    <row r="579" spans="1:16" s="444" customFormat="1" ht="15">
      <c r="A579" s="443"/>
      <c r="B579" s="443"/>
      <c r="C579" s="443"/>
      <c r="D579" s="443"/>
      <c r="E579" s="458"/>
      <c r="F579" s="458"/>
      <c r="G579" s="458"/>
      <c r="H579" s="458"/>
      <c r="I579" s="458"/>
      <c r="J579" s="458"/>
      <c r="K579" s="458"/>
      <c r="L579" s="458"/>
      <c r="M579" s="458"/>
      <c r="N579" s="458"/>
      <c r="O579" s="443"/>
      <c r="P579" s="447"/>
    </row>
    <row r="580" spans="1:16" s="444" customFormat="1" ht="15">
      <c r="A580" s="443"/>
      <c r="B580" s="443"/>
      <c r="C580" s="443"/>
      <c r="D580" s="443"/>
      <c r="E580" s="458"/>
      <c r="F580" s="458"/>
      <c r="G580" s="458"/>
      <c r="H580" s="458"/>
      <c r="I580" s="458"/>
      <c r="J580" s="458"/>
      <c r="K580" s="458"/>
      <c r="L580" s="458"/>
      <c r="M580" s="458"/>
      <c r="N580" s="458"/>
      <c r="O580" s="443"/>
      <c r="P580" s="447"/>
    </row>
    <row r="581" spans="1:16" s="444" customFormat="1" ht="15">
      <c r="A581" s="443"/>
      <c r="B581" s="443"/>
      <c r="C581" s="443"/>
      <c r="D581" s="443"/>
      <c r="E581" s="458"/>
      <c r="F581" s="458"/>
      <c r="G581" s="458"/>
      <c r="H581" s="458"/>
      <c r="I581" s="458"/>
      <c r="J581" s="458"/>
      <c r="K581" s="458"/>
      <c r="L581" s="458"/>
      <c r="M581" s="458"/>
      <c r="N581" s="458"/>
      <c r="O581" s="443"/>
      <c r="P581" s="447"/>
    </row>
    <row r="582" spans="1:16" s="444" customFormat="1" ht="15">
      <c r="A582" s="443"/>
      <c r="B582" s="443"/>
      <c r="C582" s="443"/>
      <c r="D582" s="443"/>
      <c r="E582" s="458"/>
      <c r="F582" s="458"/>
      <c r="G582" s="458"/>
      <c r="H582" s="458"/>
      <c r="I582" s="458"/>
      <c r="J582" s="458"/>
      <c r="K582" s="458"/>
      <c r="L582" s="458"/>
      <c r="M582" s="458"/>
      <c r="N582" s="458"/>
      <c r="O582" s="443"/>
      <c r="P582" s="447"/>
    </row>
    <row r="583" spans="1:16" s="444" customFormat="1" ht="15">
      <c r="A583" s="443"/>
      <c r="B583" s="443"/>
      <c r="C583" s="443"/>
      <c r="D583" s="443"/>
      <c r="E583" s="458"/>
      <c r="F583" s="458"/>
      <c r="G583" s="458"/>
      <c r="H583" s="458"/>
      <c r="I583" s="458"/>
      <c r="J583" s="458"/>
      <c r="K583" s="458"/>
      <c r="L583" s="458"/>
      <c r="M583" s="458"/>
      <c r="N583" s="458"/>
      <c r="O583" s="443"/>
      <c r="P583" s="447"/>
    </row>
    <row r="584" spans="1:16" s="444" customFormat="1" ht="15">
      <c r="A584" s="443"/>
      <c r="B584" s="443"/>
      <c r="C584" s="443"/>
      <c r="D584" s="443"/>
      <c r="E584" s="458"/>
      <c r="F584" s="458"/>
      <c r="G584" s="458"/>
      <c r="H584" s="458"/>
      <c r="I584" s="458"/>
      <c r="J584" s="458"/>
      <c r="K584" s="458"/>
      <c r="L584" s="458"/>
      <c r="M584" s="458"/>
      <c r="N584" s="458"/>
      <c r="O584" s="443"/>
      <c r="P584" s="447"/>
    </row>
    <row r="585" spans="1:16" s="444" customFormat="1" ht="15">
      <c r="A585" s="443"/>
      <c r="B585" s="443"/>
      <c r="C585" s="443"/>
      <c r="D585" s="443"/>
      <c r="E585" s="458"/>
      <c r="F585" s="458"/>
      <c r="G585" s="458"/>
      <c r="H585" s="458"/>
      <c r="I585" s="458"/>
      <c r="J585" s="458"/>
      <c r="K585" s="458"/>
      <c r="L585" s="458"/>
      <c r="M585" s="458"/>
      <c r="N585" s="458"/>
      <c r="O585" s="443"/>
      <c r="P585" s="447"/>
    </row>
    <row r="586" spans="1:16" s="444" customFormat="1" ht="15">
      <c r="A586" s="443"/>
      <c r="B586" s="443"/>
      <c r="C586" s="443"/>
      <c r="D586" s="443"/>
      <c r="E586" s="458"/>
      <c r="F586" s="458"/>
      <c r="G586" s="458"/>
      <c r="H586" s="458"/>
      <c r="I586" s="458"/>
      <c r="J586" s="458"/>
      <c r="K586" s="458"/>
      <c r="L586" s="458"/>
      <c r="M586" s="458"/>
      <c r="N586" s="458"/>
      <c r="O586" s="443"/>
      <c r="P586" s="447"/>
    </row>
    <row r="587" spans="1:16" s="444" customFormat="1" ht="15">
      <c r="A587" s="443"/>
      <c r="B587" s="443"/>
      <c r="C587" s="443"/>
      <c r="D587" s="443"/>
      <c r="E587" s="458"/>
      <c r="F587" s="458"/>
      <c r="G587" s="458"/>
      <c r="H587" s="458"/>
      <c r="I587" s="458"/>
      <c r="J587" s="458"/>
      <c r="K587" s="458"/>
      <c r="L587" s="458"/>
      <c r="M587" s="458"/>
      <c r="N587" s="458"/>
      <c r="O587" s="443"/>
      <c r="P587" s="447"/>
    </row>
    <row r="588" spans="1:16" s="444" customFormat="1" ht="15">
      <c r="A588" s="443"/>
      <c r="B588" s="443"/>
      <c r="C588" s="443"/>
      <c r="D588" s="443"/>
      <c r="E588" s="458"/>
      <c r="F588" s="458"/>
      <c r="G588" s="458"/>
      <c r="H588" s="458"/>
      <c r="I588" s="458"/>
      <c r="J588" s="458"/>
      <c r="K588" s="458"/>
      <c r="L588" s="458"/>
      <c r="M588" s="458"/>
      <c r="N588" s="458"/>
      <c r="O588" s="443"/>
      <c r="P588" s="447"/>
    </row>
    <row r="589" spans="1:16" s="444" customFormat="1" ht="15">
      <c r="A589" s="443"/>
      <c r="B589" s="443"/>
      <c r="C589" s="443"/>
      <c r="D589" s="443"/>
      <c r="E589" s="458"/>
      <c r="F589" s="458"/>
      <c r="G589" s="458"/>
      <c r="H589" s="458"/>
      <c r="I589" s="458"/>
      <c r="J589" s="458"/>
      <c r="K589" s="458"/>
      <c r="L589" s="458"/>
      <c r="M589" s="458"/>
      <c r="N589" s="458"/>
      <c r="O589" s="443"/>
      <c r="P589" s="447"/>
    </row>
    <row r="590" spans="1:16" s="444" customFormat="1" ht="15">
      <c r="A590" s="443"/>
      <c r="B590" s="443"/>
      <c r="C590" s="443"/>
      <c r="D590" s="443"/>
      <c r="E590" s="458"/>
      <c r="F590" s="458"/>
      <c r="G590" s="458"/>
      <c r="H590" s="458"/>
      <c r="I590" s="458"/>
      <c r="J590" s="458"/>
      <c r="K590" s="458"/>
      <c r="L590" s="458"/>
      <c r="M590" s="458"/>
      <c r="N590" s="458"/>
      <c r="O590" s="443"/>
      <c r="P590" s="447"/>
    </row>
    <row r="591" spans="1:16" s="444" customFormat="1" ht="15">
      <c r="A591" s="443"/>
      <c r="B591" s="443"/>
      <c r="C591" s="443"/>
      <c r="D591" s="443"/>
      <c r="E591" s="458"/>
      <c r="F591" s="458"/>
      <c r="G591" s="458"/>
      <c r="H591" s="458"/>
      <c r="I591" s="458"/>
      <c r="J591" s="458"/>
      <c r="K591" s="458"/>
      <c r="L591" s="458"/>
      <c r="M591" s="458"/>
      <c r="N591" s="458"/>
      <c r="O591" s="443"/>
      <c r="P591" s="447"/>
    </row>
    <row r="592" spans="1:16" s="444" customFormat="1" ht="15">
      <c r="A592" s="443"/>
      <c r="B592" s="443"/>
      <c r="C592" s="443"/>
      <c r="D592" s="443"/>
      <c r="E592" s="458"/>
      <c r="F592" s="458"/>
      <c r="G592" s="458"/>
      <c r="H592" s="458"/>
      <c r="I592" s="458"/>
      <c r="J592" s="458"/>
      <c r="K592" s="458"/>
      <c r="L592" s="458"/>
      <c r="M592" s="458"/>
      <c r="N592" s="458"/>
      <c r="O592" s="443"/>
      <c r="P592" s="447"/>
    </row>
    <row r="593" spans="1:16" s="444" customFormat="1" ht="15">
      <c r="A593" s="443"/>
      <c r="B593" s="443"/>
      <c r="C593" s="443"/>
      <c r="D593" s="443"/>
      <c r="E593" s="458"/>
      <c r="F593" s="458"/>
      <c r="G593" s="458"/>
      <c r="H593" s="458"/>
      <c r="I593" s="458"/>
      <c r="J593" s="458"/>
      <c r="K593" s="458"/>
      <c r="L593" s="458"/>
      <c r="M593" s="458"/>
      <c r="N593" s="458"/>
      <c r="O593" s="443"/>
      <c r="P593" s="447"/>
    </row>
    <row r="594" spans="1:16" s="444" customFormat="1" ht="15">
      <c r="A594" s="443"/>
      <c r="B594" s="443"/>
      <c r="C594" s="443"/>
      <c r="D594" s="443"/>
      <c r="E594" s="458"/>
      <c r="F594" s="458"/>
      <c r="G594" s="458"/>
      <c r="H594" s="458"/>
      <c r="I594" s="458"/>
      <c r="J594" s="458"/>
      <c r="K594" s="458"/>
      <c r="L594" s="458"/>
      <c r="M594" s="458"/>
      <c r="N594" s="458"/>
      <c r="O594" s="443"/>
      <c r="P594" s="447"/>
    </row>
    <row r="595" spans="1:16" s="444" customFormat="1" ht="15">
      <c r="A595" s="443"/>
      <c r="B595" s="443"/>
      <c r="C595" s="443"/>
      <c r="D595" s="443"/>
      <c r="E595" s="458"/>
      <c r="F595" s="458"/>
      <c r="G595" s="458"/>
      <c r="H595" s="458"/>
      <c r="I595" s="458"/>
      <c r="J595" s="458"/>
      <c r="K595" s="458"/>
      <c r="L595" s="458"/>
      <c r="M595" s="458"/>
      <c r="N595" s="458"/>
      <c r="O595" s="443"/>
      <c r="P595" s="447"/>
    </row>
    <row r="596" spans="1:16" s="444" customFormat="1" ht="15">
      <c r="A596" s="443"/>
      <c r="B596" s="443"/>
      <c r="C596" s="443"/>
      <c r="D596" s="443"/>
      <c r="E596" s="458"/>
      <c r="F596" s="458"/>
      <c r="G596" s="458"/>
      <c r="H596" s="458"/>
      <c r="I596" s="458"/>
      <c r="J596" s="458"/>
      <c r="K596" s="458"/>
      <c r="L596" s="458"/>
      <c r="M596" s="458"/>
      <c r="N596" s="458"/>
      <c r="O596" s="443"/>
      <c r="P596" s="447"/>
    </row>
    <row r="597" spans="1:16" s="444" customFormat="1" ht="15">
      <c r="A597" s="443"/>
      <c r="B597" s="443"/>
      <c r="C597" s="443"/>
      <c r="D597" s="443"/>
      <c r="E597" s="458"/>
      <c r="F597" s="458"/>
      <c r="G597" s="458"/>
      <c r="H597" s="458"/>
      <c r="I597" s="458"/>
      <c r="J597" s="458"/>
      <c r="K597" s="458"/>
      <c r="L597" s="458"/>
      <c r="M597" s="458"/>
      <c r="N597" s="458"/>
      <c r="O597" s="443"/>
      <c r="P597" s="447"/>
    </row>
    <row r="598" spans="1:16" s="444" customFormat="1" ht="15">
      <c r="A598" s="443"/>
      <c r="B598" s="443"/>
      <c r="C598" s="443"/>
      <c r="D598" s="443"/>
      <c r="E598" s="458"/>
      <c r="F598" s="458"/>
      <c r="G598" s="458"/>
      <c r="H598" s="458"/>
      <c r="I598" s="458"/>
      <c r="J598" s="458"/>
      <c r="K598" s="458"/>
      <c r="L598" s="458"/>
      <c r="M598" s="458"/>
      <c r="N598" s="458"/>
      <c r="O598" s="443"/>
      <c r="P598" s="447"/>
    </row>
    <row r="599" spans="1:16" s="444" customFormat="1" ht="15">
      <c r="A599" s="443"/>
      <c r="B599" s="443"/>
      <c r="C599" s="443"/>
      <c r="D599" s="443"/>
      <c r="E599" s="458"/>
      <c r="F599" s="458"/>
      <c r="G599" s="458"/>
      <c r="H599" s="458"/>
      <c r="I599" s="458"/>
      <c r="J599" s="458"/>
      <c r="K599" s="458"/>
      <c r="L599" s="458"/>
      <c r="M599" s="458"/>
      <c r="N599" s="458"/>
      <c r="O599" s="443"/>
      <c r="P599" s="447"/>
    </row>
    <row r="600" spans="1:16" s="444" customFormat="1" ht="15">
      <c r="A600" s="443"/>
      <c r="B600" s="443"/>
      <c r="C600" s="443"/>
      <c r="D600" s="443"/>
      <c r="E600" s="458"/>
      <c r="F600" s="458"/>
      <c r="G600" s="458"/>
      <c r="H600" s="458"/>
      <c r="I600" s="458"/>
      <c r="J600" s="458"/>
      <c r="K600" s="458"/>
      <c r="L600" s="458"/>
      <c r="M600" s="458"/>
      <c r="N600" s="458"/>
      <c r="O600" s="443"/>
      <c r="P600" s="447"/>
    </row>
    <row r="601" spans="1:16" s="444" customFormat="1" ht="15">
      <c r="A601" s="443"/>
      <c r="B601" s="443"/>
      <c r="C601" s="443"/>
      <c r="D601" s="443"/>
      <c r="E601" s="458"/>
      <c r="F601" s="458"/>
      <c r="G601" s="458"/>
      <c r="H601" s="458"/>
      <c r="I601" s="458"/>
      <c r="J601" s="458"/>
      <c r="K601" s="458"/>
      <c r="L601" s="458"/>
      <c r="M601" s="458"/>
      <c r="N601" s="458"/>
      <c r="O601" s="443"/>
      <c r="P601" s="447"/>
    </row>
    <row r="602" spans="1:16" s="444" customFormat="1" ht="15">
      <c r="A602" s="443"/>
      <c r="B602" s="443"/>
      <c r="C602" s="443"/>
      <c r="D602" s="443"/>
      <c r="E602" s="458"/>
      <c r="F602" s="458"/>
      <c r="G602" s="458"/>
      <c r="H602" s="458"/>
      <c r="I602" s="458"/>
      <c r="J602" s="458"/>
      <c r="K602" s="458"/>
      <c r="L602" s="458"/>
      <c r="M602" s="458"/>
      <c r="N602" s="458"/>
      <c r="O602" s="443"/>
      <c r="P602" s="447"/>
    </row>
    <row r="603" spans="1:16" s="444" customFormat="1" ht="15">
      <c r="A603" s="443"/>
      <c r="B603" s="443"/>
      <c r="C603" s="443"/>
      <c r="D603" s="443"/>
      <c r="E603" s="458"/>
      <c r="F603" s="458"/>
      <c r="G603" s="458"/>
      <c r="H603" s="458"/>
      <c r="I603" s="458"/>
      <c r="J603" s="458"/>
      <c r="K603" s="458"/>
      <c r="L603" s="458"/>
      <c r="M603" s="458"/>
      <c r="N603" s="458"/>
      <c r="O603" s="443"/>
      <c r="P603" s="447"/>
    </row>
    <row r="604" spans="1:16" s="444" customFormat="1" ht="15">
      <c r="A604" s="443"/>
      <c r="B604" s="443"/>
      <c r="C604" s="443"/>
      <c r="D604" s="443"/>
      <c r="E604" s="458"/>
      <c r="F604" s="458"/>
      <c r="G604" s="458"/>
      <c r="H604" s="458"/>
      <c r="I604" s="458"/>
      <c r="J604" s="458"/>
      <c r="K604" s="458"/>
      <c r="L604" s="458"/>
      <c r="M604" s="458"/>
      <c r="N604" s="458"/>
      <c r="O604" s="443"/>
      <c r="P604" s="447"/>
    </row>
    <row r="605" spans="1:16" s="444" customFormat="1" ht="15">
      <c r="A605" s="443"/>
      <c r="B605" s="443"/>
      <c r="C605" s="443"/>
      <c r="D605" s="443"/>
      <c r="E605" s="458"/>
      <c r="F605" s="458"/>
      <c r="G605" s="458"/>
      <c r="H605" s="458"/>
      <c r="I605" s="458"/>
      <c r="J605" s="458"/>
      <c r="K605" s="458"/>
      <c r="L605" s="458"/>
      <c r="M605" s="458"/>
      <c r="N605" s="458"/>
      <c r="O605" s="443"/>
      <c r="P605" s="447"/>
    </row>
    <row r="606" spans="1:16" s="444" customFormat="1" ht="15">
      <c r="A606" s="443"/>
      <c r="B606" s="443"/>
      <c r="C606" s="443"/>
      <c r="D606" s="443"/>
      <c r="E606" s="458"/>
      <c r="F606" s="458"/>
      <c r="G606" s="458"/>
      <c r="H606" s="458"/>
      <c r="I606" s="458"/>
      <c r="J606" s="458"/>
      <c r="K606" s="458"/>
      <c r="L606" s="458"/>
      <c r="M606" s="458"/>
      <c r="N606" s="458"/>
      <c r="O606" s="443"/>
      <c r="P606" s="447"/>
    </row>
    <row r="607" spans="1:16" s="444" customFormat="1" ht="15">
      <c r="A607" s="443"/>
      <c r="B607" s="443"/>
      <c r="C607" s="443"/>
      <c r="D607" s="443"/>
      <c r="E607" s="458"/>
      <c r="F607" s="458"/>
      <c r="G607" s="458"/>
      <c r="H607" s="458"/>
      <c r="I607" s="458"/>
      <c r="J607" s="458"/>
      <c r="K607" s="458"/>
      <c r="L607" s="458"/>
      <c r="M607" s="458"/>
      <c r="N607" s="458"/>
      <c r="O607" s="443"/>
      <c r="P607" s="447"/>
    </row>
    <row r="608" spans="1:16" s="444" customFormat="1" ht="15">
      <c r="A608" s="443"/>
      <c r="B608" s="443"/>
      <c r="C608" s="443"/>
      <c r="D608" s="443"/>
      <c r="E608" s="458"/>
      <c r="F608" s="458"/>
      <c r="G608" s="458"/>
      <c r="H608" s="458"/>
      <c r="I608" s="458"/>
      <c r="J608" s="458"/>
      <c r="K608" s="458"/>
      <c r="L608" s="458"/>
      <c r="M608" s="458"/>
      <c r="N608" s="458"/>
      <c r="O608" s="443"/>
      <c r="P608" s="447"/>
    </row>
    <row r="609" spans="1:16" s="444" customFormat="1" ht="15">
      <c r="A609" s="443"/>
      <c r="B609" s="443"/>
      <c r="C609" s="443"/>
      <c r="D609" s="443"/>
      <c r="E609" s="458"/>
      <c r="F609" s="458"/>
      <c r="G609" s="458"/>
      <c r="H609" s="458"/>
      <c r="I609" s="458"/>
      <c r="J609" s="458"/>
      <c r="K609" s="458"/>
      <c r="L609" s="458"/>
      <c r="M609" s="458"/>
      <c r="N609" s="458"/>
      <c r="O609" s="443"/>
      <c r="P609" s="447"/>
    </row>
    <row r="610" spans="1:16" s="444" customFormat="1" ht="15">
      <c r="A610" s="443"/>
      <c r="B610" s="443"/>
      <c r="C610" s="443"/>
      <c r="D610" s="443"/>
      <c r="E610" s="458"/>
      <c r="F610" s="458"/>
      <c r="G610" s="458"/>
      <c r="H610" s="458"/>
      <c r="I610" s="458"/>
      <c r="J610" s="458"/>
      <c r="K610" s="458"/>
      <c r="L610" s="458"/>
      <c r="M610" s="458"/>
      <c r="N610" s="458"/>
      <c r="O610" s="443"/>
      <c r="P610" s="447"/>
    </row>
    <row r="611" spans="1:16" s="444" customFormat="1" ht="15">
      <c r="A611" s="443"/>
      <c r="B611" s="443"/>
      <c r="C611" s="443"/>
      <c r="D611" s="443"/>
      <c r="E611" s="458"/>
      <c r="F611" s="458"/>
      <c r="G611" s="458"/>
      <c r="H611" s="458"/>
      <c r="I611" s="458"/>
      <c r="J611" s="458"/>
      <c r="K611" s="458"/>
      <c r="L611" s="458"/>
      <c r="M611" s="458"/>
      <c r="N611" s="458"/>
      <c r="O611" s="443"/>
      <c r="P611" s="447"/>
    </row>
    <row r="612" spans="1:16" s="444" customFormat="1" ht="15">
      <c r="A612" s="443"/>
      <c r="B612" s="443"/>
      <c r="C612" s="443"/>
      <c r="D612" s="443"/>
      <c r="E612" s="458"/>
      <c r="F612" s="458"/>
      <c r="G612" s="458"/>
      <c r="H612" s="458"/>
      <c r="I612" s="458"/>
      <c r="J612" s="458"/>
      <c r="K612" s="458"/>
      <c r="L612" s="458"/>
      <c r="M612" s="458"/>
      <c r="N612" s="458"/>
      <c r="O612" s="443"/>
      <c r="P612" s="447"/>
    </row>
    <row r="613" spans="1:16" s="444" customFormat="1" ht="15">
      <c r="A613" s="443"/>
      <c r="B613" s="443"/>
      <c r="C613" s="443"/>
      <c r="D613" s="443"/>
      <c r="E613" s="458"/>
      <c r="F613" s="458"/>
      <c r="G613" s="458"/>
      <c r="H613" s="458"/>
      <c r="I613" s="458"/>
      <c r="J613" s="458"/>
      <c r="K613" s="458"/>
      <c r="L613" s="458"/>
      <c r="M613" s="458"/>
      <c r="N613" s="458"/>
      <c r="O613" s="443"/>
      <c r="P613" s="447"/>
    </row>
    <row r="614" spans="1:16" s="444" customFormat="1" ht="15">
      <c r="A614" s="443"/>
      <c r="B614" s="443"/>
      <c r="C614" s="443"/>
      <c r="D614" s="443"/>
      <c r="E614" s="458"/>
      <c r="F614" s="458"/>
      <c r="G614" s="458"/>
      <c r="H614" s="458"/>
      <c r="I614" s="458"/>
      <c r="J614" s="458"/>
      <c r="K614" s="458"/>
      <c r="L614" s="458"/>
      <c r="M614" s="458"/>
      <c r="N614" s="458"/>
      <c r="O614" s="443"/>
      <c r="P614" s="447"/>
    </row>
    <row r="615" spans="1:16" s="444" customFormat="1" ht="15">
      <c r="A615" s="443"/>
      <c r="B615" s="443"/>
      <c r="C615" s="443"/>
      <c r="D615" s="443"/>
      <c r="E615" s="458"/>
      <c r="F615" s="458"/>
      <c r="G615" s="458"/>
      <c r="H615" s="458"/>
      <c r="I615" s="458"/>
      <c r="J615" s="458"/>
      <c r="K615" s="458"/>
      <c r="L615" s="458"/>
      <c r="M615" s="458"/>
      <c r="N615" s="458"/>
      <c r="O615" s="443"/>
      <c r="P615" s="447"/>
    </row>
    <row r="616" spans="1:16" s="444" customFormat="1" ht="15">
      <c r="A616" s="443"/>
      <c r="B616" s="443"/>
      <c r="C616" s="443"/>
      <c r="D616" s="443"/>
      <c r="E616" s="458"/>
      <c r="F616" s="458"/>
      <c r="G616" s="458"/>
      <c r="H616" s="458"/>
      <c r="I616" s="458"/>
      <c r="J616" s="458"/>
      <c r="K616" s="458"/>
      <c r="L616" s="458"/>
      <c r="M616" s="458"/>
      <c r="N616" s="458"/>
      <c r="O616" s="443"/>
      <c r="P616" s="447"/>
    </row>
    <row r="617" spans="1:16" s="444" customFormat="1" ht="15">
      <c r="A617" s="443"/>
      <c r="B617" s="443"/>
      <c r="C617" s="443"/>
      <c r="D617" s="443"/>
      <c r="E617" s="458"/>
      <c r="F617" s="458"/>
      <c r="G617" s="458"/>
      <c r="H617" s="458"/>
      <c r="I617" s="458"/>
      <c r="J617" s="458"/>
      <c r="K617" s="458"/>
      <c r="L617" s="458"/>
      <c r="M617" s="458"/>
      <c r="N617" s="458"/>
      <c r="O617" s="443"/>
      <c r="P617" s="447"/>
    </row>
    <row r="618" spans="1:16" s="444" customFormat="1" ht="15">
      <c r="A618" s="443"/>
      <c r="B618" s="443"/>
      <c r="C618" s="443"/>
      <c r="D618" s="443"/>
      <c r="E618" s="458"/>
      <c r="F618" s="458"/>
      <c r="G618" s="458"/>
      <c r="H618" s="458"/>
      <c r="I618" s="458"/>
      <c r="J618" s="458"/>
      <c r="K618" s="458"/>
      <c r="L618" s="458"/>
      <c r="M618" s="458"/>
      <c r="N618" s="458"/>
      <c r="O618" s="443"/>
      <c r="P618" s="447"/>
    </row>
    <row r="619" spans="1:16" s="444" customFormat="1" ht="15">
      <c r="A619" s="443"/>
      <c r="B619" s="443"/>
      <c r="C619" s="443"/>
      <c r="D619" s="443"/>
      <c r="E619" s="458"/>
      <c r="F619" s="458"/>
      <c r="G619" s="458"/>
      <c r="H619" s="458"/>
      <c r="I619" s="458"/>
      <c r="J619" s="458"/>
      <c r="K619" s="458"/>
      <c r="L619" s="458"/>
      <c r="M619" s="458"/>
      <c r="N619" s="458"/>
      <c r="O619" s="443"/>
      <c r="P619" s="447"/>
    </row>
    <row r="620" spans="1:16" s="444" customFormat="1" ht="15">
      <c r="A620" s="443"/>
      <c r="B620" s="443"/>
      <c r="C620" s="443"/>
      <c r="D620" s="443"/>
      <c r="E620" s="458"/>
      <c r="F620" s="458"/>
      <c r="G620" s="458"/>
      <c r="H620" s="458"/>
      <c r="I620" s="458"/>
      <c r="J620" s="458"/>
      <c r="K620" s="458"/>
      <c r="L620" s="458"/>
      <c r="M620" s="458"/>
      <c r="N620" s="458"/>
      <c r="O620" s="443"/>
      <c r="P620" s="447"/>
    </row>
    <row r="621" spans="1:16" s="444" customFormat="1" ht="15">
      <c r="A621" s="443"/>
      <c r="B621" s="443"/>
      <c r="C621" s="443"/>
      <c r="D621" s="443"/>
      <c r="E621" s="458"/>
      <c r="F621" s="458"/>
      <c r="G621" s="458"/>
      <c r="H621" s="458"/>
      <c r="I621" s="458"/>
      <c r="J621" s="458"/>
      <c r="K621" s="458"/>
      <c r="L621" s="458"/>
      <c r="M621" s="458"/>
      <c r="N621" s="458"/>
      <c r="O621" s="443"/>
      <c r="P621" s="447"/>
    </row>
    <row r="622" spans="1:16" s="444" customFormat="1" ht="15">
      <c r="A622" s="443"/>
      <c r="B622" s="443"/>
      <c r="C622" s="443"/>
      <c r="D622" s="443"/>
      <c r="E622" s="458"/>
      <c r="F622" s="458"/>
      <c r="G622" s="458"/>
      <c r="H622" s="458"/>
      <c r="I622" s="458"/>
      <c r="J622" s="458"/>
      <c r="K622" s="458"/>
      <c r="L622" s="458"/>
      <c r="M622" s="458"/>
      <c r="N622" s="458"/>
      <c r="O622" s="443"/>
      <c r="P622" s="447"/>
    </row>
    <row r="623" spans="1:16" s="444" customFormat="1" ht="15">
      <c r="A623" s="443"/>
      <c r="B623" s="443"/>
      <c r="C623" s="443"/>
      <c r="D623" s="443"/>
      <c r="E623" s="458"/>
      <c r="F623" s="458"/>
      <c r="G623" s="458"/>
      <c r="H623" s="458"/>
      <c r="I623" s="458"/>
      <c r="J623" s="458"/>
      <c r="K623" s="458"/>
      <c r="L623" s="458"/>
      <c r="M623" s="458"/>
      <c r="N623" s="458"/>
      <c r="O623" s="443"/>
      <c r="P623" s="447"/>
    </row>
    <row r="624" spans="1:16" s="444" customFormat="1" ht="15">
      <c r="A624" s="443"/>
      <c r="B624" s="443"/>
      <c r="C624" s="443"/>
      <c r="D624" s="443"/>
      <c r="E624" s="458"/>
      <c r="F624" s="458"/>
      <c r="G624" s="458"/>
      <c r="H624" s="458"/>
      <c r="I624" s="458"/>
      <c r="J624" s="458"/>
      <c r="K624" s="458"/>
      <c r="L624" s="458"/>
      <c r="M624" s="458"/>
      <c r="N624" s="458"/>
      <c r="O624" s="443"/>
      <c r="P624" s="447"/>
    </row>
    <row r="625" spans="1:16" s="444" customFormat="1" ht="15">
      <c r="A625" s="443"/>
      <c r="B625" s="443"/>
      <c r="C625" s="443"/>
      <c r="D625" s="443"/>
      <c r="E625" s="458"/>
      <c r="F625" s="458"/>
      <c r="G625" s="458"/>
      <c r="H625" s="458"/>
      <c r="I625" s="458"/>
      <c r="J625" s="458"/>
      <c r="K625" s="458"/>
      <c r="L625" s="458"/>
      <c r="M625" s="458"/>
      <c r="N625" s="458"/>
      <c r="O625" s="443"/>
      <c r="P625" s="447"/>
    </row>
    <row r="626" spans="1:16" s="444" customFormat="1" ht="15">
      <c r="A626" s="443"/>
      <c r="B626" s="443"/>
      <c r="C626" s="443"/>
      <c r="D626" s="443"/>
      <c r="E626" s="458"/>
      <c r="F626" s="458"/>
      <c r="G626" s="458"/>
      <c r="H626" s="458"/>
      <c r="I626" s="458"/>
      <c r="J626" s="458"/>
      <c r="K626" s="458"/>
      <c r="L626" s="458"/>
      <c r="M626" s="458"/>
      <c r="N626" s="458"/>
      <c r="O626" s="443"/>
      <c r="P626" s="447"/>
    </row>
    <row r="627" spans="1:16" s="444" customFormat="1" ht="15">
      <c r="A627" s="443"/>
      <c r="B627" s="443"/>
      <c r="C627" s="443"/>
      <c r="D627" s="443"/>
      <c r="E627" s="458"/>
      <c r="F627" s="458"/>
      <c r="G627" s="458"/>
      <c r="H627" s="458"/>
      <c r="I627" s="458"/>
      <c r="J627" s="458"/>
      <c r="K627" s="458"/>
      <c r="L627" s="458"/>
      <c r="M627" s="458"/>
      <c r="N627" s="458"/>
      <c r="O627" s="443"/>
      <c r="P627" s="447"/>
    </row>
    <row r="628" spans="1:16" s="444" customFormat="1" ht="15">
      <c r="A628" s="443"/>
      <c r="B628" s="443"/>
      <c r="C628" s="443"/>
      <c r="D628" s="443"/>
      <c r="E628" s="458"/>
      <c r="F628" s="458"/>
      <c r="G628" s="458"/>
      <c r="H628" s="458"/>
      <c r="I628" s="458"/>
      <c r="J628" s="458"/>
      <c r="K628" s="458"/>
      <c r="L628" s="458"/>
      <c r="M628" s="458"/>
      <c r="N628" s="458"/>
      <c r="O628" s="443"/>
      <c r="P628" s="447"/>
    </row>
    <row r="629" spans="1:16" s="444" customFormat="1" ht="15">
      <c r="A629" s="443"/>
      <c r="B629" s="443"/>
      <c r="C629" s="443"/>
      <c r="D629" s="443"/>
      <c r="E629" s="458"/>
      <c r="F629" s="458"/>
      <c r="G629" s="458"/>
      <c r="H629" s="458"/>
      <c r="I629" s="458"/>
      <c r="J629" s="458"/>
      <c r="K629" s="458"/>
      <c r="L629" s="458"/>
      <c r="M629" s="458"/>
      <c r="N629" s="458"/>
      <c r="O629" s="443"/>
      <c r="P629" s="447"/>
    </row>
    <row r="630" spans="1:16" s="444" customFormat="1" ht="15">
      <c r="A630" s="443"/>
      <c r="B630" s="443"/>
      <c r="C630" s="443"/>
      <c r="D630" s="443"/>
      <c r="E630" s="458"/>
      <c r="F630" s="458"/>
      <c r="G630" s="458"/>
      <c r="H630" s="458"/>
      <c r="I630" s="458"/>
      <c r="J630" s="458"/>
      <c r="K630" s="458"/>
      <c r="L630" s="458"/>
      <c r="M630" s="458"/>
      <c r="N630" s="458"/>
      <c r="O630" s="443"/>
      <c r="P630" s="447"/>
    </row>
    <row r="631" spans="1:16" s="444" customFormat="1" ht="15">
      <c r="A631" s="443"/>
      <c r="B631" s="443"/>
      <c r="C631" s="443"/>
      <c r="D631" s="443"/>
      <c r="E631" s="458"/>
      <c r="F631" s="458"/>
      <c r="G631" s="458"/>
      <c r="H631" s="458"/>
      <c r="I631" s="458"/>
      <c r="J631" s="458"/>
      <c r="K631" s="458"/>
      <c r="L631" s="458"/>
      <c r="M631" s="458"/>
      <c r="N631" s="458"/>
      <c r="O631" s="443"/>
      <c r="P631" s="447"/>
    </row>
    <row r="632" spans="1:16" s="444" customFormat="1" ht="15">
      <c r="A632" s="443"/>
      <c r="B632" s="443"/>
      <c r="C632" s="443"/>
      <c r="D632" s="443"/>
      <c r="E632" s="458"/>
      <c r="F632" s="458"/>
      <c r="G632" s="458"/>
      <c r="H632" s="458"/>
      <c r="I632" s="458"/>
      <c r="J632" s="458"/>
      <c r="K632" s="458"/>
      <c r="L632" s="458"/>
      <c r="M632" s="458"/>
      <c r="N632" s="458"/>
      <c r="O632" s="443"/>
      <c r="P632" s="447"/>
    </row>
    <row r="633" spans="1:16" s="444" customFormat="1" ht="15">
      <c r="A633" s="443"/>
      <c r="B633" s="443"/>
      <c r="C633" s="443"/>
      <c r="D633" s="443"/>
      <c r="E633" s="458"/>
      <c r="F633" s="458"/>
      <c r="G633" s="458"/>
      <c r="H633" s="458"/>
      <c r="I633" s="458"/>
      <c r="J633" s="458"/>
      <c r="K633" s="458"/>
      <c r="L633" s="458"/>
      <c r="M633" s="458"/>
      <c r="N633" s="458"/>
      <c r="O633" s="443"/>
      <c r="P633" s="447"/>
    </row>
    <row r="634" spans="1:16" s="444" customFormat="1" ht="15">
      <c r="A634" s="443"/>
      <c r="B634" s="443"/>
      <c r="C634" s="443"/>
      <c r="D634" s="443"/>
      <c r="E634" s="458"/>
      <c r="F634" s="458"/>
      <c r="G634" s="458"/>
      <c r="H634" s="458"/>
      <c r="I634" s="458"/>
      <c r="J634" s="458"/>
      <c r="K634" s="458"/>
      <c r="L634" s="458"/>
      <c r="M634" s="458"/>
      <c r="N634" s="458"/>
      <c r="O634" s="443"/>
      <c r="P634" s="447"/>
    </row>
    <row r="635" spans="1:16" s="444" customFormat="1" ht="15">
      <c r="A635" s="443"/>
      <c r="B635" s="443"/>
      <c r="C635" s="443"/>
      <c r="D635" s="443"/>
      <c r="E635" s="458"/>
      <c r="F635" s="458"/>
      <c r="G635" s="458"/>
      <c r="H635" s="458"/>
      <c r="I635" s="458"/>
      <c r="J635" s="458"/>
      <c r="K635" s="458"/>
      <c r="L635" s="458"/>
      <c r="M635" s="458"/>
      <c r="N635" s="458"/>
      <c r="O635" s="443"/>
      <c r="P635" s="447"/>
    </row>
    <row r="636" spans="1:16" s="444" customFormat="1" ht="15">
      <c r="A636" s="443"/>
      <c r="B636" s="443"/>
      <c r="C636" s="443"/>
      <c r="D636" s="443"/>
      <c r="E636" s="458"/>
      <c r="F636" s="458"/>
      <c r="G636" s="458"/>
      <c r="H636" s="458"/>
      <c r="I636" s="458"/>
      <c r="J636" s="458"/>
      <c r="K636" s="458"/>
      <c r="L636" s="458"/>
      <c r="M636" s="458"/>
      <c r="N636" s="458"/>
      <c r="O636" s="443"/>
      <c r="P636" s="447"/>
    </row>
    <row r="637" spans="1:16" s="444" customFormat="1" ht="15">
      <c r="A637" s="443"/>
      <c r="B637" s="443"/>
      <c r="C637" s="443"/>
      <c r="D637" s="443"/>
      <c r="E637" s="458"/>
      <c r="F637" s="458"/>
      <c r="G637" s="458"/>
      <c r="H637" s="458"/>
      <c r="I637" s="458"/>
      <c r="J637" s="458"/>
      <c r="K637" s="458"/>
      <c r="L637" s="458"/>
      <c r="M637" s="458"/>
      <c r="N637" s="458"/>
      <c r="O637" s="443"/>
      <c r="P637" s="447"/>
    </row>
    <row r="638" spans="1:16" s="444" customFormat="1" ht="15">
      <c r="A638" s="443"/>
      <c r="B638" s="443"/>
      <c r="C638" s="443"/>
      <c r="D638" s="443"/>
      <c r="E638" s="458"/>
      <c r="F638" s="458"/>
      <c r="G638" s="458"/>
      <c r="H638" s="458"/>
      <c r="I638" s="458"/>
      <c r="J638" s="458"/>
      <c r="K638" s="458"/>
      <c r="L638" s="458"/>
      <c r="M638" s="458"/>
      <c r="N638" s="458"/>
      <c r="O638" s="443"/>
      <c r="P638" s="447"/>
    </row>
    <row r="639" spans="1:16" s="444" customFormat="1" ht="15">
      <c r="A639" s="443"/>
      <c r="B639" s="443"/>
      <c r="C639" s="443"/>
      <c r="D639" s="443"/>
      <c r="E639" s="458"/>
      <c r="F639" s="458"/>
      <c r="G639" s="458"/>
      <c r="H639" s="458"/>
      <c r="I639" s="458"/>
      <c r="J639" s="458"/>
      <c r="K639" s="458"/>
      <c r="L639" s="458"/>
      <c r="M639" s="458"/>
      <c r="N639" s="458"/>
      <c r="O639" s="443"/>
      <c r="P639" s="447"/>
    </row>
    <row r="640" spans="1:16" s="444" customFormat="1" ht="15">
      <c r="A640" s="443"/>
      <c r="B640" s="443"/>
      <c r="C640" s="443"/>
      <c r="D640" s="443"/>
      <c r="E640" s="458"/>
      <c r="F640" s="458"/>
      <c r="G640" s="458"/>
      <c r="H640" s="458"/>
      <c r="I640" s="458"/>
      <c r="J640" s="458"/>
      <c r="K640" s="458"/>
      <c r="L640" s="458"/>
      <c r="M640" s="458"/>
      <c r="N640" s="458"/>
      <c r="O640" s="443"/>
      <c r="P640" s="447"/>
    </row>
    <row r="641" spans="1:16" s="444" customFormat="1" ht="15">
      <c r="A641" s="443"/>
      <c r="B641" s="443"/>
      <c r="C641" s="443"/>
      <c r="D641" s="443"/>
      <c r="E641" s="458"/>
      <c r="F641" s="458"/>
      <c r="G641" s="458"/>
      <c r="H641" s="458"/>
      <c r="I641" s="458"/>
      <c r="J641" s="458"/>
      <c r="K641" s="458"/>
      <c r="L641" s="458"/>
      <c r="M641" s="458"/>
      <c r="N641" s="458"/>
      <c r="O641" s="443"/>
      <c r="P641" s="447"/>
    </row>
    <row r="642" spans="1:16" s="444" customFormat="1" ht="15">
      <c r="A642" s="443"/>
      <c r="B642" s="443"/>
      <c r="C642" s="443"/>
      <c r="D642" s="443"/>
      <c r="E642" s="458"/>
      <c r="F642" s="458"/>
      <c r="G642" s="458"/>
      <c r="H642" s="458"/>
      <c r="I642" s="458"/>
      <c r="J642" s="458"/>
      <c r="K642" s="458"/>
      <c r="L642" s="458"/>
      <c r="M642" s="458"/>
      <c r="N642" s="458"/>
      <c r="O642" s="443"/>
      <c r="P642" s="447"/>
    </row>
    <row r="643" spans="1:16" s="444" customFormat="1" ht="15">
      <c r="A643" s="443"/>
      <c r="B643" s="443"/>
      <c r="C643" s="443"/>
      <c r="D643" s="443"/>
      <c r="E643" s="458"/>
      <c r="F643" s="458"/>
      <c r="G643" s="458"/>
      <c r="H643" s="458"/>
      <c r="I643" s="458"/>
      <c r="J643" s="458"/>
      <c r="K643" s="458"/>
      <c r="L643" s="458"/>
      <c r="M643" s="458"/>
      <c r="N643" s="458"/>
      <c r="O643" s="443"/>
      <c r="P643" s="447"/>
    </row>
    <row r="644" spans="1:16" s="444" customFormat="1" ht="15">
      <c r="A644" s="443"/>
      <c r="B644" s="443"/>
      <c r="C644" s="443"/>
      <c r="D644" s="443"/>
      <c r="E644" s="458"/>
      <c r="F644" s="458"/>
      <c r="G644" s="458"/>
      <c r="H644" s="458"/>
      <c r="I644" s="458"/>
      <c r="J644" s="458"/>
      <c r="K644" s="458"/>
      <c r="L644" s="458"/>
      <c r="M644" s="458"/>
      <c r="N644" s="458"/>
      <c r="O644" s="443"/>
      <c r="P644" s="447"/>
    </row>
    <row r="645" spans="1:16" s="444" customFormat="1" ht="15">
      <c r="A645" s="443"/>
      <c r="B645" s="443"/>
      <c r="C645" s="443"/>
      <c r="D645" s="443"/>
      <c r="E645" s="458"/>
      <c r="F645" s="458"/>
      <c r="G645" s="458"/>
      <c r="H645" s="458"/>
      <c r="I645" s="458"/>
      <c r="J645" s="458"/>
      <c r="K645" s="458"/>
      <c r="L645" s="458"/>
      <c r="M645" s="458"/>
      <c r="N645" s="458"/>
      <c r="O645" s="443"/>
      <c r="P645" s="447"/>
    </row>
    <row r="646" spans="1:16" s="444" customFormat="1" ht="15">
      <c r="A646" s="443"/>
      <c r="B646" s="443"/>
      <c r="C646" s="443"/>
      <c r="D646" s="443"/>
      <c r="E646" s="458"/>
      <c r="F646" s="458"/>
      <c r="G646" s="458"/>
      <c r="H646" s="458"/>
      <c r="I646" s="458"/>
      <c r="J646" s="458"/>
      <c r="K646" s="458"/>
      <c r="L646" s="458"/>
      <c r="M646" s="458"/>
      <c r="N646" s="458"/>
      <c r="O646" s="443"/>
      <c r="P646" s="447"/>
    </row>
    <row r="647" spans="1:16" s="444" customFormat="1" ht="15">
      <c r="A647" s="443"/>
      <c r="B647" s="443"/>
      <c r="C647" s="443"/>
      <c r="D647" s="443"/>
      <c r="E647" s="458"/>
      <c r="F647" s="458"/>
      <c r="G647" s="458"/>
      <c r="H647" s="458"/>
      <c r="I647" s="458"/>
      <c r="J647" s="458"/>
      <c r="K647" s="458"/>
      <c r="L647" s="458"/>
      <c r="M647" s="458"/>
      <c r="N647" s="458"/>
      <c r="O647" s="443"/>
      <c r="P647" s="447"/>
    </row>
    <row r="648" spans="1:16" s="444" customFormat="1" ht="15">
      <c r="A648" s="443"/>
      <c r="B648" s="443"/>
      <c r="C648" s="443"/>
      <c r="D648" s="443"/>
      <c r="E648" s="458"/>
      <c r="F648" s="458"/>
      <c r="G648" s="458"/>
      <c r="H648" s="458"/>
      <c r="I648" s="458"/>
      <c r="J648" s="458"/>
      <c r="K648" s="458"/>
      <c r="L648" s="458"/>
      <c r="M648" s="458"/>
      <c r="N648" s="458"/>
      <c r="O648" s="443"/>
      <c r="P648" s="447"/>
    </row>
    <row r="649" spans="1:16" s="444" customFormat="1" ht="15">
      <c r="A649" s="443"/>
      <c r="B649" s="443"/>
      <c r="C649" s="443"/>
      <c r="D649" s="443"/>
      <c r="E649" s="458"/>
      <c r="F649" s="458"/>
      <c r="G649" s="458"/>
      <c r="H649" s="458"/>
      <c r="I649" s="458"/>
      <c r="J649" s="458"/>
      <c r="K649" s="458"/>
      <c r="L649" s="458"/>
      <c r="M649" s="458"/>
      <c r="N649" s="458"/>
      <c r="O649" s="443"/>
      <c r="P649" s="447"/>
    </row>
    <row r="650" spans="1:16" s="444" customFormat="1" ht="15">
      <c r="A650" s="443"/>
      <c r="B650" s="443"/>
      <c r="C650" s="443"/>
      <c r="D650" s="443"/>
      <c r="E650" s="458"/>
      <c r="F650" s="458"/>
      <c r="G650" s="458"/>
      <c r="H650" s="458"/>
      <c r="I650" s="458"/>
      <c r="J650" s="458"/>
      <c r="K650" s="458"/>
      <c r="L650" s="458"/>
      <c r="M650" s="458"/>
      <c r="N650" s="458"/>
      <c r="O650" s="443"/>
      <c r="P650" s="447"/>
    </row>
    <row r="651" spans="1:16" s="444" customFormat="1" ht="15">
      <c r="A651" s="443"/>
      <c r="B651" s="443"/>
      <c r="C651" s="443"/>
      <c r="D651" s="443"/>
      <c r="E651" s="458"/>
      <c r="F651" s="458"/>
      <c r="G651" s="458"/>
      <c r="H651" s="458"/>
      <c r="I651" s="458"/>
      <c r="J651" s="458"/>
      <c r="K651" s="458"/>
      <c r="L651" s="458"/>
      <c r="M651" s="458"/>
      <c r="N651" s="458"/>
      <c r="O651" s="443"/>
      <c r="P651" s="447"/>
    </row>
    <row r="652" spans="1:16" s="444" customFormat="1" ht="15">
      <c r="A652" s="443"/>
      <c r="B652" s="443"/>
      <c r="C652" s="443"/>
      <c r="D652" s="443"/>
      <c r="E652" s="458"/>
      <c r="F652" s="458"/>
      <c r="G652" s="458"/>
      <c r="H652" s="458"/>
      <c r="I652" s="458"/>
      <c r="J652" s="458"/>
      <c r="K652" s="458"/>
      <c r="L652" s="458"/>
      <c r="M652" s="458"/>
      <c r="N652" s="458"/>
      <c r="O652" s="443"/>
      <c r="P652" s="447"/>
    </row>
    <row r="653" spans="1:16" s="444" customFormat="1" ht="15">
      <c r="A653" s="443"/>
      <c r="B653" s="443"/>
      <c r="C653" s="443"/>
      <c r="D653" s="443"/>
      <c r="E653" s="458"/>
      <c r="F653" s="458"/>
      <c r="G653" s="458"/>
      <c r="H653" s="458"/>
      <c r="I653" s="458"/>
      <c r="J653" s="458"/>
      <c r="K653" s="458"/>
      <c r="L653" s="458"/>
      <c r="M653" s="458"/>
      <c r="N653" s="458"/>
      <c r="O653" s="443"/>
      <c r="P653" s="447"/>
    </row>
    <row r="654" spans="1:16" s="444" customFormat="1" ht="15">
      <c r="A654" s="443"/>
      <c r="B654" s="443"/>
      <c r="C654" s="443"/>
      <c r="D654" s="443"/>
      <c r="E654" s="458"/>
      <c r="F654" s="458"/>
      <c r="G654" s="458"/>
      <c r="H654" s="458"/>
      <c r="I654" s="458"/>
      <c r="J654" s="458"/>
      <c r="K654" s="458"/>
      <c r="L654" s="458"/>
      <c r="M654" s="458"/>
      <c r="N654" s="458"/>
      <c r="O654" s="443"/>
      <c r="P654" s="447"/>
    </row>
    <row r="655" spans="1:16" s="444" customFormat="1" ht="15">
      <c r="A655" s="443"/>
      <c r="B655" s="443"/>
      <c r="C655" s="443"/>
      <c r="D655" s="443"/>
      <c r="E655" s="458"/>
      <c r="F655" s="458"/>
      <c r="G655" s="458"/>
      <c r="H655" s="458"/>
      <c r="I655" s="458"/>
      <c r="J655" s="458"/>
      <c r="K655" s="458"/>
      <c r="L655" s="458"/>
      <c r="M655" s="458"/>
      <c r="N655" s="458"/>
      <c r="O655" s="443"/>
      <c r="P655" s="447"/>
    </row>
    <row r="656" spans="1:16" s="444" customFormat="1" ht="15">
      <c r="A656" s="443"/>
      <c r="B656" s="443"/>
      <c r="C656" s="443"/>
      <c r="D656" s="443"/>
      <c r="E656" s="458"/>
      <c r="F656" s="458"/>
      <c r="G656" s="458"/>
      <c r="H656" s="458"/>
      <c r="I656" s="458"/>
      <c r="J656" s="458"/>
      <c r="K656" s="458"/>
      <c r="L656" s="458"/>
      <c r="M656" s="458"/>
      <c r="N656" s="458"/>
      <c r="O656" s="443"/>
      <c r="P656" s="447"/>
    </row>
    <row r="657" spans="1:16" s="444" customFormat="1" ht="15">
      <c r="A657" s="443"/>
      <c r="B657" s="443"/>
      <c r="C657" s="443"/>
      <c r="D657" s="443"/>
      <c r="E657" s="458"/>
      <c r="F657" s="458"/>
      <c r="G657" s="458"/>
      <c r="H657" s="458"/>
      <c r="I657" s="458"/>
      <c r="J657" s="458"/>
      <c r="K657" s="458"/>
      <c r="L657" s="458"/>
      <c r="M657" s="458"/>
      <c r="N657" s="458"/>
      <c r="O657" s="443"/>
      <c r="P657" s="447"/>
    </row>
    <row r="658" spans="1:16" s="444" customFormat="1" ht="15">
      <c r="A658" s="443"/>
      <c r="B658" s="443"/>
      <c r="C658" s="443"/>
      <c r="D658" s="443"/>
      <c r="E658" s="458"/>
      <c r="F658" s="458"/>
      <c r="G658" s="458"/>
      <c r="H658" s="458"/>
      <c r="I658" s="458"/>
      <c r="J658" s="458"/>
      <c r="K658" s="458"/>
      <c r="L658" s="458"/>
      <c r="M658" s="458"/>
      <c r="N658" s="458"/>
      <c r="O658" s="443"/>
      <c r="P658" s="447"/>
    </row>
    <row r="659" spans="1:16" s="444" customFormat="1" ht="15">
      <c r="A659" s="443"/>
      <c r="B659" s="443"/>
      <c r="C659" s="443"/>
      <c r="D659" s="443"/>
      <c r="E659" s="458"/>
      <c r="F659" s="458"/>
      <c r="G659" s="458"/>
      <c r="H659" s="458"/>
      <c r="I659" s="458"/>
      <c r="J659" s="458"/>
      <c r="K659" s="458"/>
      <c r="L659" s="458"/>
      <c r="M659" s="458"/>
      <c r="N659" s="458"/>
      <c r="O659" s="443"/>
      <c r="P659" s="447"/>
    </row>
    <row r="660" spans="1:16" s="444" customFormat="1" ht="15">
      <c r="A660" s="443"/>
      <c r="B660" s="443"/>
      <c r="C660" s="443"/>
      <c r="D660" s="443"/>
      <c r="E660" s="458"/>
      <c r="F660" s="458"/>
      <c r="G660" s="458"/>
      <c r="H660" s="458"/>
      <c r="I660" s="458"/>
      <c r="J660" s="458"/>
      <c r="K660" s="458"/>
      <c r="L660" s="458"/>
      <c r="M660" s="458"/>
      <c r="N660" s="458"/>
      <c r="O660" s="443"/>
      <c r="P660" s="447"/>
    </row>
    <row r="661" spans="1:16" s="444" customFormat="1" ht="15">
      <c r="A661" s="443"/>
      <c r="B661" s="443"/>
      <c r="C661" s="443"/>
      <c r="D661" s="443"/>
      <c r="E661" s="458"/>
      <c r="F661" s="458"/>
      <c r="G661" s="458"/>
      <c r="H661" s="458"/>
      <c r="I661" s="458"/>
      <c r="J661" s="458"/>
      <c r="K661" s="458"/>
      <c r="L661" s="458"/>
      <c r="M661" s="458"/>
      <c r="N661" s="458"/>
      <c r="O661" s="443"/>
      <c r="P661" s="447"/>
    </row>
    <row r="662" spans="1:16" s="444" customFormat="1" ht="15">
      <c r="A662" s="443"/>
      <c r="B662" s="443"/>
      <c r="C662" s="443"/>
      <c r="D662" s="443"/>
      <c r="E662" s="458"/>
      <c r="F662" s="458"/>
      <c r="G662" s="458"/>
      <c r="H662" s="458"/>
      <c r="I662" s="458"/>
      <c r="J662" s="458"/>
      <c r="K662" s="458"/>
      <c r="L662" s="458"/>
      <c r="M662" s="458"/>
      <c r="N662" s="458"/>
      <c r="O662" s="443"/>
      <c r="P662" s="447"/>
    </row>
    <row r="663" spans="1:16" s="444" customFormat="1" ht="15">
      <c r="A663" s="443"/>
      <c r="B663" s="443"/>
      <c r="C663" s="443"/>
      <c r="D663" s="443"/>
      <c r="E663" s="458"/>
      <c r="F663" s="458"/>
      <c r="G663" s="458"/>
      <c r="H663" s="458"/>
      <c r="I663" s="458"/>
      <c r="J663" s="458"/>
      <c r="K663" s="458"/>
      <c r="L663" s="458"/>
      <c r="M663" s="458"/>
      <c r="N663" s="458"/>
      <c r="O663" s="443"/>
      <c r="P663" s="447"/>
    </row>
    <row r="664" spans="1:16" s="444" customFormat="1" ht="15">
      <c r="A664" s="443"/>
      <c r="B664" s="443"/>
      <c r="C664" s="443"/>
      <c r="D664" s="443"/>
      <c r="E664" s="458"/>
      <c r="F664" s="458"/>
      <c r="G664" s="458"/>
      <c r="H664" s="458"/>
      <c r="I664" s="458"/>
      <c r="J664" s="458"/>
      <c r="K664" s="458"/>
      <c r="L664" s="458"/>
      <c r="M664" s="458"/>
      <c r="N664" s="458"/>
      <c r="O664" s="443"/>
      <c r="P664" s="447"/>
    </row>
    <row r="665" spans="1:16" s="444" customFormat="1" ht="15">
      <c r="A665" s="443"/>
      <c r="B665" s="443"/>
      <c r="C665" s="443"/>
      <c r="D665" s="443"/>
      <c r="E665" s="458"/>
      <c r="F665" s="458"/>
      <c r="G665" s="458"/>
      <c r="H665" s="458"/>
      <c r="I665" s="458"/>
      <c r="J665" s="458"/>
      <c r="K665" s="458"/>
      <c r="L665" s="458"/>
      <c r="M665" s="458"/>
      <c r="N665" s="458"/>
      <c r="O665" s="443"/>
      <c r="P665" s="447"/>
    </row>
    <row r="666" spans="1:16" s="444" customFormat="1" ht="15">
      <c r="A666" s="443"/>
      <c r="B666" s="443"/>
      <c r="C666" s="443"/>
      <c r="D666" s="443"/>
      <c r="E666" s="458"/>
      <c r="F666" s="458"/>
      <c r="G666" s="458"/>
      <c r="H666" s="458"/>
      <c r="I666" s="458"/>
      <c r="J666" s="458"/>
      <c r="K666" s="458"/>
      <c r="L666" s="458"/>
      <c r="M666" s="458"/>
      <c r="N666" s="458"/>
      <c r="O666" s="443"/>
      <c r="P666" s="447"/>
    </row>
    <row r="667" spans="1:16" s="444" customFormat="1" ht="15">
      <c r="A667" s="443"/>
      <c r="B667" s="443"/>
      <c r="C667" s="443"/>
      <c r="D667" s="443"/>
      <c r="E667" s="458"/>
      <c r="F667" s="458"/>
      <c r="G667" s="458"/>
      <c r="H667" s="458"/>
      <c r="I667" s="458"/>
      <c r="J667" s="458"/>
      <c r="K667" s="458"/>
      <c r="L667" s="458"/>
      <c r="M667" s="458"/>
      <c r="N667" s="458"/>
      <c r="O667" s="443"/>
      <c r="P667" s="447"/>
    </row>
    <row r="668" spans="1:16" s="444" customFormat="1" ht="15">
      <c r="A668" s="443"/>
      <c r="B668" s="443"/>
      <c r="C668" s="443"/>
      <c r="D668" s="443"/>
      <c r="E668" s="458"/>
      <c r="F668" s="458"/>
      <c r="G668" s="458"/>
      <c r="H668" s="458"/>
      <c r="I668" s="458"/>
      <c r="J668" s="458"/>
      <c r="K668" s="458"/>
      <c r="L668" s="458"/>
      <c r="M668" s="458"/>
      <c r="N668" s="458"/>
      <c r="O668" s="443"/>
      <c r="P668" s="447"/>
    </row>
    <row r="669" spans="1:16" s="444" customFormat="1" ht="15">
      <c r="A669" s="443"/>
      <c r="B669" s="443"/>
      <c r="C669" s="443"/>
      <c r="D669" s="443"/>
      <c r="E669" s="458"/>
      <c r="F669" s="458"/>
      <c r="G669" s="458"/>
      <c r="H669" s="458"/>
      <c r="I669" s="458"/>
      <c r="J669" s="458"/>
      <c r="K669" s="458"/>
      <c r="L669" s="458"/>
      <c r="M669" s="458"/>
      <c r="N669" s="458"/>
      <c r="O669" s="443"/>
      <c r="P669" s="447"/>
    </row>
    <row r="670" spans="1:16" s="444" customFormat="1" ht="15">
      <c r="A670" s="443"/>
      <c r="B670" s="443"/>
      <c r="C670" s="443"/>
      <c r="D670" s="443"/>
      <c r="E670" s="458"/>
      <c r="F670" s="458"/>
      <c r="G670" s="458"/>
      <c r="H670" s="458"/>
      <c r="I670" s="458"/>
      <c r="J670" s="458"/>
      <c r="K670" s="458"/>
      <c r="L670" s="458"/>
      <c r="M670" s="458"/>
      <c r="N670" s="458"/>
      <c r="O670" s="443"/>
      <c r="P670" s="447"/>
    </row>
    <row r="671" spans="1:16" s="444" customFormat="1" ht="15">
      <c r="A671" s="443"/>
      <c r="B671" s="443"/>
      <c r="C671" s="443"/>
      <c r="D671" s="443"/>
      <c r="E671" s="458"/>
      <c r="F671" s="458"/>
      <c r="G671" s="458"/>
      <c r="H671" s="458"/>
      <c r="I671" s="458"/>
      <c r="J671" s="458"/>
      <c r="K671" s="458"/>
      <c r="L671" s="458"/>
      <c r="M671" s="458"/>
      <c r="N671" s="458"/>
      <c r="O671" s="443"/>
      <c r="P671" s="447"/>
    </row>
    <row r="672" spans="1:16" s="444" customFormat="1" ht="15">
      <c r="A672" s="443"/>
      <c r="B672" s="443"/>
      <c r="C672" s="443"/>
      <c r="D672" s="443"/>
      <c r="E672" s="458"/>
      <c r="F672" s="458"/>
      <c r="G672" s="458"/>
      <c r="H672" s="458"/>
      <c r="I672" s="458"/>
      <c r="J672" s="458"/>
      <c r="K672" s="458"/>
      <c r="L672" s="458"/>
      <c r="M672" s="458"/>
      <c r="N672" s="458"/>
      <c r="O672" s="443"/>
      <c r="P672" s="447"/>
    </row>
    <row r="673" spans="1:16" s="444" customFormat="1" ht="15">
      <c r="A673" s="443"/>
      <c r="B673" s="443"/>
      <c r="C673" s="443"/>
      <c r="D673" s="443"/>
      <c r="E673" s="458"/>
      <c r="F673" s="458"/>
      <c r="G673" s="458"/>
      <c r="H673" s="458"/>
      <c r="I673" s="458"/>
      <c r="J673" s="458"/>
      <c r="K673" s="458"/>
      <c r="L673" s="458"/>
      <c r="M673" s="458"/>
      <c r="N673" s="458"/>
      <c r="O673" s="443"/>
      <c r="P673" s="447"/>
    </row>
    <row r="674" spans="1:16" s="444" customFormat="1" ht="15">
      <c r="A674" s="443"/>
      <c r="B674" s="443"/>
      <c r="C674" s="443"/>
      <c r="D674" s="443"/>
      <c r="E674" s="458"/>
      <c r="F674" s="458"/>
      <c r="G674" s="458"/>
      <c r="H674" s="458"/>
      <c r="I674" s="458"/>
      <c r="J674" s="458"/>
      <c r="K674" s="458"/>
      <c r="L674" s="458"/>
      <c r="M674" s="458"/>
      <c r="N674" s="458"/>
      <c r="O674" s="443"/>
      <c r="P674" s="447"/>
    </row>
    <row r="675" spans="1:16" s="444" customFormat="1" ht="15">
      <c r="A675" s="443"/>
      <c r="B675" s="443"/>
      <c r="C675" s="443"/>
      <c r="D675" s="443"/>
      <c r="E675" s="458"/>
      <c r="F675" s="458"/>
      <c r="G675" s="458"/>
      <c r="H675" s="458"/>
      <c r="I675" s="458"/>
      <c r="J675" s="458"/>
      <c r="K675" s="458"/>
      <c r="L675" s="458"/>
      <c r="M675" s="458"/>
      <c r="N675" s="458"/>
      <c r="O675" s="443"/>
      <c r="P675" s="447"/>
    </row>
    <row r="676" spans="1:16" s="444" customFormat="1" ht="15">
      <c r="A676" s="443"/>
      <c r="B676" s="443"/>
      <c r="C676" s="443"/>
      <c r="D676" s="443"/>
      <c r="E676" s="458"/>
      <c r="F676" s="458"/>
      <c r="G676" s="458"/>
      <c r="H676" s="458"/>
      <c r="I676" s="458"/>
      <c r="J676" s="458"/>
      <c r="K676" s="458"/>
      <c r="L676" s="458"/>
      <c r="M676" s="458"/>
      <c r="N676" s="458"/>
      <c r="O676" s="443"/>
      <c r="P676" s="447"/>
    </row>
    <row r="677" spans="1:16" s="444" customFormat="1" ht="15">
      <c r="A677" s="443"/>
      <c r="B677" s="443"/>
      <c r="C677" s="443"/>
      <c r="D677" s="443"/>
      <c r="E677" s="458"/>
      <c r="F677" s="458"/>
      <c r="G677" s="458"/>
      <c r="H677" s="458"/>
      <c r="I677" s="458"/>
      <c r="J677" s="458"/>
      <c r="K677" s="458"/>
      <c r="L677" s="458"/>
      <c r="M677" s="458"/>
      <c r="N677" s="458"/>
      <c r="O677" s="443"/>
      <c r="P677" s="447"/>
    </row>
    <row r="678" spans="1:16" s="444" customFormat="1" ht="15">
      <c r="A678" s="443"/>
      <c r="B678" s="443"/>
      <c r="C678" s="443"/>
      <c r="D678" s="443"/>
      <c r="E678" s="458"/>
      <c r="F678" s="458"/>
      <c r="G678" s="458"/>
      <c r="H678" s="458"/>
      <c r="I678" s="458"/>
      <c r="J678" s="458"/>
      <c r="K678" s="458"/>
      <c r="L678" s="458"/>
      <c r="M678" s="458"/>
      <c r="N678" s="458"/>
      <c r="O678" s="443"/>
      <c r="P678" s="447"/>
    </row>
    <row r="679" spans="1:16" s="444" customFormat="1" ht="15">
      <c r="A679" s="443"/>
      <c r="B679" s="443"/>
      <c r="C679" s="443"/>
      <c r="D679" s="443"/>
      <c r="E679" s="458"/>
      <c r="F679" s="458"/>
      <c r="G679" s="458"/>
      <c r="H679" s="458"/>
      <c r="I679" s="458"/>
      <c r="J679" s="458"/>
      <c r="K679" s="458"/>
      <c r="L679" s="458"/>
      <c r="M679" s="458"/>
      <c r="N679" s="458"/>
      <c r="O679" s="443"/>
      <c r="P679" s="447"/>
    </row>
    <row r="680" spans="1:16" s="444" customFormat="1" ht="15">
      <c r="A680" s="443"/>
      <c r="B680" s="443"/>
      <c r="C680" s="443"/>
      <c r="D680" s="443"/>
      <c r="E680" s="458"/>
      <c r="F680" s="458"/>
      <c r="G680" s="458"/>
      <c r="H680" s="458"/>
      <c r="I680" s="458"/>
      <c r="J680" s="458"/>
      <c r="K680" s="458"/>
      <c r="L680" s="458"/>
      <c r="M680" s="458"/>
      <c r="N680" s="458"/>
      <c r="O680" s="443"/>
      <c r="P680" s="447"/>
    </row>
    <row r="681" spans="1:16" s="444" customFormat="1" ht="15">
      <c r="A681" s="443"/>
      <c r="B681" s="443"/>
      <c r="C681" s="443"/>
      <c r="D681" s="443"/>
      <c r="E681" s="458"/>
      <c r="F681" s="458"/>
      <c r="G681" s="458"/>
      <c r="H681" s="458"/>
      <c r="I681" s="458"/>
      <c r="J681" s="458"/>
      <c r="K681" s="458"/>
      <c r="L681" s="458"/>
      <c r="M681" s="458"/>
      <c r="N681" s="458"/>
      <c r="O681" s="443"/>
      <c r="P681" s="447"/>
    </row>
    <row r="682" spans="1:16" s="444" customFormat="1" ht="15">
      <c r="A682" s="443"/>
      <c r="B682" s="443"/>
      <c r="C682" s="443"/>
      <c r="D682" s="443"/>
      <c r="E682" s="458"/>
      <c r="F682" s="458"/>
      <c r="G682" s="458"/>
      <c r="H682" s="458"/>
      <c r="I682" s="458"/>
      <c r="J682" s="458"/>
      <c r="K682" s="458"/>
      <c r="L682" s="458"/>
      <c r="M682" s="458"/>
      <c r="N682" s="458"/>
      <c r="O682" s="443"/>
      <c r="P682" s="447"/>
    </row>
    <row r="683" spans="1:16" s="444" customFormat="1" ht="15">
      <c r="A683" s="443"/>
      <c r="B683" s="443"/>
      <c r="C683" s="443"/>
      <c r="D683" s="443"/>
      <c r="E683" s="458"/>
      <c r="F683" s="458"/>
      <c r="G683" s="458"/>
      <c r="H683" s="458"/>
      <c r="I683" s="458"/>
      <c r="J683" s="458"/>
      <c r="K683" s="458"/>
      <c r="L683" s="458"/>
      <c r="M683" s="458"/>
      <c r="N683" s="458"/>
      <c r="O683" s="443"/>
      <c r="P683" s="447"/>
    </row>
    <row r="684" spans="1:16" s="444" customFormat="1" ht="15">
      <c r="A684" s="443"/>
      <c r="B684" s="443"/>
      <c r="C684" s="443"/>
      <c r="D684" s="443"/>
      <c r="E684" s="458"/>
      <c r="F684" s="458"/>
      <c r="G684" s="458"/>
      <c r="H684" s="458"/>
      <c r="I684" s="458"/>
      <c r="J684" s="458"/>
      <c r="K684" s="458"/>
      <c r="L684" s="458"/>
      <c r="M684" s="458"/>
      <c r="N684" s="458"/>
      <c r="O684" s="443"/>
      <c r="P684" s="447"/>
    </row>
    <row r="685" spans="1:16" s="444" customFormat="1" ht="15">
      <c r="A685" s="443"/>
      <c r="B685" s="443"/>
      <c r="C685" s="443"/>
      <c r="D685" s="443"/>
      <c r="E685" s="458"/>
      <c r="F685" s="458"/>
      <c r="G685" s="458"/>
      <c r="H685" s="458"/>
      <c r="I685" s="458"/>
      <c r="J685" s="458"/>
      <c r="K685" s="458"/>
      <c r="L685" s="458"/>
      <c r="M685" s="458"/>
      <c r="N685" s="458"/>
      <c r="O685" s="443"/>
      <c r="P685" s="447"/>
    </row>
    <row r="686" spans="1:16" s="444" customFormat="1" ht="15">
      <c r="A686" s="443"/>
      <c r="B686" s="443"/>
      <c r="C686" s="443"/>
      <c r="D686" s="443"/>
      <c r="E686" s="458"/>
      <c r="F686" s="458"/>
      <c r="G686" s="458"/>
      <c r="H686" s="458"/>
      <c r="I686" s="458"/>
      <c r="J686" s="458"/>
      <c r="K686" s="458"/>
      <c r="L686" s="458"/>
      <c r="M686" s="458"/>
      <c r="N686" s="458"/>
      <c r="O686" s="443"/>
      <c r="P686" s="447"/>
    </row>
    <row r="687" spans="1:16" s="444" customFormat="1" ht="15">
      <c r="A687" s="443"/>
      <c r="B687" s="443"/>
      <c r="C687" s="443"/>
      <c r="D687" s="443"/>
      <c r="E687" s="458"/>
      <c r="F687" s="458"/>
      <c r="G687" s="458"/>
      <c r="H687" s="458"/>
      <c r="I687" s="458"/>
      <c r="J687" s="458"/>
      <c r="K687" s="458"/>
      <c r="L687" s="458"/>
      <c r="M687" s="458"/>
      <c r="N687" s="458"/>
      <c r="O687" s="443"/>
      <c r="P687" s="447"/>
    </row>
    <row r="688" spans="1:16" s="444" customFormat="1" ht="15">
      <c r="A688" s="443"/>
      <c r="B688" s="443"/>
      <c r="C688" s="443"/>
      <c r="D688" s="443"/>
      <c r="E688" s="458"/>
      <c r="F688" s="458"/>
      <c r="G688" s="458"/>
      <c r="H688" s="458"/>
      <c r="I688" s="458"/>
      <c r="J688" s="458"/>
      <c r="K688" s="458"/>
      <c r="L688" s="458"/>
      <c r="M688" s="458"/>
      <c r="N688" s="458"/>
      <c r="O688" s="443"/>
      <c r="P688" s="447"/>
    </row>
    <row r="689" spans="1:16" s="444" customFormat="1" ht="15">
      <c r="A689" s="443"/>
      <c r="B689" s="443"/>
      <c r="C689" s="443"/>
      <c r="D689" s="443"/>
      <c r="E689" s="458"/>
      <c r="F689" s="458"/>
      <c r="G689" s="458"/>
      <c r="H689" s="458"/>
      <c r="I689" s="458"/>
      <c r="J689" s="458"/>
      <c r="K689" s="458"/>
      <c r="L689" s="458"/>
      <c r="M689" s="458"/>
      <c r="N689" s="458"/>
      <c r="O689" s="443"/>
      <c r="P689" s="447"/>
    </row>
    <row r="690" spans="1:16" s="444" customFormat="1" ht="15">
      <c r="A690" s="443"/>
      <c r="B690" s="443"/>
      <c r="C690" s="443"/>
      <c r="D690" s="443"/>
      <c r="E690" s="458"/>
      <c r="F690" s="458"/>
      <c r="G690" s="458"/>
      <c r="H690" s="458"/>
      <c r="I690" s="458"/>
      <c r="J690" s="458"/>
      <c r="K690" s="458"/>
      <c r="L690" s="458"/>
      <c r="M690" s="458"/>
      <c r="N690" s="458"/>
      <c r="O690" s="443"/>
      <c r="P690" s="447"/>
    </row>
    <row r="691" spans="1:16" s="444" customFormat="1" ht="15">
      <c r="A691" s="443"/>
      <c r="B691" s="443"/>
      <c r="C691" s="443"/>
      <c r="D691" s="443"/>
      <c r="E691" s="458"/>
      <c r="F691" s="458"/>
      <c r="G691" s="458"/>
      <c r="H691" s="458"/>
      <c r="I691" s="458"/>
      <c r="J691" s="458"/>
      <c r="K691" s="458"/>
      <c r="L691" s="458"/>
      <c r="M691" s="458"/>
      <c r="N691" s="458"/>
      <c r="O691" s="443"/>
      <c r="P691" s="447"/>
    </row>
    <row r="692" spans="1:16" s="444" customFormat="1" ht="15">
      <c r="A692" s="443"/>
      <c r="B692" s="443"/>
      <c r="C692" s="443"/>
      <c r="D692" s="443"/>
      <c r="E692" s="458"/>
      <c r="F692" s="458"/>
      <c r="G692" s="458"/>
      <c r="H692" s="458"/>
      <c r="I692" s="458"/>
      <c r="J692" s="458"/>
      <c r="K692" s="458"/>
      <c r="L692" s="458"/>
      <c r="M692" s="458"/>
      <c r="N692" s="458"/>
      <c r="O692" s="443"/>
      <c r="P692" s="447"/>
    </row>
    <row r="693" spans="1:16" s="444" customFormat="1" ht="15">
      <c r="A693" s="443"/>
      <c r="B693" s="443"/>
      <c r="C693" s="443"/>
      <c r="D693" s="443"/>
      <c r="E693" s="458"/>
      <c r="F693" s="458"/>
      <c r="G693" s="458"/>
      <c r="H693" s="458"/>
      <c r="I693" s="458"/>
      <c r="J693" s="458"/>
      <c r="K693" s="458"/>
      <c r="L693" s="458"/>
      <c r="M693" s="458"/>
      <c r="N693" s="458"/>
      <c r="O693" s="443"/>
      <c r="P693" s="447"/>
    </row>
    <row r="694" spans="1:16" s="444" customFormat="1" ht="15">
      <c r="A694" s="443"/>
      <c r="B694" s="443"/>
      <c r="C694" s="443"/>
      <c r="D694" s="443"/>
      <c r="E694" s="458"/>
      <c r="F694" s="458"/>
      <c r="G694" s="458"/>
      <c r="H694" s="458"/>
      <c r="I694" s="458"/>
      <c r="J694" s="458"/>
      <c r="K694" s="458"/>
      <c r="L694" s="458"/>
      <c r="M694" s="458"/>
      <c r="N694" s="458"/>
      <c r="O694" s="443"/>
      <c r="P694" s="447"/>
    </row>
    <row r="695" spans="1:16" s="444" customFormat="1" ht="15">
      <c r="A695" s="443"/>
      <c r="B695" s="443"/>
      <c r="C695" s="443"/>
      <c r="D695" s="443"/>
      <c r="E695" s="458"/>
      <c r="F695" s="458"/>
      <c r="G695" s="458"/>
      <c r="H695" s="458"/>
      <c r="I695" s="458"/>
      <c r="J695" s="458"/>
      <c r="K695" s="458"/>
      <c r="L695" s="458"/>
      <c r="M695" s="458"/>
      <c r="N695" s="458"/>
      <c r="O695" s="443"/>
      <c r="P695" s="447"/>
    </row>
    <row r="696" spans="1:16" s="444" customFormat="1" ht="15">
      <c r="A696" s="443"/>
      <c r="B696" s="443"/>
      <c r="C696" s="443"/>
      <c r="D696" s="443"/>
      <c r="E696" s="458"/>
      <c r="F696" s="458"/>
      <c r="G696" s="458"/>
      <c r="H696" s="458"/>
      <c r="I696" s="458"/>
      <c r="J696" s="458"/>
      <c r="K696" s="458"/>
      <c r="L696" s="458"/>
      <c r="M696" s="458"/>
      <c r="N696" s="458"/>
      <c r="O696" s="443"/>
      <c r="P696" s="447"/>
    </row>
    <row r="697" spans="1:16" s="444" customFormat="1" ht="15">
      <c r="A697" s="443"/>
      <c r="B697" s="443"/>
      <c r="C697" s="443"/>
      <c r="D697" s="443"/>
      <c r="E697" s="458"/>
      <c r="F697" s="458"/>
      <c r="G697" s="458"/>
      <c r="H697" s="458"/>
      <c r="I697" s="458"/>
      <c r="J697" s="458"/>
      <c r="K697" s="458"/>
      <c r="L697" s="458"/>
      <c r="M697" s="458"/>
      <c r="N697" s="458"/>
      <c r="O697" s="443"/>
      <c r="P697" s="447"/>
    </row>
    <row r="698" spans="1:16" s="444" customFormat="1" ht="15">
      <c r="A698" s="443"/>
      <c r="B698" s="443"/>
      <c r="C698" s="443"/>
      <c r="D698" s="443"/>
      <c r="E698" s="458"/>
      <c r="F698" s="458"/>
      <c r="G698" s="458"/>
      <c r="H698" s="458"/>
      <c r="I698" s="458"/>
      <c r="J698" s="458"/>
      <c r="K698" s="458"/>
      <c r="L698" s="458"/>
      <c r="M698" s="458"/>
      <c r="N698" s="458"/>
      <c r="O698" s="443"/>
      <c r="P698" s="447"/>
    </row>
    <row r="699" spans="1:16" s="444" customFormat="1" ht="15">
      <c r="A699" s="443"/>
      <c r="B699" s="443"/>
      <c r="C699" s="443"/>
      <c r="D699" s="443"/>
      <c r="E699" s="458"/>
      <c r="F699" s="458"/>
      <c r="G699" s="458"/>
      <c r="H699" s="458"/>
      <c r="I699" s="458"/>
      <c r="J699" s="458"/>
      <c r="K699" s="458"/>
      <c r="L699" s="458"/>
      <c r="M699" s="458"/>
      <c r="N699" s="458"/>
      <c r="O699" s="443"/>
      <c r="P699" s="447"/>
    </row>
    <row r="700" spans="1:16" s="444" customFormat="1" ht="15">
      <c r="A700" s="443"/>
      <c r="B700" s="443"/>
      <c r="C700" s="443"/>
      <c r="D700" s="443"/>
      <c r="E700" s="458"/>
      <c r="F700" s="458"/>
      <c r="G700" s="458"/>
      <c r="H700" s="458"/>
      <c r="I700" s="458"/>
      <c r="J700" s="458"/>
      <c r="K700" s="458"/>
      <c r="L700" s="458"/>
      <c r="M700" s="458"/>
      <c r="N700" s="458"/>
      <c r="O700" s="443"/>
      <c r="P700" s="447"/>
    </row>
    <row r="701" spans="1:16" s="444" customFormat="1" ht="15">
      <c r="A701" s="443"/>
      <c r="B701" s="443"/>
      <c r="C701" s="443"/>
      <c r="D701" s="443"/>
      <c r="E701" s="458"/>
      <c r="F701" s="458"/>
      <c r="G701" s="458"/>
      <c r="H701" s="458"/>
      <c r="I701" s="458"/>
      <c r="J701" s="458"/>
      <c r="K701" s="458"/>
      <c r="L701" s="458"/>
      <c r="M701" s="458"/>
      <c r="N701" s="458"/>
      <c r="O701" s="443"/>
      <c r="P701" s="447"/>
    </row>
    <row r="702" spans="1:16" s="444" customFormat="1" ht="15">
      <c r="A702" s="443"/>
      <c r="B702" s="443"/>
      <c r="C702" s="443"/>
      <c r="D702" s="443"/>
      <c r="E702" s="458"/>
      <c r="F702" s="458"/>
      <c r="G702" s="458"/>
      <c r="H702" s="458"/>
      <c r="I702" s="458"/>
      <c r="J702" s="458"/>
      <c r="K702" s="458"/>
      <c r="L702" s="458"/>
      <c r="M702" s="458"/>
      <c r="N702" s="458"/>
      <c r="O702" s="443"/>
      <c r="P702" s="447"/>
    </row>
    <row r="703" spans="1:16" s="444" customFormat="1" ht="15">
      <c r="A703" s="443"/>
      <c r="B703" s="443"/>
      <c r="C703" s="443"/>
      <c r="D703" s="443"/>
      <c r="E703" s="458"/>
      <c r="F703" s="458"/>
      <c r="G703" s="458"/>
      <c r="H703" s="458"/>
      <c r="I703" s="458"/>
      <c r="J703" s="458"/>
      <c r="K703" s="458"/>
      <c r="L703" s="458"/>
      <c r="M703" s="458"/>
      <c r="N703" s="458"/>
      <c r="O703" s="443"/>
      <c r="P703" s="447"/>
    </row>
    <row r="704" spans="1:16" s="444" customFormat="1" ht="15">
      <c r="A704" s="443"/>
      <c r="B704" s="443"/>
      <c r="C704" s="443"/>
      <c r="D704" s="443"/>
      <c r="E704" s="458"/>
      <c r="F704" s="458"/>
      <c r="G704" s="458"/>
      <c r="H704" s="458"/>
      <c r="I704" s="458"/>
      <c r="J704" s="458"/>
      <c r="K704" s="458"/>
      <c r="L704" s="458"/>
      <c r="M704" s="458"/>
      <c r="N704" s="458"/>
      <c r="O704" s="443"/>
      <c r="P704" s="447"/>
    </row>
    <row r="705" spans="1:16" s="444" customFormat="1" ht="15">
      <c r="A705" s="443"/>
      <c r="B705" s="443"/>
      <c r="C705" s="443"/>
      <c r="D705" s="443"/>
      <c r="E705" s="458"/>
      <c r="F705" s="458"/>
      <c r="G705" s="458"/>
      <c r="H705" s="458"/>
      <c r="I705" s="458"/>
      <c r="J705" s="458"/>
      <c r="K705" s="458"/>
      <c r="L705" s="458"/>
      <c r="M705" s="458"/>
      <c r="N705" s="458"/>
      <c r="O705" s="443"/>
      <c r="P705" s="447"/>
    </row>
    <row r="706" spans="1:16" s="444" customFormat="1" ht="15">
      <c r="A706" s="443"/>
      <c r="B706" s="443"/>
      <c r="C706" s="443"/>
      <c r="D706" s="443"/>
      <c r="E706" s="458"/>
      <c r="F706" s="458"/>
      <c r="G706" s="458"/>
      <c r="H706" s="458"/>
      <c r="I706" s="458"/>
      <c r="J706" s="458"/>
      <c r="K706" s="458"/>
      <c r="L706" s="458"/>
      <c r="M706" s="458"/>
      <c r="N706" s="458"/>
      <c r="O706" s="443"/>
      <c r="P706" s="447"/>
    </row>
    <row r="707" spans="1:16" s="444" customFormat="1" ht="15">
      <c r="A707" s="443"/>
      <c r="B707" s="443"/>
      <c r="C707" s="443"/>
      <c r="D707" s="443"/>
      <c r="E707" s="458"/>
      <c r="F707" s="458"/>
      <c r="G707" s="458"/>
      <c r="H707" s="458"/>
      <c r="I707" s="458"/>
      <c r="J707" s="458"/>
      <c r="K707" s="458"/>
      <c r="L707" s="458"/>
      <c r="M707" s="458"/>
      <c r="N707" s="458"/>
      <c r="O707" s="443"/>
      <c r="P707" s="447"/>
    </row>
    <row r="708" spans="1:16" s="444" customFormat="1" ht="15">
      <c r="A708" s="443"/>
      <c r="B708" s="443"/>
      <c r="C708" s="443"/>
      <c r="D708" s="443"/>
      <c r="E708" s="458"/>
      <c r="F708" s="458"/>
      <c r="G708" s="458"/>
      <c r="H708" s="458"/>
      <c r="I708" s="458"/>
      <c r="J708" s="458"/>
      <c r="K708" s="458"/>
      <c r="L708" s="458"/>
      <c r="M708" s="458"/>
      <c r="N708" s="458"/>
      <c r="O708" s="443"/>
      <c r="P708" s="447"/>
    </row>
    <row r="709" spans="1:16" s="444" customFormat="1" ht="15">
      <c r="A709" s="443"/>
      <c r="B709" s="443"/>
      <c r="C709" s="443"/>
      <c r="D709" s="443"/>
      <c r="E709" s="458"/>
      <c r="F709" s="458"/>
      <c r="G709" s="458"/>
      <c r="H709" s="458"/>
      <c r="I709" s="458"/>
      <c r="J709" s="458"/>
      <c r="K709" s="458"/>
      <c r="L709" s="458"/>
      <c r="M709" s="458"/>
      <c r="N709" s="458"/>
      <c r="O709" s="443"/>
      <c r="P709" s="447"/>
    </row>
    <row r="710" spans="1:16" s="444" customFormat="1" ht="15">
      <c r="A710" s="443"/>
      <c r="B710" s="443"/>
      <c r="C710" s="443"/>
      <c r="D710" s="443"/>
      <c r="E710" s="458"/>
      <c r="F710" s="458"/>
      <c r="G710" s="458"/>
      <c r="H710" s="458"/>
      <c r="I710" s="458"/>
      <c r="J710" s="458"/>
      <c r="K710" s="458"/>
      <c r="L710" s="458"/>
      <c r="M710" s="458"/>
      <c r="N710" s="458"/>
      <c r="O710" s="443"/>
      <c r="P710" s="447"/>
    </row>
    <row r="711" spans="1:16" s="444" customFormat="1" ht="15">
      <c r="A711" s="443"/>
      <c r="B711" s="443"/>
      <c r="C711" s="443"/>
      <c r="D711" s="443"/>
      <c r="E711" s="458"/>
      <c r="F711" s="458"/>
      <c r="G711" s="458"/>
      <c r="H711" s="458"/>
      <c r="I711" s="458"/>
      <c r="J711" s="458"/>
      <c r="K711" s="458"/>
      <c r="L711" s="458"/>
      <c r="M711" s="458"/>
      <c r="N711" s="458"/>
      <c r="O711" s="443"/>
      <c r="P711" s="447"/>
    </row>
    <row r="712" spans="1:16" s="444" customFormat="1" ht="15">
      <c r="A712" s="443"/>
      <c r="B712" s="443"/>
      <c r="C712" s="443"/>
      <c r="D712" s="443"/>
      <c r="E712" s="458"/>
      <c r="F712" s="458"/>
      <c r="G712" s="458"/>
      <c r="H712" s="458"/>
      <c r="I712" s="458"/>
      <c r="J712" s="458"/>
      <c r="K712" s="458"/>
      <c r="L712" s="458"/>
      <c r="M712" s="458"/>
      <c r="N712" s="458"/>
      <c r="O712" s="443"/>
      <c r="P712" s="447"/>
    </row>
    <row r="713" spans="1:16" s="444" customFormat="1" ht="15">
      <c r="A713" s="443"/>
      <c r="B713" s="443"/>
      <c r="C713" s="443"/>
      <c r="D713" s="443"/>
      <c r="E713" s="458"/>
      <c r="F713" s="458"/>
      <c r="G713" s="458"/>
      <c r="H713" s="458"/>
      <c r="I713" s="458"/>
      <c r="J713" s="458"/>
      <c r="K713" s="458"/>
      <c r="L713" s="458"/>
      <c r="M713" s="458"/>
      <c r="N713" s="458"/>
      <c r="O713" s="443"/>
      <c r="P713" s="447"/>
    </row>
    <row r="714" spans="1:16" s="444" customFormat="1" ht="15">
      <c r="A714" s="443"/>
      <c r="B714" s="443"/>
      <c r="C714" s="443"/>
      <c r="D714" s="443"/>
      <c r="E714" s="458"/>
      <c r="F714" s="458"/>
      <c r="G714" s="458"/>
      <c r="H714" s="458"/>
      <c r="I714" s="458"/>
      <c r="J714" s="458"/>
      <c r="K714" s="458"/>
      <c r="L714" s="458"/>
      <c r="M714" s="458"/>
      <c r="N714" s="458"/>
      <c r="O714" s="443"/>
      <c r="P714" s="447"/>
    </row>
    <row r="715" spans="1:16" s="444" customFormat="1" ht="15">
      <c r="A715" s="443"/>
      <c r="B715" s="443"/>
      <c r="C715" s="443"/>
      <c r="D715" s="443"/>
      <c r="E715" s="458"/>
      <c r="F715" s="458"/>
      <c r="G715" s="458"/>
      <c r="H715" s="458"/>
      <c r="I715" s="458"/>
      <c r="J715" s="458"/>
      <c r="K715" s="458"/>
      <c r="L715" s="458"/>
      <c r="M715" s="458"/>
      <c r="N715" s="458"/>
      <c r="O715" s="443"/>
      <c r="P715" s="447"/>
    </row>
    <row r="716" spans="1:16" s="444" customFormat="1" ht="15">
      <c r="A716" s="443"/>
      <c r="B716" s="443"/>
      <c r="C716" s="443"/>
      <c r="D716" s="443"/>
      <c r="E716" s="458"/>
      <c r="F716" s="458"/>
      <c r="G716" s="458"/>
      <c r="H716" s="458"/>
      <c r="I716" s="458"/>
      <c r="J716" s="458"/>
      <c r="K716" s="458"/>
      <c r="L716" s="458"/>
      <c r="M716" s="458"/>
      <c r="N716" s="458"/>
      <c r="O716" s="443"/>
      <c r="P716" s="447"/>
    </row>
    <row r="717" spans="1:16" s="444" customFormat="1" ht="15">
      <c r="A717" s="443"/>
      <c r="B717" s="443"/>
      <c r="C717" s="443"/>
      <c r="D717" s="443"/>
      <c r="E717" s="458"/>
      <c r="F717" s="458"/>
      <c r="G717" s="458"/>
      <c r="H717" s="458"/>
      <c r="I717" s="458"/>
      <c r="J717" s="458"/>
      <c r="K717" s="458"/>
      <c r="L717" s="458"/>
      <c r="M717" s="458"/>
      <c r="N717" s="458"/>
      <c r="O717" s="443"/>
      <c r="P717" s="447"/>
    </row>
    <row r="718" spans="1:16" s="444" customFormat="1" ht="15">
      <c r="A718" s="443"/>
      <c r="B718" s="443"/>
      <c r="C718" s="443"/>
      <c r="D718" s="443"/>
      <c r="E718" s="458"/>
      <c r="F718" s="458"/>
      <c r="G718" s="458"/>
      <c r="H718" s="458"/>
      <c r="I718" s="458"/>
      <c r="J718" s="458"/>
      <c r="K718" s="458"/>
      <c r="L718" s="458"/>
      <c r="M718" s="458"/>
      <c r="N718" s="458"/>
      <c r="O718" s="443"/>
      <c r="P718" s="447"/>
    </row>
    <row r="719" spans="1:16" s="444" customFormat="1" ht="15">
      <c r="A719" s="443"/>
      <c r="B719" s="443"/>
      <c r="C719" s="443"/>
      <c r="D719" s="443"/>
      <c r="E719" s="458"/>
      <c r="F719" s="458"/>
      <c r="G719" s="458"/>
      <c r="H719" s="458"/>
      <c r="I719" s="458"/>
      <c r="J719" s="458"/>
      <c r="K719" s="458"/>
      <c r="L719" s="458"/>
      <c r="M719" s="458"/>
      <c r="N719" s="458"/>
      <c r="O719" s="443"/>
      <c r="P719" s="447"/>
    </row>
    <row r="720" spans="1:16" s="444" customFormat="1" ht="15">
      <c r="A720" s="443"/>
      <c r="B720" s="443"/>
      <c r="C720" s="443"/>
      <c r="D720" s="443"/>
      <c r="E720" s="458"/>
      <c r="F720" s="458"/>
      <c r="G720" s="458"/>
      <c r="H720" s="458"/>
      <c r="I720" s="458"/>
      <c r="J720" s="458"/>
      <c r="K720" s="458"/>
      <c r="L720" s="458"/>
      <c r="M720" s="458"/>
      <c r="N720" s="458"/>
      <c r="O720" s="443"/>
      <c r="P720" s="447"/>
    </row>
    <row r="721" spans="1:16" s="444" customFormat="1" ht="15">
      <c r="A721" s="443"/>
      <c r="B721" s="443"/>
      <c r="C721" s="443"/>
      <c r="D721" s="443"/>
      <c r="E721" s="458"/>
      <c r="F721" s="458"/>
      <c r="G721" s="458"/>
      <c r="H721" s="458"/>
      <c r="I721" s="458"/>
      <c r="J721" s="458"/>
      <c r="K721" s="458"/>
      <c r="L721" s="458"/>
      <c r="M721" s="458"/>
      <c r="N721" s="458"/>
      <c r="O721" s="443"/>
      <c r="P721" s="447"/>
    </row>
    <row r="722" spans="1:16" s="444" customFormat="1" ht="15">
      <c r="A722" s="443"/>
      <c r="B722" s="443"/>
      <c r="C722" s="443"/>
      <c r="D722" s="443"/>
      <c r="E722" s="458"/>
      <c r="F722" s="458"/>
      <c r="G722" s="458"/>
      <c r="H722" s="458"/>
      <c r="I722" s="458"/>
      <c r="J722" s="458"/>
      <c r="K722" s="458"/>
      <c r="L722" s="458"/>
      <c r="M722" s="458"/>
      <c r="N722" s="458"/>
      <c r="O722" s="443"/>
      <c r="P722" s="447"/>
    </row>
    <row r="723" spans="1:16" s="444" customFormat="1" ht="15">
      <c r="A723" s="443"/>
      <c r="B723" s="443"/>
      <c r="C723" s="443"/>
      <c r="D723" s="443"/>
      <c r="E723" s="458"/>
      <c r="F723" s="458"/>
      <c r="G723" s="458"/>
      <c r="H723" s="458"/>
      <c r="I723" s="458"/>
      <c r="J723" s="458"/>
      <c r="K723" s="458"/>
      <c r="L723" s="458"/>
      <c r="M723" s="458"/>
      <c r="N723" s="458"/>
      <c r="O723" s="443"/>
      <c r="P723" s="447"/>
    </row>
    <row r="724" spans="1:16" s="444" customFormat="1" ht="15">
      <c r="A724" s="443"/>
      <c r="B724" s="443"/>
      <c r="C724" s="443"/>
      <c r="D724" s="443"/>
      <c r="E724" s="458"/>
      <c r="F724" s="458"/>
      <c r="G724" s="458"/>
      <c r="H724" s="458"/>
      <c r="I724" s="458"/>
      <c r="J724" s="458"/>
      <c r="K724" s="458"/>
      <c r="L724" s="458"/>
      <c r="M724" s="458"/>
      <c r="N724" s="458"/>
      <c r="O724" s="443"/>
      <c r="P724" s="447"/>
    </row>
    <row r="725" spans="1:16" s="444" customFormat="1" ht="15">
      <c r="A725" s="443"/>
      <c r="B725" s="443"/>
      <c r="C725" s="443"/>
      <c r="D725" s="443"/>
      <c r="E725" s="458"/>
      <c r="F725" s="458"/>
      <c r="G725" s="458"/>
      <c r="H725" s="458"/>
      <c r="I725" s="458"/>
      <c r="J725" s="458"/>
      <c r="K725" s="458"/>
      <c r="L725" s="458"/>
      <c r="M725" s="458"/>
      <c r="N725" s="458"/>
      <c r="O725" s="443"/>
      <c r="P725" s="447"/>
    </row>
    <row r="726" spans="1:16" s="444" customFormat="1" ht="15">
      <c r="A726" s="443"/>
      <c r="B726" s="443"/>
      <c r="C726" s="443"/>
      <c r="D726" s="443"/>
      <c r="E726" s="458"/>
      <c r="F726" s="458"/>
      <c r="G726" s="458"/>
      <c r="H726" s="458"/>
      <c r="I726" s="458"/>
      <c r="J726" s="458"/>
      <c r="K726" s="458"/>
      <c r="L726" s="458"/>
      <c r="M726" s="458"/>
      <c r="N726" s="458"/>
      <c r="O726" s="443"/>
      <c r="P726" s="447"/>
    </row>
    <row r="727" spans="1:16" s="444" customFormat="1" ht="15">
      <c r="A727" s="443"/>
      <c r="B727" s="443"/>
      <c r="C727" s="443"/>
      <c r="D727" s="443"/>
      <c r="E727" s="458"/>
      <c r="F727" s="458"/>
      <c r="G727" s="458"/>
      <c r="H727" s="458"/>
      <c r="I727" s="458"/>
      <c r="J727" s="458"/>
      <c r="K727" s="458"/>
      <c r="L727" s="458"/>
      <c r="M727" s="458"/>
      <c r="N727" s="458"/>
      <c r="O727" s="443"/>
      <c r="P727" s="447"/>
    </row>
    <row r="728" spans="1:16" s="444" customFormat="1" ht="15">
      <c r="A728" s="443"/>
      <c r="B728" s="443"/>
      <c r="C728" s="443"/>
      <c r="D728" s="443"/>
      <c r="E728" s="458"/>
      <c r="F728" s="458"/>
      <c r="G728" s="458"/>
      <c r="H728" s="458"/>
      <c r="I728" s="458"/>
      <c r="J728" s="458"/>
      <c r="K728" s="458"/>
      <c r="L728" s="458"/>
      <c r="M728" s="458"/>
      <c r="N728" s="458"/>
      <c r="O728" s="443"/>
      <c r="P728" s="447"/>
    </row>
    <row r="729" spans="1:16" s="444" customFormat="1" ht="15">
      <c r="A729" s="443"/>
      <c r="B729" s="443"/>
      <c r="C729" s="443"/>
      <c r="D729" s="443"/>
      <c r="E729" s="458"/>
      <c r="F729" s="458"/>
      <c r="G729" s="458"/>
      <c r="H729" s="458"/>
      <c r="I729" s="458"/>
      <c r="J729" s="458"/>
      <c r="K729" s="458"/>
      <c r="L729" s="458"/>
      <c r="M729" s="458"/>
      <c r="N729" s="458"/>
      <c r="O729" s="443"/>
      <c r="P729" s="447"/>
    </row>
    <row r="730" spans="1:16" s="444" customFormat="1" ht="15">
      <c r="A730" s="443"/>
      <c r="B730" s="443"/>
      <c r="C730" s="443"/>
      <c r="D730" s="443"/>
      <c r="E730" s="458"/>
      <c r="F730" s="458"/>
      <c r="G730" s="458"/>
      <c r="H730" s="458"/>
      <c r="I730" s="458"/>
      <c r="J730" s="458"/>
      <c r="K730" s="458"/>
      <c r="L730" s="458"/>
      <c r="M730" s="458"/>
      <c r="N730" s="458"/>
      <c r="O730" s="443"/>
      <c r="P730" s="447"/>
    </row>
    <row r="731" spans="1:16" s="444" customFormat="1" ht="15">
      <c r="A731" s="443"/>
      <c r="B731" s="443"/>
      <c r="C731" s="443"/>
      <c r="D731" s="443"/>
      <c r="E731" s="458"/>
      <c r="F731" s="458"/>
      <c r="G731" s="458"/>
      <c r="H731" s="458"/>
      <c r="I731" s="458"/>
      <c r="J731" s="458"/>
      <c r="K731" s="458"/>
      <c r="L731" s="458"/>
      <c r="M731" s="458"/>
      <c r="N731" s="458"/>
      <c r="O731" s="443"/>
      <c r="P731" s="447"/>
    </row>
    <row r="732" spans="1:16" s="444" customFormat="1" ht="15">
      <c r="A732" s="443"/>
      <c r="B732" s="443"/>
      <c r="C732" s="443"/>
      <c r="D732" s="443"/>
      <c r="E732" s="458"/>
      <c r="F732" s="458"/>
      <c r="G732" s="458"/>
      <c r="H732" s="458"/>
      <c r="I732" s="458"/>
      <c r="J732" s="458"/>
      <c r="K732" s="458"/>
      <c r="L732" s="458"/>
      <c r="M732" s="458"/>
      <c r="N732" s="458"/>
      <c r="O732" s="443"/>
      <c r="P732" s="447"/>
    </row>
    <row r="733" spans="1:16" s="444" customFormat="1" ht="15">
      <c r="A733" s="443"/>
      <c r="B733" s="443"/>
      <c r="C733" s="443"/>
      <c r="D733" s="443"/>
      <c r="E733" s="458"/>
      <c r="F733" s="458"/>
      <c r="G733" s="458"/>
      <c r="H733" s="458"/>
      <c r="I733" s="458"/>
      <c r="J733" s="458"/>
      <c r="K733" s="458"/>
      <c r="L733" s="458"/>
      <c r="M733" s="458"/>
      <c r="N733" s="458"/>
      <c r="O733" s="443"/>
      <c r="P733" s="447"/>
    </row>
    <row r="734" spans="1:16" s="444" customFormat="1" ht="15">
      <c r="A734" s="443"/>
      <c r="B734" s="443"/>
      <c r="C734" s="443"/>
      <c r="D734" s="443"/>
      <c r="E734" s="458"/>
      <c r="F734" s="458"/>
      <c r="G734" s="458"/>
      <c r="H734" s="458"/>
      <c r="I734" s="458"/>
      <c r="J734" s="458"/>
      <c r="K734" s="458"/>
      <c r="L734" s="458"/>
      <c r="M734" s="458"/>
      <c r="N734" s="458"/>
      <c r="O734" s="443"/>
      <c r="P734" s="447"/>
    </row>
    <row r="735" spans="1:16" s="444" customFormat="1" ht="15">
      <c r="A735" s="443"/>
      <c r="B735" s="443"/>
      <c r="C735" s="443"/>
      <c r="D735" s="443"/>
      <c r="E735" s="458"/>
      <c r="F735" s="458"/>
      <c r="G735" s="458"/>
      <c r="H735" s="458"/>
      <c r="I735" s="458"/>
      <c r="J735" s="458"/>
      <c r="K735" s="458"/>
      <c r="L735" s="458"/>
      <c r="M735" s="458"/>
      <c r="N735" s="458"/>
      <c r="O735" s="443"/>
      <c r="P735" s="447"/>
    </row>
    <row r="736" spans="1:16" s="444" customFormat="1" ht="15">
      <c r="A736" s="443"/>
      <c r="B736" s="443"/>
      <c r="C736" s="443"/>
      <c r="D736" s="443"/>
      <c r="E736" s="458"/>
      <c r="F736" s="458"/>
      <c r="G736" s="458"/>
      <c r="H736" s="458"/>
      <c r="I736" s="458"/>
      <c r="J736" s="458"/>
      <c r="K736" s="458"/>
      <c r="L736" s="458"/>
      <c r="M736" s="458"/>
      <c r="N736" s="458"/>
      <c r="O736" s="443"/>
      <c r="P736" s="447"/>
    </row>
    <row r="737" spans="16:16" s="444" customFormat="1" ht="15">
      <c r="P737" s="447"/>
    </row>
    <row r="738" spans="16:16" s="444" customFormat="1" ht="15">
      <c r="P738" s="447"/>
    </row>
    <row r="739" spans="16:16" s="444" customFormat="1" ht="15">
      <c r="P739" s="447"/>
    </row>
    <row r="740" spans="16:16" s="444" customFormat="1" ht="15">
      <c r="P740" s="447"/>
    </row>
    <row r="741" spans="16:16" s="444" customFormat="1" ht="15">
      <c r="P741" s="447"/>
    </row>
    <row r="742" spans="16:16" s="444" customFormat="1" ht="15">
      <c r="P742" s="447"/>
    </row>
    <row r="743" spans="16:16" s="444" customFormat="1" ht="15">
      <c r="P743" s="447"/>
    </row>
    <row r="744" spans="16:16" s="444" customFormat="1" ht="15">
      <c r="P744" s="447"/>
    </row>
    <row r="745" spans="16:16" s="444" customFormat="1" ht="15">
      <c r="P745" s="447"/>
    </row>
    <row r="746" spans="16:16" s="444" customFormat="1" ht="15">
      <c r="P746" s="447"/>
    </row>
    <row r="747" spans="16:16" s="444" customFormat="1" ht="15">
      <c r="P747" s="447"/>
    </row>
    <row r="748" spans="16:16" s="444" customFormat="1" ht="15">
      <c r="P748" s="447"/>
    </row>
    <row r="749" spans="16:16" s="444" customFormat="1" ht="15">
      <c r="P749" s="447"/>
    </row>
    <row r="750" spans="16:16" s="444" customFormat="1" ht="15">
      <c r="P750" s="447"/>
    </row>
    <row r="751" spans="16:16" s="444" customFormat="1" ht="15">
      <c r="P751" s="447"/>
    </row>
    <row r="752" spans="16:16" s="444" customFormat="1" ht="15">
      <c r="P752" s="447"/>
    </row>
    <row r="753" spans="16:16" s="444" customFormat="1" ht="15">
      <c r="P753" s="447"/>
    </row>
    <row r="754" spans="16:16" s="444" customFormat="1" ht="15">
      <c r="P754" s="447"/>
    </row>
    <row r="755" spans="16:16" s="444" customFormat="1" ht="15">
      <c r="P755" s="447"/>
    </row>
    <row r="756" spans="16:16" s="444" customFormat="1" ht="15">
      <c r="P756" s="447"/>
    </row>
    <row r="757" spans="16:16" s="444" customFormat="1" ht="15">
      <c r="P757" s="447"/>
    </row>
    <row r="758" spans="16:16" s="444" customFormat="1" ht="15">
      <c r="P758" s="447"/>
    </row>
    <row r="759" spans="16:16" s="444" customFormat="1" ht="15">
      <c r="P759" s="447"/>
    </row>
    <row r="760" spans="16:16" s="444" customFormat="1" ht="15">
      <c r="P760" s="447"/>
    </row>
    <row r="761" spans="16:16" s="444" customFormat="1" ht="15">
      <c r="P761" s="447"/>
    </row>
    <row r="762" spans="16:16" s="444" customFormat="1" ht="15">
      <c r="P762" s="447"/>
    </row>
    <row r="763" spans="16:16" s="444" customFormat="1" ht="15">
      <c r="P763" s="447"/>
    </row>
    <row r="764" spans="16:16" s="444" customFormat="1" ht="15">
      <c r="P764" s="447"/>
    </row>
    <row r="765" spans="16:16" s="444" customFormat="1" ht="15">
      <c r="P765" s="447"/>
    </row>
    <row r="766" spans="16:16" s="444" customFormat="1" ht="15">
      <c r="P766" s="447"/>
    </row>
    <row r="767" spans="16:16" s="444" customFormat="1" ht="15">
      <c r="P767" s="447"/>
    </row>
    <row r="768" spans="16:16" s="444" customFormat="1" ht="15">
      <c r="P768" s="447"/>
    </row>
    <row r="769" spans="16:16" s="444" customFormat="1" ht="15">
      <c r="P769" s="447"/>
    </row>
    <row r="770" spans="16:16" s="444" customFormat="1" ht="15">
      <c r="P770" s="447"/>
    </row>
    <row r="771" spans="16:16" s="444" customFormat="1" ht="15">
      <c r="P771" s="447"/>
    </row>
    <row r="772" spans="16:16" s="444" customFormat="1" ht="15">
      <c r="P772" s="447"/>
    </row>
    <row r="773" spans="16:16" s="444" customFormat="1" ht="15">
      <c r="P773" s="447"/>
    </row>
    <row r="774" spans="16:16" s="444" customFormat="1" ht="15">
      <c r="P774" s="447"/>
    </row>
    <row r="775" spans="16:16" s="444" customFormat="1" ht="15">
      <c r="P775" s="447"/>
    </row>
    <row r="776" spans="16:16" s="444" customFormat="1" ht="15">
      <c r="P776" s="447"/>
    </row>
    <row r="777" spans="16:16" s="444" customFormat="1" ht="15">
      <c r="P777" s="447"/>
    </row>
    <row r="778" spans="16:16" s="444" customFormat="1" ht="15">
      <c r="P778" s="447"/>
    </row>
    <row r="779" spans="16:16" s="444" customFormat="1" ht="15">
      <c r="P779" s="447"/>
    </row>
    <row r="780" spans="16:16" s="444" customFormat="1" ht="15">
      <c r="P780" s="447"/>
    </row>
    <row r="781" spans="16:16" s="444" customFormat="1" ht="15">
      <c r="P781" s="447"/>
    </row>
    <row r="782" spans="16:16" s="444" customFormat="1" ht="15">
      <c r="P782" s="447"/>
    </row>
    <row r="783" spans="16:16" s="444" customFormat="1" ht="15">
      <c r="P783" s="447"/>
    </row>
    <row r="784" spans="16:16" s="444" customFormat="1" ht="15">
      <c r="P784" s="447"/>
    </row>
    <row r="785" spans="16:16" s="444" customFormat="1" ht="15">
      <c r="P785" s="447"/>
    </row>
    <row r="786" spans="16:16" s="444" customFormat="1" ht="15">
      <c r="P786" s="447"/>
    </row>
    <row r="787" spans="16:16" s="444" customFormat="1" ht="15">
      <c r="P787" s="447"/>
    </row>
    <row r="788" spans="16:16" s="444" customFormat="1" ht="15">
      <c r="P788" s="447"/>
    </row>
    <row r="789" spans="16:16" s="444" customFormat="1" ht="15">
      <c r="P789" s="447"/>
    </row>
    <row r="790" spans="16:16" s="444" customFormat="1" ht="15">
      <c r="P790" s="447"/>
    </row>
    <row r="791" spans="16:16" s="444" customFormat="1" ht="15">
      <c r="P791" s="447"/>
    </row>
    <row r="792" spans="16:16" s="444" customFormat="1" ht="15">
      <c r="P792" s="447"/>
    </row>
    <row r="793" spans="16:16" s="444" customFormat="1" ht="15">
      <c r="P793" s="447"/>
    </row>
    <row r="794" spans="16:16" s="444" customFormat="1" ht="15">
      <c r="P794" s="447"/>
    </row>
    <row r="795" spans="16:16" s="444" customFormat="1" ht="15">
      <c r="P795" s="447"/>
    </row>
    <row r="796" spans="16:16" s="444" customFormat="1" ht="15">
      <c r="P796" s="447"/>
    </row>
    <row r="797" spans="16:16" s="444" customFormat="1" ht="15">
      <c r="P797" s="447"/>
    </row>
    <row r="798" spans="16:16" s="444" customFormat="1" ht="15">
      <c r="P798" s="447"/>
    </row>
    <row r="799" spans="16:16" s="444" customFormat="1" ht="15">
      <c r="P799" s="447"/>
    </row>
    <row r="800" spans="16:16" s="444" customFormat="1" ht="15">
      <c r="P800" s="447"/>
    </row>
    <row r="801" spans="16:16" s="444" customFormat="1" ht="15">
      <c r="P801" s="447"/>
    </row>
    <row r="802" spans="16:16" s="444" customFormat="1" ht="15">
      <c r="P802" s="447"/>
    </row>
    <row r="803" spans="16:16" s="444" customFormat="1" ht="15">
      <c r="P803" s="447"/>
    </row>
    <row r="804" spans="16:16" s="444" customFormat="1" ht="15">
      <c r="P804" s="447"/>
    </row>
    <row r="805" spans="16:16" s="444" customFormat="1" ht="15">
      <c r="P805" s="447"/>
    </row>
    <row r="806" spans="16:16" s="444" customFormat="1" ht="15">
      <c r="P806" s="447"/>
    </row>
    <row r="807" spans="16:16" s="444" customFormat="1" ht="15">
      <c r="P807" s="447"/>
    </row>
    <row r="808" spans="16:16" s="444" customFormat="1" ht="15">
      <c r="P808" s="447"/>
    </row>
    <row r="809" spans="16:16" s="444" customFormat="1" ht="15">
      <c r="P809" s="447"/>
    </row>
    <row r="810" spans="16:16" s="444" customFormat="1" ht="15">
      <c r="P810" s="447"/>
    </row>
    <row r="811" spans="16:16" s="444" customFormat="1" ht="15">
      <c r="P811" s="447"/>
    </row>
    <row r="812" spans="16:16" s="444" customFormat="1" ht="15">
      <c r="P812" s="447"/>
    </row>
    <row r="813" spans="16:16" s="444" customFormat="1" ht="15">
      <c r="P813" s="447"/>
    </row>
    <row r="814" spans="16:16" s="444" customFormat="1" ht="15">
      <c r="P814" s="447"/>
    </row>
    <row r="815" spans="16:16" s="444" customFormat="1" ht="15">
      <c r="P815" s="447"/>
    </row>
    <row r="816" spans="16:16" s="444" customFormat="1" ht="15">
      <c r="P816" s="447"/>
    </row>
    <row r="817" spans="16:16" s="444" customFormat="1" ht="15">
      <c r="P817" s="447"/>
    </row>
    <row r="818" spans="16:16" s="444" customFormat="1" ht="15">
      <c r="P818" s="447"/>
    </row>
    <row r="819" spans="16:16" s="444" customFormat="1" ht="15">
      <c r="P819" s="447"/>
    </row>
    <row r="820" spans="16:16" s="444" customFormat="1" ht="15">
      <c r="P820" s="447"/>
    </row>
    <row r="821" spans="16:16" s="444" customFormat="1" ht="15">
      <c r="P821" s="447"/>
    </row>
    <row r="822" spans="16:16" s="444" customFormat="1" ht="15">
      <c r="P822" s="447"/>
    </row>
    <row r="823" spans="16:16" s="444" customFormat="1" ht="15">
      <c r="P823" s="447"/>
    </row>
    <row r="824" spans="16:16" s="444" customFormat="1" ht="15">
      <c r="P824" s="447"/>
    </row>
    <row r="825" spans="16:16" s="444" customFormat="1" ht="15">
      <c r="P825" s="447"/>
    </row>
    <row r="826" spans="16:16" s="444" customFormat="1" ht="15">
      <c r="P826" s="447"/>
    </row>
    <row r="827" spans="16:16" s="444" customFormat="1" ht="15">
      <c r="P827" s="447"/>
    </row>
    <row r="828" spans="16:16" s="444" customFormat="1" ht="15">
      <c r="P828" s="447"/>
    </row>
    <row r="829" spans="16:16" s="444" customFormat="1" ht="15">
      <c r="P829" s="447"/>
    </row>
    <row r="830" spans="16:16" s="444" customFormat="1" ht="15">
      <c r="P830" s="447"/>
    </row>
    <row r="831" spans="16:16" s="444" customFormat="1" ht="15">
      <c r="P831" s="447"/>
    </row>
    <row r="832" spans="16:16" s="444" customFormat="1" ht="15">
      <c r="P832" s="447"/>
    </row>
    <row r="833" spans="16:16" s="444" customFormat="1" ht="15">
      <c r="P833" s="447"/>
    </row>
    <row r="834" spans="16:16" s="444" customFormat="1" ht="15">
      <c r="P834" s="447"/>
    </row>
    <row r="835" spans="16:16" s="444" customFormat="1" ht="15">
      <c r="P835" s="447"/>
    </row>
    <row r="836" spans="16:16" s="444" customFormat="1" ht="15">
      <c r="P836" s="447"/>
    </row>
    <row r="837" spans="16:16" s="444" customFormat="1" ht="15">
      <c r="P837" s="447"/>
    </row>
    <row r="838" spans="16:16" s="444" customFormat="1" ht="15">
      <c r="P838" s="447"/>
    </row>
    <row r="839" spans="16:16" s="444" customFormat="1" ht="15">
      <c r="P839" s="447"/>
    </row>
    <row r="840" spans="16:16" s="444" customFormat="1" ht="15">
      <c r="P840" s="447"/>
    </row>
    <row r="841" spans="16:16" s="444" customFormat="1" ht="15">
      <c r="P841" s="447"/>
    </row>
    <row r="842" spans="16:16" s="444" customFormat="1" ht="15">
      <c r="P842" s="447"/>
    </row>
    <row r="843" spans="16:16" s="444" customFormat="1" ht="15">
      <c r="P843" s="447"/>
    </row>
    <row r="844" spans="16:16" s="444" customFormat="1" ht="15">
      <c r="P844" s="447"/>
    </row>
    <row r="845" spans="16:16" s="444" customFormat="1" ht="15">
      <c r="P845" s="447"/>
    </row>
    <row r="846" spans="16:16" s="444" customFormat="1" ht="15">
      <c r="P846" s="447"/>
    </row>
    <row r="847" spans="16:16" s="444" customFormat="1" ht="15">
      <c r="P847" s="447"/>
    </row>
    <row r="848" spans="16:16" s="444" customFormat="1" ht="15">
      <c r="P848" s="447"/>
    </row>
    <row r="849" spans="16:16" s="444" customFormat="1" ht="15">
      <c r="P849" s="447"/>
    </row>
    <row r="850" spans="16:16" s="444" customFormat="1" ht="15">
      <c r="P850" s="447"/>
    </row>
    <row r="851" spans="16:16" s="444" customFormat="1" ht="15">
      <c r="P851" s="447"/>
    </row>
    <row r="852" spans="16:16" s="444" customFormat="1" ht="15">
      <c r="P852" s="447"/>
    </row>
    <row r="853" spans="16:16" s="444" customFormat="1" ht="15">
      <c r="P853" s="447"/>
    </row>
    <row r="854" spans="16:16" s="444" customFormat="1" ht="15">
      <c r="P854" s="447"/>
    </row>
    <row r="855" spans="16:16" s="444" customFormat="1" ht="15">
      <c r="P855" s="447"/>
    </row>
    <row r="856" spans="16:16" s="444" customFormat="1" ht="15">
      <c r="P856" s="447"/>
    </row>
    <row r="857" spans="16:16" s="444" customFormat="1" ht="15">
      <c r="P857" s="447"/>
    </row>
    <row r="858" spans="16:16" s="444" customFormat="1" ht="15">
      <c r="P858" s="447"/>
    </row>
    <row r="859" spans="16:16" s="444" customFormat="1" ht="15">
      <c r="P859" s="447"/>
    </row>
    <row r="860" spans="16:16" s="444" customFormat="1" ht="15">
      <c r="P860" s="447"/>
    </row>
    <row r="861" spans="16:16" s="444" customFormat="1" ht="15">
      <c r="P861" s="447"/>
    </row>
    <row r="862" spans="16:16" s="444" customFormat="1" ht="15">
      <c r="P862" s="447"/>
    </row>
    <row r="863" spans="16:16" s="444" customFormat="1" ht="15">
      <c r="P863" s="447"/>
    </row>
    <row r="864" spans="16:16" s="444" customFormat="1" ht="15">
      <c r="P864" s="447"/>
    </row>
    <row r="865" spans="16:16" s="444" customFormat="1" ht="15">
      <c r="P865" s="447"/>
    </row>
    <row r="866" spans="16:16" s="444" customFormat="1" ht="15">
      <c r="P866" s="447"/>
    </row>
    <row r="867" spans="16:16" s="444" customFormat="1" ht="15">
      <c r="P867" s="447"/>
    </row>
    <row r="868" spans="16:16" s="444" customFormat="1" ht="15">
      <c r="P868" s="447"/>
    </row>
    <row r="869" spans="16:16" s="444" customFormat="1" ht="15">
      <c r="P869" s="447"/>
    </row>
    <row r="870" spans="16:16" s="444" customFormat="1" ht="15">
      <c r="P870" s="447"/>
    </row>
    <row r="871" spans="16:16" s="444" customFormat="1" ht="15">
      <c r="P871" s="447"/>
    </row>
    <row r="872" spans="16:16" s="444" customFormat="1" ht="15">
      <c r="P872" s="447"/>
    </row>
    <row r="873" spans="16:16" s="444" customFormat="1" ht="15">
      <c r="P873" s="447"/>
    </row>
    <row r="874" spans="16:16" s="444" customFormat="1" ht="15">
      <c r="P874" s="447"/>
    </row>
    <row r="875" spans="16:16" s="444" customFormat="1" ht="15">
      <c r="P875" s="447"/>
    </row>
    <row r="876" spans="16:16" s="444" customFormat="1" ht="15">
      <c r="P876" s="447"/>
    </row>
    <row r="877" spans="16:16" s="444" customFormat="1" ht="15">
      <c r="P877" s="447"/>
    </row>
    <row r="878" spans="16:16" s="444" customFormat="1" ht="15">
      <c r="P878" s="447"/>
    </row>
    <row r="879" spans="16:16" s="444" customFormat="1" ht="15">
      <c r="P879" s="447"/>
    </row>
    <row r="880" spans="16:16" s="444" customFormat="1" ht="15">
      <c r="P880" s="447"/>
    </row>
    <row r="881" spans="16:16" s="444" customFormat="1" ht="15">
      <c r="P881" s="447"/>
    </row>
    <row r="882" spans="16:16" s="444" customFormat="1" ht="15">
      <c r="P882" s="447"/>
    </row>
    <row r="883" spans="16:16" s="444" customFormat="1" ht="15">
      <c r="P883" s="447"/>
    </row>
    <row r="884" spans="16:16" s="444" customFormat="1" ht="15">
      <c r="P884" s="447"/>
    </row>
    <row r="885" spans="16:16" s="444" customFormat="1" ht="15">
      <c r="P885" s="447"/>
    </row>
    <row r="886" spans="16:16" s="444" customFormat="1" ht="15">
      <c r="P886" s="447"/>
    </row>
    <row r="887" spans="16:16" s="444" customFormat="1" ht="15">
      <c r="P887" s="447"/>
    </row>
    <row r="888" spans="16:16" s="444" customFormat="1" ht="15">
      <c r="P888" s="447"/>
    </row>
    <row r="889" spans="16:16" s="444" customFormat="1" ht="15">
      <c r="P889" s="447"/>
    </row>
    <row r="890" spans="16:16" s="444" customFormat="1" ht="15">
      <c r="P890" s="447"/>
    </row>
    <row r="891" spans="16:16" s="444" customFormat="1" ht="15">
      <c r="P891" s="447"/>
    </row>
    <row r="892" spans="16:16" s="444" customFormat="1" ht="15">
      <c r="P892" s="447"/>
    </row>
    <row r="893" spans="16:16" s="444" customFormat="1" ht="15">
      <c r="P893" s="447"/>
    </row>
    <row r="894" spans="16:16" s="444" customFormat="1" ht="15">
      <c r="P894" s="447"/>
    </row>
    <row r="895" spans="16:16" s="444" customFormat="1" ht="15">
      <c r="P895" s="447"/>
    </row>
    <row r="896" spans="16:16" s="444" customFormat="1" ht="15">
      <c r="P896" s="447"/>
    </row>
    <row r="897" spans="16:16" s="444" customFormat="1" ht="15">
      <c r="P897" s="447"/>
    </row>
    <row r="898" spans="16:16" s="444" customFormat="1" ht="15">
      <c r="P898" s="447"/>
    </row>
    <row r="899" spans="16:16" s="444" customFormat="1" ht="15">
      <c r="P899" s="447"/>
    </row>
    <row r="900" spans="16:16" s="444" customFormat="1" ht="15">
      <c r="P900" s="447"/>
    </row>
    <row r="901" spans="16:16" s="444" customFormat="1" ht="15">
      <c r="P901" s="447"/>
    </row>
    <row r="902" spans="16:16" s="444" customFormat="1" ht="15">
      <c r="P902" s="447"/>
    </row>
    <row r="903" spans="16:16" s="444" customFormat="1" ht="15">
      <c r="P903" s="447"/>
    </row>
    <row r="904" spans="16:16" s="444" customFormat="1" ht="15">
      <c r="P904" s="447"/>
    </row>
    <row r="905" spans="16:16" s="444" customFormat="1" ht="15">
      <c r="P905" s="447"/>
    </row>
    <row r="906" spans="16:16" s="444" customFormat="1" ht="15">
      <c r="P906" s="447"/>
    </row>
    <row r="907" spans="16:16" s="444" customFormat="1" ht="15">
      <c r="P907" s="447"/>
    </row>
    <row r="908" spans="16:16" s="444" customFormat="1" ht="15">
      <c r="P908" s="447"/>
    </row>
    <row r="909" spans="16:16" s="444" customFormat="1" ht="15">
      <c r="P909" s="447"/>
    </row>
    <row r="910" spans="16:16" s="444" customFormat="1" ht="15">
      <c r="P910" s="447"/>
    </row>
    <row r="911" spans="16:16" s="444" customFormat="1" ht="15">
      <c r="P911" s="447"/>
    </row>
    <row r="912" spans="16:16" s="444" customFormat="1" ht="15">
      <c r="P912" s="447"/>
    </row>
    <row r="913" spans="16:16" s="444" customFormat="1" ht="15">
      <c r="P913" s="447"/>
    </row>
    <row r="914" spans="16:16" s="444" customFormat="1" ht="15">
      <c r="P914" s="447"/>
    </row>
    <row r="915" spans="16:16" s="444" customFormat="1" ht="15">
      <c r="P915" s="447"/>
    </row>
    <row r="916" spans="16:16" s="444" customFormat="1" ht="15">
      <c r="P916" s="447"/>
    </row>
    <row r="917" spans="16:16" s="444" customFormat="1" ht="15">
      <c r="P917" s="447"/>
    </row>
    <row r="918" spans="16:16" s="444" customFormat="1" ht="15">
      <c r="P918" s="447"/>
    </row>
    <row r="919" spans="16:16" s="444" customFormat="1" ht="15">
      <c r="P919" s="447"/>
    </row>
    <row r="920" spans="16:16" s="444" customFormat="1" ht="15">
      <c r="P920" s="447"/>
    </row>
    <row r="921" spans="16:16" s="444" customFormat="1" ht="15">
      <c r="P921" s="447"/>
    </row>
    <row r="922" spans="16:16" s="444" customFormat="1" ht="15">
      <c r="P922" s="447"/>
    </row>
    <row r="923" spans="16:16" s="444" customFormat="1" ht="15">
      <c r="P923" s="447"/>
    </row>
    <row r="924" spans="16:16" s="444" customFormat="1" ht="15">
      <c r="P924" s="447"/>
    </row>
    <row r="925" spans="16:16" s="444" customFormat="1" ht="15">
      <c r="P925" s="447"/>
    </row>
    <row r="926" spans="16:16" s="444" customFormat="1" ht="15">
      <c r="P926" s="447"/>
    </row>
    <row r="927" spans="16:16" s="444" customFormat="1" ht="15">
      <c r="P927" s="447"/>
    </row>
    <row r="928" spans="16:16" s="444" customFormat="1" ht="15">
      <c r="P928" s="447"/>
    </row>
    <row r="929" spans="16:16" s="444" customFormat="1" ht="15">
      <c r="P929" s="447"/>
    </row>
    <row r="930" spans="16:16" s="444" customFormat="1" ht="15">
      <c r="P930" s="447"/>
    </row>
    <row r="931" spans="16:16" s="444" customFormat="1" ht="15">
      <c r="P931" s="447"/>
    </row>
    <row r="932" spans="16:16" s="444" customFormat="1" ht="15">
      <c r="P932" s="447"/>
    </row>
    <row r="933" spans="16:16" s="444" customFormat="1" ht="15">
      <c r="P933" s="447"/>
    </row>
    <row r="934" spans="16:16" s="444" customFormat="1" ht="15">
      <c r="P934" s="447"/>
    </row>
    <row r="935" spans="16:16" s="444" customFormat="1" ht="15">
      <c r="P935" s="447"/>
    </row>
    <row r="936" spans="16:16" s="444" customFormat="1" ht="15">
      <c r="P936" s="447"/>
    </row>
    <row r="937" spans="16:16" s="444" customFormat="1" ht="15">
      <c r="P937" s="447"/>
    </row>
    <row r="938" spans="16:16" s="444" customFormat="1" ht="15">
      <c r="P938" s="447"/>
    </row>
    <row r="939" spans="16:16" s="444" customFormat="1" ht="15">
      <c r="P939" s="447"/>
    </row>
    <row r="940" spans="16:16" s="444" customFormat="1" ht="15">
      <c r="P940" s="447"/>
    </row>
    <row r="941" spans="16:16" s="444" customFormat="1" ht="15">
      <c r="P941" s="447"/>
    </row>
    <row r="942" spans="16:16" s="444" customFormat="1" ht="15">
      <c r="P942" s="447"/>
    </row>
    <row r="943" spans="16:16" s="444" customFormat="1" ht="15">
      <c r="P943" s="447"/>
    </row>
    <row r="944" spans="16:16" s="444" customFormat="1" ht="15">
      <c r="P944" s="447"/>
    </row>
    <row r="945" spans="16:16" s="444" customFormat="1" ht="15">
      <c r="P945" s="447"/>
    </row>
    <row r="946" spans="16:16" s="444" customFormat="1" ht="15">
      <c r="P946" s="447"/>
    </row>
    <row r="947" spans="16:16" s="444" customFormat="1" ht="15">
      <c r="P947" s="447"/>
    </row>
    <row r="948" spans="16:16" s="444" customFormat="1" ht="15">
      <c r="P948" s="447"/>
    </row>
    <row r="949" spans="16:16" s="444" customFormat="1" ht="15">
      <c r="P949" s="447"/>
    </row>
    <row r="950" spans="16:16" s="444" customFormat="1" ht="15">
      <c r="P950" s="447"/>
    </row>
    <row r="951" spans="16:16" s="444" customFormat="1" ht="15">
      <c r="P951" s="447"/>
    </row>
    <row r="952" spans="16:16" s="444" customFormat="1" ht="15">
      <c r="P952" s="447"/>
    </row>
    <row r="953" spans="16:16" s="444" customFormat="1" ht="15">
      <c r="P953" s="447"/>
    </row>
    <row r="954" spans="16:16" s="444" customFormat="1" ht="15">
      <c r="P954" s="447"/>
    </row>
    <row r="955" spans="16:16" s="444" customFormat="1" ht="15">
      <c r="P955" s="447"/>
    </row>
    <row r="956" spans="16:16" s="444" customFormat="1" ht="15">
      <c r="P956" s="447"/>
    </row>
    <row r="957" spans="16:16" s="444" customFormat="1" ht="15">
      <c r="P957" s="447"/>
    </row>
    <row r="958" spans="16:16" s="444" customFormat="1" ht="15">
      <c r="P958" s="447"/>
    </row>
    <row r="959" spans="16:16" s="444" customFormat="1" ht="15">
      <c r="P959" s="447"/>
    </row>
    <row r="960" spans="16:16" s="444" customFormat="1" ht="15">
      <c r="P960" s="447"/>
    </row>
    <row r="961" spans="16:16" s="444" customFormat="1" ht="15">
      <c r="P961" s="447"/>
    </row>
    <row r="962" spans="16:16" s="444" customFormat="1" ht="15">
      <c r="P962" s="447"/>
    </row>
    <row r="963" spans="16:16" s="444" customFormat="1" ht="15">
      <c r="P963" s="447"/>
    </row>
    <row r="964" spans="16:16" s="444" customFormat="1" ht="15">
      <c r="P964" s="447"/>
    </row>
    <row r="965" spans="16:16" s="444" customFormat="1" ht="15">
      <c r="P965" s="447"/>
    </row>
    <row r="966" spans="16:16" s="444" customFormat="1" ht="15">
      <c r="P966" s="447"/>
    </row>
    <row r="967" spans="16:16" s="444" customFormat="1" ht="15">
      <c r="P967" s="447"/>
    </row>
    <row r="968" spans="16:16" s="444" customFormat="1" ht="15">
      <c r="P968" s="447"/>
    </row>
    <row r="969" spans="16:16" s="444" customFormat="1" ht="15">
      <c r="P969" s="447"/>
    </row>
    <row r="970" spans="16:16" s="444" customFormat="1" ht="15">
      <c r="P970" s="447"/>
    </row>
    <row r="971" spans="16:16" s="444" customFormat="1" ht="15">
      <c r="P971" s="447"/>
    </row>
    <row r="972" spans="16:16" s="444" customFormat="1" ht="15">
      <c r="P972" s="447"/>
    </row>
    <row r="973" spans="16:16" s="444" customFormat="1" ht="15">
      <c r="P973" s="447"/>
    </row>
    <row r="974" spans="16:16" s="444" customFormat="1" ht="15">
      <c r="P974" s="447"/>
    </row>
    <row r="975" spans="16:16" s="444" customFormat="1" ht="15">
      <c r="P975" s="447"/>
    </row>
    <row r="976" spans="16:16" s="444" customFormat="1" ht="15">
      <c r="P976" s="447"/>
    </row>
    <row r="977" spans="16:16" s="444" customFormat="1" ht="15">
      <c r="P977" s="447"/>
    </row>
    <row r="978" spans="16:16" s="444" customFormat="1" ht="15">
      <c r="P978" s="447"/>
    </row>
    <row r="979" spans="16:16" s="444" customFormat="1" ht="15">
      <c r="P979" s="447"/>
    </row>
    <row r="980" spans="16:16" s="444" customFormat="1" ht="15">
      <c r="P980" s="447"/>
    </row>
    <row r="981" spans="16:16" s="444" customFormat="1" ht="15">
      <c r="P981" s="447"/>
    </row>
    <row r="982" spans="16:16" s="444" customFormat="1" ht="15">
      <c r="P982" s="447"/>
    </row>
    <row r="983" spans="16:16" s="444" customFormat="1" ht="15">
      <c r="P983" s="447"/>
    </row>
    <row r="984" spans="16:16" s="444" customFormat="1" ht="15">
      <c r="P984" s="447"/>
    </row>
    <row r="985" spans="16:16" s="444" customFormat="1" ht="15">
      <c r="P985" s="447"/>
    </row>
    <row r="986" spans="16:16" s="444" customFormat="1" ht="15">
      <c r="P986" s="447"/>
    </row>
    <row r="987" spans="16:16" s="444" customFormat="1" ht="15">
      <c r="P987" s="447"/>
    </row>
    <row r="988" spans="16:16" s="444" customFormat="1" ht="15">
      <c r="P988" s="447"/>
    </row>
    <row r="989" spans="16:16" s="444" customFormat="1" ht="15">
      <c r="P989" s="447"/>
    </row>
    <row r="990" spans="16:16" s="444" customFormat="1" ht="15">
      <c r="P990" s="447"/>
    </row>
    <row r="991" spans="16:16" s="444" customFormat="1" ht="15">
      <c r="P991" s="447"/>
    </row>
    <row r="992" spans="16:16" s="444" customFormat="1" ht="15">
      <c r="P992" s="447"/>
    </row>
    <row r="993" spans="16:16" s="444" customFormat="1" ht="15">
      <c r="P993" s="447"/>
    </row>
    <row r="994" spans="16:16" s="444" customFormat="1" ht="15">
      <c r="P994" s="447"/>
    </row>
    <row r="995" spans="16:16" s="444" customFormat="1" ht="15">
      <c r="P995" s="447"/>
    </row>
    <row r="996" spans="16:16" s="444" customFormat="1" ht="15">
      <c r="P996" s="447"/>
    </row>
    <row r="997" spans="16:16" s="444" customFormat="1" ht="15">
      <c r="P997" s="447"/>
    </row>
    <row r="998" spans="16:16" s="444" customFormat="1" ht="15">
      <c r="P998" s="447"/>
    </row>
    <row r="999" spans="16:16" s="444" customFormat="1" ht="15">
      <c r="P999" s="447"/>
    </row>
    <row r="1000" spans="16:16" s="444" customFormat="1" ht="15">
      <c r="P1000" s="447"/>
    </row>
    <row r="1001" spans="16:16" s="444" customFormat="1" ht="15">
      <c r="P1001" s="447"/>
    </row>
    <row r="1002" spans="16:16" s="444" customFormat="1" ht="15">
      <c r="P1002" s="447"/>
    </row>
    <row r="1003" spans="16:16" s="444" customFormat="1" ht="15">
      <c r="P1003" s="447"/>
    </row>
    <row r="1004" spans="16:16" s="444" customFormat="1" ht="15">
      <c r="P1004" s="447"/>
    </row>
    <row r="1005" spans="16:16" s="444" customFormat="1" ht="15">
      <c r="P1005" s="447"/>
    </row>
    <row r="1006" spans="16:16" s="444" customFormat="1" ht="15">
      <c r="P1006" s="447"/>
    </row>
    <row r="1007" spans="16:16" s="444" customFormat="1" ht="15">
      <c r="P1007" s="447"/>
    </row>
    <row r="1008" spans="16:16" s="444" customFormat="1" ht="15">
      <c r="P1008" s="447"/>
    </row>
    <row r="1009" spans="16:16" s="444" customFormat="1" ht="15">
      <c r="P1009" s="447"/>
    </row>
    <row r="1010" spans="16:16" s="444" customFormat="1" ht="15">
      <c r="P1010" s="447"/>
    </row>
    <row r="1011" spans="16:16" s="444" customFormat="1" ht="15">
      <c r="P1011" s="447"/>
    </row>
    <row r="1012" spans="16:16" s="444" customFormat="1" ht="15">
      <c r="P1012" s="447"/>
    </row>
    <row r="1013" spans="16:16" s="444" customFormat="1" ht="15">
      <c r="P1013" s="447"/>
    </row>
    <row r="1014" spans="16:16" s="444" customFormat="1" ht="15">
      <c r="P1014" s="447"/>
    </row>
    <row r="1015" spans="16:16" s="444" customFormat="1" ht="15">
      <c r="P1015" s="447"/>
    </row>
    <row r="1016" spans="16:16" s="444" customFormat="1" ht="15">
      <c r="P1016" s="447"/>
    </row>
    <row r="1017" spans="16:16" s="444" customFormat="1" ht="15">
      <c r="P1017" s="447"/>
    </row>
    <row r="1018" spans="16:16" s="444" customFormat="1" ht="15">
      <c r="P1018" s="447"/>
    </row>
    <row r="1019" spans="16:16" s="444" customFormat="1" ht="15">
      <c r="P1019" s="447"/>
    </row>
    <row r="1020" spans="16:16" s="444" customFormat="1" ht="15">
      <c r="P1020" s="447"/>
    </row>
    <row r="1021" spans="16:16" s="444" customFormat="1" ht="15">
      <c r="P1021" s="447"/>
    </row>
    <row r="1022" spans="16:16" s="444" customFormat="1" ht="15">
      <c r="P1022" s="447"/>
    </row>
    <row r="1023" spans="16:16" s="444" customFormat="1" ht="15">
      <c r="P1023" s="447"/>
    </row>
    <row r="1024" spans="16:16" s="444" customFormat="1" ht="15">
      <c r="P1024" s="447"/>
    </row>
    <row r="1025" spans="16:16" s="444" customFormat="1" ht="15">
      <c r="P1025" s="447"/>
    </row>
    <row r="1026" spans="16:16" s="444" customFormat="1" ht="15">
      <c r="P1026" s="447"/>
    </row>
    <row r="1027" spans="16:16" s="444" customFormat="1" ht="15">
      <c r="P1027" s="447"/>
    </row>
    <row r="1028" spans="16:16" s="444" customFormat="1" ht="15">
      <c r="P1028" s="447"/>
    </row>
    <row r="1029" spans="16:16" s="444" customFormat="1" ht="15">
      <c r="P1029" s="447"/>
    </row>
    <row r="1030" spans="16:16" s="444" customFormat="1" ht="15">
      <c r="P1030" s="447"/>
    </row>
    <row r="1031" spans="16:16" s="444" customFormat="1" ht="15">
      <c r="P1031" s="447"/>
    </row>
    <row r="1032" spans="16:16" s="444" customFormat="1" ht="15">
      <c r="P1032" s="447"/>
    </row>
    <row r="1033" spans="16:16" s="444" customFormat="1" ht="15">
      <c r="P1033" s="447"/>
    </row>
    <row r="1034" spans="16:16" s="444" customFormat="1" ht="15">
      <c r="P1034" s="447"/>
    </row>
    <row r="1035" spans="16:16" s="444" customFormat="1" ht="15">
      <c r="P1035" s="447"/>
    </row>
    <row r="1036" spans="16:16" s="444" customFormat="1" ht="15">
      <c r="P1036" s="447"/>
    </row>
    <row r="1037" spans="16:16" s="444" customFormat="1" ht="15">
      <c r="P1037" s="447"/>
    </row>
    <row r="1038" spans="16:16" s="444" customFormat="1" ht="15">
      <c r="P1038" s="447"/>
    </row>
    <row r="1039" spans="16:16" s="444" customFormat="1" ht="15">
      <c r="P1039" s="447"/>
    </row>
    <row r="1040" spans="16:16" s="444" customFormat="1" ht="15">
      <c r="P1040" s="447"/>
    </row>
    <row r="1041" spans="16:16" s="444" customFormat="1" ht="15">
      <c r="P1041" s="447"/>
    </row>
    <row r="1042" spans="16:16" s="444" customFormat="1" ht="15">
      <c r="P1042" s="447"/>
    </row>
    <row r="1043" spans="16:16" s="444" customFormat="1" ht="15">
      <c r="P1043" s="447"/>
    </row>
    <row r="1044" spans="16:16" s="444" customFormat="1" ht="15">
      <c r="P1044" s="447"/>
    </row>
    <row r="1045" spans="16:16" s="444" customFormat="1" ht="15">
      <c r="P1045" s="447"/>
    </row>
    <row r="1046" spans="16:16" s="444" customFormat="1" ht="15">
      <c r="P1046" s="447"/>
    </row>
    <row r="1047" spans="16:16" s="444" customFormat="1" ht="15">
      <c r="P1047" s="447"/>
    </row>
    <row r="1048" spans="16:16" s="444" customFormat="1" ht="15">
      <c r="P1048" s="447"/>
    </row>
    <row r="1049" spans="16:16" s="444" customFormat="1" ht="15">
      <c r="P1049" s="447"/>
    </row>
    <row r="1050" spans="16:16" s="444" customFormat="1" ht="15">
      <c r="P1050" s="447"/>
    </row>
    <row r="1051" spans="16:16" s="444" customFormat="1" ht="15">
      <c r="P1051" s="447"/>
    </row>
    <row r="1052" spans="16:16" s="444" customFormat="1" ht="15">
      <c r="P1052" s="447"/>
    </row>
    <row r="1053" spans="16:16" s="444" customFormat="1" ht="15">
      <c r="P1053" s="447"/>
    </row>
    <row r="1054" spans="16:16" s="444" customFormat="1" ht="15">
      <c r="P1054" s="447"/>
    </row>
    <row r="1055" spans="16:16" s="444" customFormat="1" ht="15">
      <c r="P1055" s="447"/>
    </row>
    <row r="1056" spans="16:16" s="444" customFormat="1" ht="15">
      <c r="P1056" s="447"/>
    </row>
    <row r="1057" spans="16:16" s="444" customFormat="1" ht="15">
      <c r="P1057" s="447"/>
    </row>
    <row r="1058" spans="16:16" s="444" customFormat="1" ht="15">
      <c r="P1058" s="447"/>
    </row>
    <row r="1059" spans="16:16" s="444" customFormat="1" ht="15">
      <c r="P1059" s="447"/>
    </row>
    <row r="1060" spans="16:16" s="444" customFormat="1" ht="15">
      <c r="P1060" s="447"/>
    </row>
    <row r="1061" spans="16:16" s="444" customFormat="1" ht="15">
      <c r="P1061" s="447"/>
    </row>
    <row r="1062" spans="16:16" s="444" customFormat="1" ht="15">
      <c r="P1062" s="447"/>
    </row>
    <row r="1063" spans="16:16" s="444" customFormat="1" ht="15">
      <c r="P1063" s="447"/>
    </row>
    <row r="1064" spans="16:16" s="444" customFormat="1" ht="15">
      <c r="P1064" s="447"/>
    </row>
    <row r="1065" spans="16:16" s="444" customFormat="1" ht="15">
      <c r="P1065" s="447"/>
    </row>
    <row r="1066" spans="16:16" s="444" customFormat="1" ht="15">
      <c r="P1066" s="447"/>
    </row>
    <row r="1067" spans="16:16" s="444" customFormat="1" ht="15">
      <c r="P1067" s="447"/>
    </row>
    <row r="1068" spans="16:16" s="444" customFormat="1" ht="15">
      <c r="P1068" s="447"/>
    </row>
    <row r="1069" spans="16:16" s="444" customFormat="1" ht="15">
      <c r="P1069" s="447"/>
    </row>
    <row r="1070" spans="16:16" s="444" customFormat="1" ht="15">
      <c r="P1070" s="447"/>
    </row>
    <row r="1071" spans="16:16" s="444" customFormat="1" ht="15">
      <c r="P1071" s="447"/>
    </row>
    <row r="1072" spans="16:16" s="444" customFormat="1" ht="15">
      <c r="P1072" s="447"/>
    </row>
    <row r="1073" spans="16:16" s="444" customFormat="1" ht="15">
      <c r="P1073" s="447"/>
    </row>
    <row r="1074" spans="16:16" s="444" customFormat="1" ht="15">
      <c r="P1074" s="447"/>
    </row>
    <row r="1075" spans="16:16" s="444" customFormat="1" ht="15">
      <c r="P1075" s="447"/>
    </row>
    <row r="1076" spans="16:16" s="444" customFormat="1" ht="15">
      <c r="P1076" s="447"/>
    </row>
    <row r="1077" spans="16:16" s="444" customFormat="1" ht="15">
      <c r="P1077" s="447"/>
    </row>
    <row r="1078" spans="16:16" s="444" customFormat="1" ht="15">
      <c r="P1078" s="447"/>
    </row>
    <row r="1079" spans="16:16" s="444" customFormat="1" ht="15">
      <c r="P1079" s="447"/>
    </row>
    <row r="1080" spans="16:16" s="444" customFormat="1" ht="15">
      <c r="P1080" s="447"/>
    </row>
    <row r="1081" spans="16:16" s="444" customFormat="1" ht="15">
      <c r="P1081" s="447"/>
    </row>
    <row r="1082" spans="16:16" s="444" customFormat="1" ht="15">
      <c r="P1082" s="447"/>
    </row>
    <row r="1083" spans="16:16" s="444" customFormat="1" ht="15">
      <c r="P1083" s="447"/>
    </row>
    <row r="1084" spans="16:16" s="444" customFormat="1" ht="15">
      <c r="P1084" s="447"/>
    </row>
    <row r="1085" spans="16:16" s="444" customFormat="1" ht="15">
      <c r="P1085" s="447"/>
    </row>
    <row r="1086" spans="16:16" s="444" customFormat="1" ht="15">
      <c r="P1086" s="447"/>
    </row>
    <row r="1087" spans="16:16" s="444" customFormat="1" ht="15">
      <c r="P1087" s="447"/>
    </row>
    <row r="1088" spans="16:16" s="444" customFormat="1" ht="15">
      <c r="P1088" s="447"/>
    </row>
    <row r="1089" spans="16:16" s="444" customFormat="1" ht="15">
      <c r="P1089" s="447"/>
    </row>
    <row r="1090" spans="16:16" s="444" customFormat="1" ht="15">
      <c r="P1090" s="447"/>
    </row>
    <row r="1091" spans="16:16" s="444" customFormat="1" ht="15">
      <c r="P1091" s="447"/>
    </row>
    <row r="1092" spans="16:16" s="444" customFormat="1" ht="15">
      <c r="P1092" s="447"/>
    </row>
    <row r="1093" spans="16:16" s="444" customFormat="1" ht="15">
      <c r="P1093" s="447"/>
    </row>
    <row r="1094" spans="16:16" s="444" customFormat="1" ht="15">
      <c r="P1094" s="447"/>
    </row>
    <row r="1095" spans="16:16" s="444" customFormat="1" ht="15">
      <c r="P1095" s="447"/>
    </row>
    <row r="1096" spans="16:16" s="444" customFormat="1" ht="15">
      <c r="P1096" s="447"/>
    </row>
    <row r="1097" spans="16:16" s="444" customFormat="1" ht="15">
      <c r="P1097" s="447"/>
    </row>
    <row r="1098" spans="16:16" s="444" customFormat="1" ht="15">
      <c r="P1098" s="447"/>
    </row>
    <row r="1099" spans="16:16" s="444" customFormat="1" ht="15">
      <c r="P1099" s="447"/>
    </row>
    <row r="1100" spans="16:16" s="444" customFormat="1" ht="15">
      <c r="P1100" s="447"/>
    </row>
    <row r="1101" spans="16:16" s="444" customFormat="1" ht="15">
      <c r="P1101" s="447"/>
    </row>
    <row r="1102" spans="16:16" s="444" customFormat="1" ht="15">
      <c r="P1102" s="447"/>
    </row>
    <row r="1103" spans="16:16" s="444" customFormat="1" ht="15">
      <c r="P1103" s="447"/>
    </row>
    <row r="1104" spans="16:16" s="444" customFormat="1" ht="15">
      <c r="P1104" s="447"/>
    </row>
    <row r="1105" spans="16:16" s="444" customFormat="1" ht="15">
      <c r="P1105" s="447"/>
    </row>
    <row r="1106" spans="16:16" s="444" customFormat="1" ht="15">
      <c r="P1106" s="447"/>
    </row>
    <row r="1107" spans="16:16" s="444" customFormat="1" ht="15">
      <c r="P1107" s="447"/>
    </row>
    <row r="1108" spans="16:16" s="444" customFormat="1" ht="15">
      <c r="P1108" s="447"/>
    </row>
    <row r="1109" spans="16:16" s="444" customFormat="1" ht="15">
      <c r="P1109" s="447"/>
    </row>
    <row r="1110" spans="16:16" s="444" customFormat="1" ht="15">
      <c r="P1110" s="447"/>
    </row>
    <row r="1111" spans="16:16" s="444" customFormat="1" ht="15">
      <c r="P1111" s="447"/>
    </row>
    <row r="1112" spans="16:16" s="444" customFormat="1" ht="15">
      <c r="P1112" s="447"/>
    </row>
    <row r="1113" spans="16:16" s="444" customFormat="1" ht="15">
      <c r="P1113" s="447"/>
    </row>
    <row r="1114" spans="16:16" s="444" customFormat="1" ht="15">
      <c r="P1114" s="447"/>
    </row>
    <row r="1115" spans="16:16" s="444" customFormat="1" ht="15">
      <c r="P1115" s="447"/>
    </row>
    <row r="1116" spans="16:16" s="444" customFormat="1" ht="15">
      <c r="P1116" s="447"/>
    </row>
    <row r="1117" spans="16:16" s="444" customFormat="1" ht="15">
      <c r="P1117" s="447"/>
    </row>
    <row r="1118" spans="16:16" s="444" customFormat="1" ht="15">
      <c r="P1118" s="447"/>
    </row>
    <row r="1119" spans="16:16" s="444" customFormat="1" ht="15">
      <c r="P1119" s="447"/>
    </row>
    <row r="1120" spans="16:16" s="444" customFormat="1" ht="15">
      <c r="P1120" s="447"/>
    </row>
    <row r="1121" spans="16:16" s="444" customFormat="1" ht="15">
      <c r="P1121" s="447"/>
    </row>
    <row r="1122" spans="16:16" s="444" customFormat="1" ht="15">
      <c r="P1122" s="447"/>
    </row>
    <row r="1123" spans="16:16" s="444" customFormat="1" ht="15">
      <c r="P1123" s="447"/>
    </row>
    <row r="1124" spans="16:16" s="444" customFormat="1" ht="15">
      <c r="P1124" s="447"/>
    </row>
    <row r="1125" spans="16:16" s="444" customFormat="1" ht="15">
      <c r="P1125" s="447"/>
    </row>
    <row r="1126" spans="16:16" s="444" customFormat="1" ht="15">
      <c r="P1126" s="447"/>
    </row>
    <row r="1127" spans="16:16" s="444" customFormat="1" ht="15">
      <c r="P1127" s="447"/>
    </row>
    <row r="1128" spans="16:16" s="444" customFormat="1" ht="15">
      <c r="P1128" s="447"/>
    </row>
    <row r="1129" spans="16:16" s="444" customFormat="1" ht="15">
      <c r="P1129" s="447"/>
    </row>
    <row r="1130" spans="16:16" s="444" customFormat="1" ht="15">
      <c r="P1130" s="447"/>
    </row>
    <row r="1131" spans="16:16" s="444" customFormat="1" ht="15">
      <c r="P1131" s="447"/>
    </row>
    <row r="1132" spans="16:16" s="444" customFormat="1" ht="15">
      <c r="P1132" s="447"/>
    </row>
    <row r="1133" spans="16:16" s="444" customFormat="1" ht="15">
      <c r="P1133" s="447"/>
    </row>
    <row r="1134" spans="16:16" s="444" customFormat="1" ht="15">
      <c r="P1134" s="447"/>
    </row>
    <row r="1135" spans="16:16" s="444" customFormat="1" ht="15">
      <c r="P1135" s="447"/>
    </row>
    <row r="1136" spans="16:16" s="444" customFormat="1" ht="15">
      <c r="P1136" s="447"/>
    </row>
    <row r="1137" spans="16:16" s="444" customFormat="1" ht="15">
      <c r="P1137" s="447"/>
    </row>
    <row r="1138" spans="16:16" s="444" customFormat="1" ht="15">
      <c r="P1138" s="447"/>
    </row>
    <row r="1139" spans="16:16" s="444" customFormat="1" ht="15">
      <c r="P1139" s="447"/>
    </row>
    <row r="1140" spans="16:16" s="444" customFormat="1" ht="15">
      <c r="P1140" s="447"/>
    </row>
    <row r="1141" spans="16:16" s="444" customFormat="1" ht="15">
      <c r="P1141" s="447"/>
    </row>
    <row r="1142" spans="16:16" s="444" customFormat="1" ht="15">
      <c r="P1142" s="447"/>
    </row>
    <row r="1143" spans="16:16" s="444" customFormat="1" ht="15">
      <c r="P1143" s="447"/>
    </row>
    <row r="1144" spans="16:16" s="444" customFormat="1" ht="15">
      <c r="P1144" s="447"/>
    </row>
    <row r="1145" spans="16:16" s="444" customFormat="1" ht="15">
      <c r="P1145" s="447"/>
    </row>
    <row r="1146" spans="16:16" s="444" customFormat="1" ht="15">
      <c r="P1146" s="447"/>
    </row>
    <row r="1147" spans="16:16" s="444" customFormat="1" ht="15">
      <c r="P1147" s="447"/>
    </row>
    <row r="1148" spans="16:16" s="444" customFormat="1" ht="15">
      <c r="P1148" s="447"/>
    </row>
    <row r="1149" spans="16:16" s="444" customFormat="1" ht="15">
      <c r="P1149" s="447"/>
    </row>
    <row r="1150" spans="16:16" s="444" customFormat="1" ht="15">
      <c r="P1150" s="447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>
    <tabColor rgb="FF002060"/>
  </sheetPr>
  <dimension ref="A1:U1155"/>
  <sheetViews>
    <sheetView workbookViewId="0">
      <selection activeCell="C6" sqref="C6"/>
    </sheetView>
  </sheetViews>
  <sheetFormatPr defaultRowHeight="12.75"/>
  <cols>
    <col min="1" max="4" width="9.140625" style="443"/>
    <col min="5" max="6" width="5.140625" style="458" customWidth="1"/>
    <col min="7" max="7" width="6" style="458" customWidth="1"/>
    <col min="8" max="14" width="5.140625" style="458" customWidth="1"/>
    <col min="15" max="15" width="9.140625" style="443"/>
    <col min="16" max="16" width="9.140625" style="444"/>
    <col min="17" max="20" width="9.140625" style="473"/>
    <col min="21" max="16384" width="9.140625" style="444"/>
  </cols>
  <sheetData>
    <row r="1" spans="1:21" s="443" customFormat="1" ht="25.5">
      <c r="A1" s="495" t="s">
        <v>521</v>
      </c>
      <c r="E1" s="458"/>
      <c r="F1" s="458"/>
      <c r="G1" s="458"/>
      <c r="H1" s="458"/>
      <c r="I1" s="458"/>
      <c r="J1" s="458"/>
      <c r="K1" s="458"/>
      <c r="L1" s="458"/>
      <c r="M1" s="458"/>
      <c r="N1" s="458"/>
      <c r="Q1" s="496" t="s">
        <v>82</v>
      </c>
      <c r="R1" s="496" t="s">
        <v>607</v>
      </c>
      <c r="S1" s="496" t="s">
        <v>520</v>
      </c>
      <c r="T1" s="496" t="s">
        <v>79</v>
      </c>
    </row>
    <row r="2" spans="1:21" ht="15">
      <c r="B2" s="445" t="s">
        <v>421</v>
      </c>
      <c r="C2" s="445"/>
      <c r="D2" s="445"/>
      <c r="F2" s="446" t="s">
        <v>422</v>
      </c>
      <c r="G2" s="446" t="s">
        <v>423</v>
      </c>
      <c r="P2" s="447"/>
      <c r="Q2" s="447" t="s">
        <v>456</v>
      </c>
      <c r="R2" s="447" t="s">
        <v>457</v>
      </c>
      <c r="S2" s="447" t="s">
        <v>425</v>
      </c>
      <c r="T2" s="447" t="s">
        <v>460</v>
      </c>
    </row>
    <row r="3" spans="1:21" ht="15">
      <c r="B3" s="443" t="s">
        <v>426</v>
      </c>
      <c r="C3" s="448">
        <v>86.666666666666671</v>
      </c>
      <c r="D3" s="449" t="s">
        <v>427</v>
      </c>
      <c r="F3" s="446">
        <f>MIN(XX_value)</f>
        <v>70</v>
      </c>
      <c r="G3" s="446">
        <f>MAX(XX_value)</f>
        <v>110</v>
      </c>
      <c r="P3" s="447"/>
      <c r="Q3" s="450">
        <v>70</v>
      </c>
      <c r="R3" s="450">
        <v>0</v>
      </c>
      <c r="S3" s="450">
        <v>0</v>
      </c>
      <c r="T3" s="450">
        <v>0.1</v>
      </c>
    </row>
    <row r="4" spans="1:21" ht="15">
      <c r="B4" s="443" t="s">
        <v>430</v>
      </c>
      <c r="C4" s="448">
        <v>327.5335040357329</v>
      </c>
      <c r="D4" s="449" t="s">
        <v>427</v>
      </c>
      <c r="F4" s="446">
        <f>MIN(YY_value)</f>
        <v>0</v>
      </c>
      <c r="G4" s="446">
        <f>MAX(YY_value)</f>
        <v>10000</v>
      </c>
      <c r="P4" s="447"/>
      <c r="Q4" s="450">
        <v>70</v>
      </c>
      <c r="R4" s="450">
        <v>0</v>
      </c>
      <c r="S4" s="450">
        <v>0.2</v>
      </c>
      <c r="T4" s="450">
        <v>0.1</v>
      </c>
      <c r="U4" s="497"/>
    </row>
    <row r="5" spans="1:21" ht="15">
      <c r="B5" s="443" t="s">
        <v>390</v>
      </c>
      <c r="C5" s="448">
        <v>0.5</v>
      </c>
      <c r="D5" s="449" t="s">
        <v>427</v>
      </c>
      <c r="F5" s="446">
        <f>MIN(ZZ_value)</f>
        <v>0</v>
      </c>
      <c r="G5" s="446">
        <f>MAX(ZZ_value)</f>
        <v>1</v>
      </c>
      <c r="P5" s="447"/>
      <c r="Q5" s="450">
        <v>70</v>
      </c>
      <c r="R5" s="450">
        <v>0</v>
      </c>
      <c r="S5" s="450">
        <v>0.4</v>
      </c>
      <c r="T5" s="450">
        <v>0.6</v>
      </c>
      <c r="U5" s="497"/>
    </row>
    <row r="6" spans="1:21" ht="15">
      <c r="G6" s="446"/>
      <c r="P6" s="447"/>
      <c r="Q6" s="450">
        <v>70</v>
      </c>
      <c r="R6" s="450">
        <v>0</v>
      </c>
      <c r="S6" s="450">
        <v>0.6</v>
      </c>
      <c r="T6" s="450">
        <v>2.7</v>
      </c>
      <c r="U6" s="497"/>
    </row>
    <row r="7" spans="1:21" ht="15">
      <c r="B7" s="445" t="s">
        <v>424</v>
      </c>
      <c r="C7" s="445"/>
      <c r="D7" s="445"/>
      <c r="P7" s="447"/>
      <c r="Q7" s="450">
        <v>70</v>
      </c>
      <c r="R7" s="450">
        <v>0</v>
      </c>
      <c r="S7" s="450">
        <v>0.8</v>
      </c>
      <c r="T7" s="450">
        <v>3.6</v>
      </c>
      <c r="U7" s="497"/>
    </row>
    <row r="8" spans="1:21" ht="15">
      <c r="B8" s="443" t="s">
        <v>461</v>
      </c>
      <c r="C8" s="468">
        <f>SUMPRODUCT(D37:D44,D46:D53)</f>
        <v>3.8178932637529268</v>
      </c>
      <c r="D8" s="449" t="s">
        <v>427</v>
      </c>
      <c r="P8" s="447"/>
      <c r="Q8" s="450">
        <v>70</v>
      </c>
      <c r="R8" s="450">
        <v>0</v>
      </c>
      <c r="S8" s="450">
        <v>1</v>
      </c>
      <c r="T8" s="450">
        <v>3.9</v>
      </c>
      <c r="U8" s="497"/>
    </row>
    <row r="9" spans="1:21" ht="15">
      <c r="P9" s="447"/>
      <c r="Q9" s="450">
        <v>70</v>
      </c>
      <c r="R9" s="450">
        <v>100</v>
      </c>
      <c r="S9" s="450">
        <v>0.2</v>
      </c>
      <c r="T9" s="450">
        <v>0.1</v>
      </c>
      <c r="U9" s="497"/>
    </row>
    <row r="10" spans="1:21" ht="15">
      <c r="B10" s="445" t="s">
        <v>431</v>
      </c>
      <c r="C10" s="445"/>
      <c r="D10" s="445"/>
      <c r="F10" s="446"/>
      <c r="P10" s="447"/>
      <c r="Q10" s="450">
        <v>70</v>
      </c>
      <c r="R10" s="450">
        <v>100</v>
      </c>
      <c r="S10" s="450">
        <v>0.4</v>
      </c>
      <c r="T10" s="450">
        <v>0.6</v>
      </c>
      <c r="U10" s="497"/>
    </row>
    <row r="11" spans="1:21" ht="15">
      <c r="B11" s="443" t="s">
        <v>433</v>
      </c>
      <c r="C11" s="450">
        <f>INDEX(XX_value,MATCH(XX,XX_value,1))</f>
        <v>80</v>
      </c>
      <c r="D11" s="449" t="s">
        <v>427</v>
      </c>
      <c r="F11" s="446"/>
      <c r="P11" s="447"/>
      <c r="Q11" s="450">
        <v>70</v>
      </c>
      <c r="R11" s="450">
        <v>100</v>
      </c>
      <c r="S11" s="450">
        <v>0.6</v>
      </c>
      <c r="T11" s="450">
        <v>2.7</v>
      </c>
      <c r="U11" s="497"/>
    </row>
    <row r="12" spans="1:21" ht="15">
      <c r="B12" s="443" t="s">
        <v>434</v>
      </c>
      <c r="C12" s="450">
        <f>INDEX(XX_value,MATCH(XX,XX_value,1)+1)</f>
        <v>90</v>
      </c>
      <c r="D12" s="449" t="s">
        <v>427</v>
      </c>
      <c r="F12" s="446"/>
      <c r="P12" s="447"/>
      <c r="Q12" s="450">
        <v>70</v>
      </c>
      <c r="R12" s="450">
        <v>100</v>
      </c>
      <c r="S12" s="450">
        <v>0.8</v>
      </c>
      <c r="T12" s="450">
        <v>3.6</v>
      </c>
      <c r="U12" s="497"/>
    </row>
    <row r="13" spans="1:21" ht="15">
      <c r="B13" s="443" t="s">
        <v>435</v>
      </c>
      <c r="C13" s="450">
        <f>INDEX(YY_value,MATCH(YY,YY_value,1))</f>
        <v>200</v>
      </c>
      <c r="D13" s="449" t="s">
        <v>427</v>
      </c>
      <c r="F13" s="446"/>
      <c r="P13" s="447"/>
      <c r="Q13" s="450">
        <v>70</v>
      </c>
      <c r="R13" s="450">
        <v>100</v>
      </c>
      <c r="S13" s="450">
        <v>1</v>
      </c>
      <c r="T13" s="450">
        <v>3.9</v>
      </c>
      <c r="U13" s="497"/>
    </row>
    <row r="14" spans="1:21" ht="15">
      <c r="B14" s="443" t="s">
        <v>436</v>
      </c>
      <c r="C14" s="450">
        <f>INDEX(YY_value,MATCH(YY,YY_value,1)+1)</f>
        <v>400</v>
      </c>
      <c r="D14" s="449" t="s">
        <v>427</v>
      </c>
      <c r="F14" s="446"/>
      <c r="P14" s="447"/>
      <c r="Q14" s="450">
        <v>70</v>
      </c>
      <c r="R14" s="450">
        <v>200</v>
      </c>
      <c r="S14" s="450">
        <v>0.2</v>
      </c>
      <c r="T14" s="450">
        <v>1.5</v>
      </c>
      <c r="U14" s="497"/>
    </row>
    <row r="15" spans="1:21" ht="15">
      <c r="B15" s="443" t="s">
        <v>462</v>
      </c>
      <c r="C15" s="450">
        <f>INDEX(ZZ_value,MATCH(ZZ,ZZ_value,1))</f>
        <v>0.4</v>
      </c>
      <c r="D15" s="449" t="s">
        <v>427</v>
      </c>
      <c r="P15" s="447"/>
      <c r="Q15" s="450">
        <v>70</v>
      </c>
      <c r="R15" s="450">
        <v>200</v>
      </c>
      <c r="S15" s="450">
        <v>0.4</v>
      </c>
      <c r="T15" s="450">
        <v>2.6</v>
      </c>
      <c r="U15" s="497"/>
    </row>
    <row r="16" spans="1:21" ht="15">
      <c r="B16" s="443" t="s">
        <v>463</v>
      </c>
      <c r="C16" s="450">
        <f>INDEX(ZZ_value,MATCH(ZZ,ZZ_value,1)+1)</f>
        <v>0.6</v>
      </c>
      <c r="D16" s="449" t="s">
        <v>427</v>
      </c>
      <c r="F16" s="446" t="s">
        <v>432</v>
      </c>
      <c r="P16" s="447"/>
      <c r="Q16" s="450">
        <v>70</v>
      </c>
      <c r="R16" s="450">
        <v>200</v>
      </c>
      <c r="S16" s="450">
        <v>0.6</v>
      </c>
      <c r="T16" s="450">
        <v>5</v>
      </c>
      <c r="U16" s="497"/>
    </row>
    <row r="17" spans="2:21" s="444" customFormat="1" ht="15">
      <c r="B17" s="443" t="s">
        <v>464</v>
      </c>
      <c r="C17" s="469">
        <f t="shared" ref="C17" si="0">INDEX(TT_value,F17,0)</f>
        <v>3.9</v>
      </c>
      <c r="D17" s="449" t="s">
        <v>427</v>
      </c>
      <c r="E17" s="458"/>
      <c r="F17" s="446">
        <f t="array" ref="F17">MATCH(1,(XX_value=xx_2)*(YY_value=yy_1)*(ZZ_value=zz_1),0)</f>
        <v>127</v>
      </c>
      <c r="G17" s="458"/>
      <c r="H17" s="458"/>
      <c r="I17" s="458"/>
      <c r="J17" s="458"/>
      <c r="K17" s="458"/>
      <c r="L17" s="458"/>
      <c r="M17" s="458"/>
      <c r="N17" s="458"/>
      <c r="O17" s="443"/>
      <c r="P17" s="447"/>
      <c r="Q17" s="450">
        <v>70</v>
      </c>
      <c r="R17" s="450">
        <v>200</v>
      </c>
      <c r="S17" s="450">
        <v>0.8</v>
      </c>
      <c r="T17" s="450">
        <v>6.1</v>
      </c>
      <c r="U17" s="497"/>
    </row>
    <row r="18" spans="2:21" s="444" customFormat="1" ht="15">
      <c r="B18" s="443" t="s">
        <v>465</v>
      </c>
      <c r="C18" s="469">
        <f t="shared" ref="C18" si="1">INDEX(TT_value,F18,0)</f>
        <v>3.9</v>
      </c>
      <c r="D18" s="449" t="s">
        <v>427</v>
      </c>
      <c r="E18" s="458"/>
      <c r="F18" s="446">
        <f t="array" ref="F18">MATCH(1,(XX_value=xx_2)*(YY_value=yy_1)*(ZZ_value=zz_1),0)</f>
        <v>127</v>
      </c>
      <c r="G18" s="458"/>
      <c r="H18" s="458"/>
      <c r="I18" s="458"/>
      <c r="J18" s="458"/>
      <c r="K18" s="458"/>
      <c r="L18" s="458"/>
      <c r="M18" s="458"/>
      <c r="N18" s="458"/>
      <c r="O18" s="443"/>
      <c r="P18" s="447"/>
      <c r="Q18" s="450">
        <v>70</v>
      </c>
      <c r="R18" s="450">
        <v>200</v>
      </c>
      <c r="S18" s="450">
        <v>1</v>
      </c>
      <c r="T18" s="450">
        <v>6.4</v>
      </c>
      <c r="U18" s="497"/>
    </row>
    <row r="19" spans="2:21" s="444" customFormat="1" ht="15">
      <c r="B19" s="443" t="s">
        <v>466</v>
      </c>
      <c r="C19" s="469">
        <f t="shared" ref="C19" si="2">INDEX(TT_value,F19,0)</f>
        <v>2.6</v>
      </c>
      <c r="D19" s="449" t="s">
        <v>427</v>
      </c>
      <c r="E19" s="458"/>
      <c r="F19" s="446">
        <f t="array" ref="F19">MATCH(1,(XX_value=xx_1)*(YY_value=yy_2)*(ZZ_value=zz_1),0)</f>
        <v>76</v>
      </c>
      <c r="G19" s="458"/>
      <c r="H19" s="458"/>
      <c r="I19" s="458"/>
      <c r="J19" s="458"/>
      <c r="K19" s="458"/>
      <c r="L19" s="458"/>
      <c r="M19" s="458"/>
      <c r="N19" s="458"/>
      <c r="O19" s="443"/>
      <c r="P19" s="447"/>
      <c r="Q19" s="450">
        <v>70</v>
      </c>
      <c r="R19" s="450">
        <v>400</v>
      </c>
      <c r="S19" s="450">
        <v>0.2</v>
      </c>
      <c r="T19" s="450">
        <v>1.5</v>
      </c>
      <c r="U19" s="497"/>
    </row>
    <row r="20" spans="2:21" s="444" customFormat="1" ht="15">
      <c r="B20" s="443" t="s">
        <v>467</v>
      </c>
      <c r="C20" s="469">
        <f t="shared" ref="C20" si="3">INDEX(TT_value,F20,0)</f>
        <v>3</v>
      </c>
      <c r="D20" s="449" t="s">
        <v>427</v>
      </c>
      <c r="E20" s="458"/>
      <c r="F20" s="446">
        <f t="array" ref="F20">MATCH(1,(XX_value=xx_2)*(YY_value=yy_2)*(ZZ_value=zz_1),0)</f>
        <v>132</v>
      </c>
      <c r="G20" s="458"/>
      <c r="H20" s="458"/>
      <c r="I20" s="458"/>
      <c r="J20" s="458"/>
      <c r="K20" s="458"/>
      <c r="L20" s="458"/>
      <c r="M20" s="458"/>
      <c r="N20" s="458"/>
      <c r="O20" s="443"/>
      <c r="P20" s="447"/>
      <c r="Q20" s="450">
        <v>70</v>
      </c>
      <c r="R20" s="450">
        <v>400</v>
      </c>
      <c r="S20" s="450">
        <v>0.4</v>
      </c>
      <c r="T20" s="450">
        <v>0.8</v>
      </c>
      <c r="U20" s="497"/>
    </row>
    <row r="21" spans="2:21" s="444" customFormat="1" ht="15">
      <c r="B21" s="443" t="s">
        <v>468</v>
      </c>
      <c r="C21" s="469">
        <f t="shared" ref="C21" si="4">INDEX(TT_value,F21,0)</f>
        <v>5.3</v>
      </c>
      <c r="D21" s="449" t="s">
        <v>427</v>
      </c>
      <c r="E21" s="458"/>
      <c r="F21" s="446">
        <f t="array" ref="F21">MATCH(1,(XX_value=xx_1)*(YY_value=yy_1)*(ZZ_value=zz_2),0)</f>
        <v>72</v>
      </c>
      <c r="G21" s="458"/>
      <c r="H21" s="458"/>
      <c r="I21" s="458"/>
      <c r="J21" s="458"/>
      <c r="K21" s="458"/>
      <c r="L21" s="458"/>
      <c r="M21" s="458"/>
      <c r="N21" s="458"/>
      <c r="O21" s="443"/>
      <c r="P21" s="447"/>
      <c r="Q21" s="450">
        <v>70</v>
      </c>
      <c r="R21" s="450">
        <v>400</v>
      </c>
      <c r="S21" s="450">
        <v>0.6</v>
      </c>
      <c r="T21" s="450">
        <v>3.2</v>
      </c>
      <c r="U21" s="497"/>
    </row>
    <row r="22" spans="2:21" s="444" customFormat="1" ht="15">
      <c r="B22" s="443" t="s">
        <v>469</v>
      </c>
      <c r="C22" s="469">
        <f t="shared" ref="C22" si="5">INDEX(TT_value,F22,0)</f>
        <v>5.6</v>
      </c>
      <c r="D22" s="449" t="s">
        <v>427</v>
      </c>
      <c r="E22" s="458"/>
      <c r="F22" s="446">
        <f t="array" ref="F22">MATCH(1,(XX_value=xx_2)*(YY_value=yy_1)*(ZZ_value=zz_2),0)</f>
        <v>128</v>
      </c>
      <c r="G22" s="458"/>
      <c r="H22" s="458"/>
      <c r="I22" s="458"/>
      <c r="J22" s="458"/>
      <c r="K22" s="458"/>
      <c r="L22" s="458"/>
      <c r="M22" s="458"/>
      <c r="N22" s="458"/>
      <c r="O22" s="443"/>
      <c r="P22" s="447"/>
      <c r="Q22" s="450">
        <v>70</v>
      </c>
      <c r="R22" s="450">
        <v>400</v>
      </c>
      <c r="S22" s="450">
        <v>0.8</v>
      </c>
      <c r="T22" s="450">
        <v>4.0999999999999996</v>
      </c>
      <c r="U22" s="497"/>
    </row>
    <row r="23" spans="2:21" s="444" customFormat="1" ht="15">
      <c r="B23" s="443" t="s">
        <v>470</v>
      </c>
      <c r="C23" s="469">
        <f t="shared" ref="C23" si="6">INDEX(TT_value,F23,0)</f>
        <v>3.5</v>
      </c>
      <c r="D23" s="449" t="s">
        <v>427</v>
      </c>
      <c r="E23" s="458"/>
      <c r="F23" s="446">
        <f t="array" ref="F23">MATCH(1,(XX_value=xx_1)*(YY_value=yy_2)*(ZZ_value=zz_2),0)</f>
        <v>77</v>
      </c>
      <c r="G23" s="458"/>
      <c r="H23" s="458"/>
      <c r="I23" s="458"/>
      <c r="J23" s="458"/>
      <c r="K23" s="458"/>
      <c r="L23" s="458"/>
      <c r="M23" s="458"/>
      <c r="N23" s="458"/>
      <c r="O23" s="443"/>
      <c r="P23" s="447"/>
      <c r="Q23" s="450">
        <v>70</v>
      </c>
      <c r="R23" s="450">
        <v>400</v>
      </c>
      <c r="S23" s="450">
        <v>1</v>
      </c>
      <c r="T23" s="450">
        <v>4.3</v>
      </c>
      <c r="U23" s="497"/>
    </row>
    <row r="24" spans="2:21" s="444" customFormat="1" ht="15">
      <c r="B24" s="443" t="s">
        <v>471</v>
      </c>
      <c r="C24" s="469">
        <f t="shared" ref="C24" si="7">INDEX(TT_value,F24,0)</f>
        <v>3.9</v>
      </c>
      <c r="D24" s="449" t="s">
        <v>427</v>
      </c>
      <c r="E24" s="458"/>
      <c r="F24" s="446">
        <f t="array" ref="F24">MATCH(1,(XX_value=xx_2)*(YY_value=yy_2)*(ZZ_value=zz_2),0)</f>
        <v>133</v>
      </c>
      <c r="G24" s="458"/>
      <c r="H24" s="458"/>
      <c r="I24" s="458"/>
      <c r="J24" s="458"/>
      <c r="K24" s="458"/>
      <c r="L24" s="458"/>
      <c r="M24" s="458"/>
      <c r="N24" s="458"/>
      <c r="O24" s="443"/>
      <c r="P24" s="447"/>
      <c r="Q24" s="450">
        <v>70</v>
      </c>
      <c r="R24" s="450">
        <v>600</v>
      </c>
      <c r="S24" s="450">
        <v>0.2</v>
      </c>
      <c r="T24" s="450">
        <v>0.7</v>
      </c>
      <c r="U24" s="497"/>
    </row>
    <row r="25" spans="2:21" s="444" customFormat="1" ht="15">
      <c r="B25" s="443"/>
      <c r="C25" s="443"/>
      <c r="D25" s="449"/>
      <c r="E25" s="458"/>
      <c r="F25" s="458"/>
      <c r="G25" s="458"/>
      <c r="H25" s="458"/>
      <c r="I25" s="458"/>
      <c r="J25" s="458"/>
      <c r="K25" s="458"/>
      <c r="L25" s="458"/>
      <c r="M25" s="458"/>
      <c r="N25" s="458"/>
      <c r="O25" s="443"/>
      <c r="P25" s="447"/>
      <c r="Q25" s="450">
        <v>70</v>
      </c>
      <c r="R25" s="450">
        <v>600</v>
      </c>
      <c r="S25" s="450">
        <v>0.4</v>
      </c>
      <c r="T25" s="450">
        <v>0.5</v>
      </c>
      <c r="U25" s="497"/>
    </row>
    <row r="26" spans="2:21" s="444" customFormat="1" ht="15">
      <c r="B26" s="445" t="s">
        <v>441</v>
      </c>
      <c r="C26" s="445"/>
      <c r="D26" s="445"/>
      <c r="E26" s="445"/>
      <c r="F26" s="445"/>
      <c r="G26" s="445"/>
      <c r="H26" s="445"/>
      <c r="I26" s="445"/>
      <c r="J26" s="445"/>
      <c r="K26" s="445"/>
      <c r="L26" s="445"/>
      <c r="M26" s="445"/>
      <c r="N26" s="445"/>
      <c r="O26" s="443"/>
      <c r="P26" s="447"/>
      <c r="Q26" s="450">
        <v>70</v>
      </c>
      <c r="R26" s="450">
        <v>600</v>
      </c>
      <c r="S26" s="450">
        <v>0.6</v>
      </c>
      <c r="T26" s="450">
        <v>2.1</v>
      </c>
      <c r="U26" s="497"/>
    </row>
    <row r="27" spans="2:21" s="444" customFormat="1" ht="15">
      <c r="B27" s="443"/>
      <c r="C27" s="443"/>
      <c r="D27" s="443"/>
      <c r="E27" s="458"/>
      <c r="F27" s="458"/>
      <c r="G27" s="458"/>
      <c r="H27" s="458"/>
      <c r="I27" s="458"/>
      <c r="J27" s="458"/>
      <c r="K27" s="458"/>
      <c r="L27" s="458"/>
      <c r="M27" s="458"/>
      <c r="N27" s="458"/>
      <c r="O27" s="443"/>
      <c r="P27" s="447"/>
      <c r="Q27" s="450">
        <v>70</v>
      </c>
      <c r="R27" s="450">
        <v>600</v>
      </c>
      <c r="S27" s="450">
        <v>0.8</v>
      </c>
      <c r="T27" s="450">
        <v>2.7</v>
      </c>
      <c r="U27" s="497"/>
    </row>
    <row r="28" spans="2:21" s="444" customFormat="1" ht="15">
      <c r="B28" s="453" t="s">
        <v>442</v>
      </c>
      <c r="C28" s="443"/>
      <c r="D28" s="443"/>
      <c r="E28" s="453">
        <v>1</v>
      </c>
      <c r="F28" s="458">
        <f>xx_1</f>
        <v>80</v>
      </c>
      <c r="G28" s="458">
        <f>yy_1</f>
        <v>200</v>
      </c>
      <c r="H28" s="458">
        <f>zz_1</f>
        <v>0.4</v>
      </c>
      <c r="I28" s="458">
        <f>F28*G28</f>
        <v>16000</v>
      </c>
      <c r="J28" s="458">
        <f>F28*H28</f>
        <v>32</v>
      </c>
      <c r="K28" s="458">
        <f>G28*H28</f>
        <v>80</v>
      </c>
      <c r="L28" s="470">
        <f>F28*G28*H28</f>
        <v>6400</v>
      </c>
      <c r="M28" s="471" t="s">
        <v>443</v>
      </c>
      <c r="N28" s="472">
        <f t="shared" ref="N28" si="8">f_111</f>
        <v>3.9</v>
      </c>
      <c r="O28" s="443"/>
      <c r="P28" s="447"/>
      <c r="Q28" s="450">
        <v>70</v>
      </c>
      <c r="R28" s="450">
        <v>600</v>
      </c>
      <c r="S28" s="450">
        <v>1</v>
      </c>
      <c r="T28" s="450">
        <v>2.9</v>
      </c>
      <c r="U28" s="497"/>
    </row>
    <row r="29" spans="2:21" s="444" customFormat="1" ht="15">
      <c r="B29" s="453" t="s">
        <v>444</v>
      </c>
      <c r="C29" s="443"/>
      <c r="D29" s="443"/>
      <c r="E29" s="453">
        <v>1</v>
      </c>
      <c r="F29" s="458">
        <f>xx_2</f>
        <v>90</v>
      </c>
      <c r="G29" s="458">
        <f>yy_1</f>
        <v>200</v>
      </c>
      <c r="H29" s="458">
        <f>zz_1</f>
        <v>0.4</v>
      </c>
      <c r="I29" s="458">
        <f t="shared" ref="I29:I35" si="9">F29*G29</f>
        <v>18000</v>
      </c>
      <c r="J29" s="458">
        <f t="shared" ref="J29:J35" si="10">F29*H29</f>
        <v>36</v>
      </c>
      <c r="K29" s="458">
        <f t="shared" ref="K29:K35" si="11">G29*H29</f>
        <v>80</v>
      </c>
      <c r="L29" s="470">
        <f t="shared" ref="L29:L35" si="12">F29*G29*H29</f>
        <v>7200</v>
      </c>
      <c r="M29" s="458"/>
      <c r="N29" s="472">
        <f>f_211</f>
        <v>3.9</v>
      </c>
      <c r="O29" s="443"/>
      <c r="P29" s="447"/>
      <c r="Q29" s="450">
        <v>70</v>
      </c>
      <c r="R29" s="450">
        <v>800</v>
      </c>
      <c r="S29" s="450">
        <v>0.2</v>
      </c>
      <c r="T29" s="450">
        <v>0.5</v>
      </c>
      <c r="U29" s="497"/>
    </row>
    <row r="30" spans="2:21" s="444" customFormat="1" ht="15">
      <c r="B30" s="453" t="s">
        <v>445</v>
      </c>
      <c r="C30" s="443"/>
      <c r="D30" s="443"/>
      <c r="E30" s="453">
        <v>1</v>
      </c>
      <c r="F30" s="458">
        <f>xx_1</f>
        <v>80</v>
      </c>
      <c r="G30" s="458">
        <f>yy_2</f>
        <v>400</v>
      </c>
      <c r="H30" s="458">
        <f>zz_1</f>
        <v>0.4</v>
      </c>
      <c r="I30" s="458">
        <f t="shared" si="9"/>
        <v>32000</v>
      </c>
      <c r="J30" s="458">
        <f t="shared" si="10"/>
        <v>32</v>
      </c>
      <c r="K30" s="458">
        <f t="shared" si="11"/>
        <v>160</v>
      </c>
      <c r="L30" s="470">
        <f t="shared" si="12"/>
        <v>12800</v>
      </c>
      <c r="M30" s="458"/>
      <c r="N30" s="472">
        <f>f_121</f>
        <v>2.6</v>
      </c>
      <c r="O30" s="443"/>
      <c r="P30" s="447"/>
      <c r="Q30" s="450">
        <v>70</v>
      </c>
      <c r="R30" s="450">
        <v>800</v>
      </c>
      <c r="S30" s="450">
        <v>0.4</v>
      </c>
      <c r="T30" s="450">
        <v>0.5</v>
      </c>
      <c r="U30" s="497"/>
    </row>
    <row r="31" spans="2:21" s="444" customFormat="1" ht="15">
      <c r="B31" s="453" t="s">
        <v>448</v>
      </c>
      <c r="C31" s="443" t="s">
        <v>446</v>
      </c>
      <c r="D31" s="443"/>
      <c r="E31" s="453">
        <v>1</v>
      </c>
      <c r="F31" s="458">
        <f>xx_2</f>
        <v>90</v>
      </c>
      <c r="G31" s="458">
        <f>yy_2</f>
        <v>400</v>
      </c>
      <c r="H31" s="458">
        <f>zz_1</f>
        <v>0.4</v>
      </c>
      <c r="I31" s="458">
        <f t="shared" si="9"/>
        <v>36000</v>
      </c>
      <c r="J31" s="458">
        <f t="shared" si="10"/>
        <v>36</v>
      </c>
      <c r="K31" s="458">
        <f t="shared" si="11"/>
        <v>160</v>
      </c>
      <c r="L31" s="470">
        <f t="shared" si="12"/>
        <v>14400</v>
      </c>
      <c r="M31" s="458" t="s">
        <v>447</v>
      </c>
      <c r="N31" s="472">
        <f>f_221</f>
        <v>3</v>
      </c>
      <c r="O31" s="443"/>
      <c r="P31" s="447"/>
      <c r="Q31" s="450">
        <v>70</v>
      </c>
      <c r="R31" s="450">
        <v>800</v>
      </c>
      <c r="S31" s="450">
        <v>0.6</v>
      </c>
      <c r="T31" s="450">
        <v>1.3</v>
      </c>
      <c r="U31" s="497"/>
    </row>
    <row r="32" spans="2:21" s="444" customFormat="1" ht="15">
      <c r="B32" s="453" t="s">
        <v>472</v>
      </c>
      <c r="C32" s="443"/>
      <c r="D32" s="443"/>
      <c r="E32" s="453">
        <v>1</v>
      </c>
      <c r="F32" s="458">
        <f>xx_1</f>
        <v>80</v>
      </c>
      <c r="G32" s="458">
        <f>yy_1</f>
        <v>200</v>
      </c>
      <c r="H32" s="458">
        <f>zz_2</f>
        <v>0.6</v>
      </c>
      <c r="I32" s="458">
        <f t="shared" si="9"/>
        <v>16000</v>
      </c>
      <c r="J32" s="458">
        <f t="shared" si="10"/>
        <v>48</v>
      </c>
      <c r="K32" s="458">
        <f t="shared" si="11"/>
        <v>120</v>
      </c>
      <c r="L32" s="470">
        <f t="shared" si="12"/>
        <v>9600</v>
      </c>
      <c r="M32" s="458"/>
      <c r="N32" s="472">
        <f>f_112</f>
        <v>5.3</v>
      </c>
      <c r="O32" s="443"/>
      <c r="P32" s="447"/>
      <c r="Q32" s="450">
        <v>70</v>
      </c>
      <c r="R32" s="450">
        <v>800</v>
      </c>
      <c r="S32" s="450">
        <v>0.8</v>
      </c>
      <c r="T32" s="450">
        <v>1.8</v>
      </c>
      <c r="U32" s="497"/>
    </row>
    <row r="33" spans="2:21" s="444" customFormat="1" ht="15">
      <c r="B33" s="453" t="s">
        <v>473</v>
      </c>
      <c r="C33" s="443"/>
      <c r="D33" s="443"/>
      <c r="E33" s="453">
        <v>1</v>
      </c>
      <c r="F33" s="458">
        <f>xx_2</f>
        <v>90</v>
      </c>
      <c r="G33" s="458">
        <f>yy_1</f>
        <v>200</v>
      </c>
      <c r="H33" s="458">
        <f>zz_2</f>
        <v>0.6</v>
      </c>
      <c r="I33" s="458">
        <f t="shared" si="9"/>
        <v>18000</v>
      </c>
      <c r="J33" s="458">
        <f t="shared" si="10"/>
        <v>54</v>
      </c>
      <c r="K33" s="458">
        <f t="shared" si="11"/>
        <v>120</v>
      </c>
      <c r="L33" s="470">
        <f t="shared" si="12"/>
        <v>10800</v>
      </c>
      <c r="M33" s="458"/>
      <c r="N33" s="472">
        <f>f_212</f>
        <v>5.6</v>
      </c>
      <c r="O33" s="443"/>
      <c r="P33" s="447"/>
      <c r="Q33" s="450">
        <v>70</v>
      </c>
      <c r="R33" s="450">
        <v>800</v>
      </c>
      <c r="S33" s="450">
        <v>1</v>
      </c>
      <c r="T33" s="450">
        <v>2</v>
      </c>
      <c r="U33" s="497"/>
    </row>
    <row r="34" spans="2:21" s="444" customFormat="1" ht="15">
      <c r="B34" s="453" t="s">
        <v>474</v>
      </c>
      <c r="C34" s="443"/>
      <c r="D34" s="443"/>
      <c r="E34" s="453">
        <v>1</v>
      </c>
      <c r="F34" s="458">
        <f>xx_1</f>
        <v>80</v>
      </c>
      <c r="G34" s="458">
        <f>yy_2</f>
        <v>400</v>
      </c>
      <c r="H34" s="458">
        <f>zz_2</f>
        <v>0.6</v>
      </c>
      <c r="I34" s="458">
        <f t="shared" si="9"/>
        <v>32000</v>
      </c>
      <c r="J34" s="458">
        <f t="shared" si="10"/>
        <v>48</v>
      </c>
      <c r="K34" s="458">
        <f t="shared" si="11"/>
        <v>240</v>
      </c>
      <c r="L34" s="470">
        <f t="shared" si="12"/>
        <v>19200</v>
      </c>
      <c r="M34" s="458"/>
      <c r="N34" s="472">
        <f>f_122</f>
        <v>3.5</v>
      </c>
      <c r="O34" s="443"/>
      <c r="P34" s="447"/>
      <c r="Q34" s="450">
        <v>70</v>
      </c>
      <c r="R34" s="450">
        <v>1000</v>
      </c>
      <c r="S34" s="450">
        <v>0.2</v>
      </c>
      <c r="T34" s="450">
        <v>0.5</v>
      </c>
      <c r="U34" s="497"/>
    </row>
    <row r="35" spans="2:21" s="444" customFormat="1" ht="15">
      <c r="B35" s="453" t="s">
        <v>475</v>
      </c>
      <c r="C35" s="443"/>
      <c r="D35" s="443"/>
      <c r="E35" s="453">
        <v>1</v>
      </c>
      <c r="F35" s="458">
        <f>xx_2</f>
        <v>90</v>
      </c>
      <c r="G35" s="458">
        <f>yy_2</f>
        <v>400</v>
      </c>
      <c r="H35" s="458">
        <f>zz_2</f>
        <v>0.6</v>
      </c>
      <c r="I35" s="458">
        <f t="shared" si="9"/>
        <v>36000</v>
      </c>
      <c r="J35" s="458">
        <f t="shared" si="10"/>
        <v>54</v>
      </c>
      <c r="K35" s="458">
        <f t="shared" si="11"/>
        <v>240</v>
      </c>
      <c r="L35" s="470">
        <f t="shared" si="12"/>
        <v>21600</v>
      </c>
      <c r="M35" s="458"/>
      <c r="N35" s="472">
        <f>f_222</f>
        <v>3.9</v>
      </c>
      <c r="O35" s="443"/>
      <c r="P35" s="447"/>
      <c r="Q35" s="450">
        <v>70</v>
      </c>
      <c r="R35" s="450">
        <v>1000</v>
      </c>
      <c r="S35" s="450">
        <v>0.4</v>
      </c>
      <c r="T35" s="450">
        <v>0.5</v>
      </c>
      <c r="U35" s="497"/>
    </row>
    <row r="36" spans="2:21" s="444" customFormat="1" ht="15">
      <c r="B36" s="443"/>
      <c r="C36" s="443"/>
      <c r="D36" s="443"/>
      <c r="E36" s="458"/>
      <c r="F36" s="458"/>
      <c r="G36" s="458"/>
      <c r="H36" s="458"/>
      <c r="I36" s="458"/>
      <c r="J36" s="458"/>
      <c r="K36" s="458"/>
      <c r="L36" s="458"/>
      <c r="M36" s="458"/>
      <c r="N36" s="458"/>
      <c r="O36" s="443"/>
      <c r="P36" s="447"/>
      <c r="Q36" s="450">
        <v>70</v>
      </c>
      <c r="R36" s="450">
        <v>1000</v>
      </c>
      <c r="S36" s="450">
        <v>0.6</v>
      </c>
      <c r="T36" s="450">
        <v>1</v>
      </c>
      <c r="U36" s="497"/>
    </row>
    <row r="37" spans="2:21" s="444" customFormat="1" ht="15">
      <c r="B37" s="453" t="s">
        <v>442</v>
      </c>
      <c r="C37" s="443"/>
      <c r="D37" s="453">
        <f t="array" ref="D37:D44">MMULT(MINVERSE(E28:L35),N28:N35)</f>
        <v>14.200000000000024</v>
      </c>
      <c r="E37" s="458"/>
      <c r="F37" s="458"/>
      <c r="G37" s="458"/>
      <c r="H37" s="458"/>
      <c r="I37" s="458"/>
      <c r="J37" s="458"/>
      <c r="K37" s="458"/>
      <c r="L37" s="458"/>
      <c r="M37" s="458"/>
      <c r="N37" s="458"/>
      <c r="O37" s="443"/>
      <c r="P37" s="447"/>
      <c r="Q37" s="450">
        <v>70</v>
      </c>
      <c r="R37" s="450">
        <v>1000</v>
      </c>
      <c r="S37" s="450">
        <v>0.8</v>
      </c>
      <c r="T37" s="450">
        <v>1.3</v>
      </c>
      <c r="U37" s="497"/>
    </row>
    <row r="38" spans="2:21" s="444" customFormat="1" ht="15">
      <c r="B38" s="453" t="s">
        <v>444</v>
      </c>
      <c r="C38" s="443"/>
      <c r="D38" s="453">
        <v>-0.15999999999999981</v>
      </c>
      <c r="E38" s="458"/>
      <c r="F38" s="458"/>
      <c r="G38" s="458"/>
      <c r="H38" s="458"/>
      <c r="I38" s="458"/>
      <c r="J38" s="458"/>
      <c r="K38" s="458"/>
      <c r="L38" s="458"/>
      <c r="M38" s="458"/>
      <c r="N38" s="458"/>
      <c r="O38" s="443"/>
      <c r="P38" s="447"/>
      <c r="Q38" s="450">
        <v>70</v>
      </c>
      <c r="R38" s="450">
        <v>1000</v>
      </c>
      <c r="S38" s="450">
        <v>1</v>
      </c>
      <c r="T38" s="450">
        <v>1.9</v>
      </c>
      <c r="U38" s="497"/>
    </row>
    <row r="39" spans="2:21" s="444" customFormat="1" ht="15">
      <c r="B39" s="453" t="s">
        <v>445</v>
      </c>
      <c r="C39" s="443"/>
      <c r="D39" s="453">
        <v>-4.1499999999999926E-2</v>
      </c>
      <c r="E39" s="458"/>
      <c r="F39" s="458"/>
      <c r="G39" s="458"/>
      <c r="H39" s="458"/>
      <c r="I39" s="458"/>
      <c r="J39" s="458"/>
      <c r="K39" s="458"/>
      <c r="L39" s="458"/>
      <c r="M39" s="458"/>
      <c r="N39" s="458"/>
      <c r="O39" s="443"/>
      <c r="P39" s="447"/>
      <c r="Q39" s="450">
        <v>70</v>
      </c>
      <c r="R39" s="450">
        <v>1200</v>
      </c>
      <c r="S39" s="450">
        <v>0.2</v>
      </c>
      <c r="T39" s="450">
        <v>0.5</v>
      </c>
      <c r="U39" s="497"/>
    </row>
    <row r="40" spans="2:21" s="444" customFormat="1" ht="15">
      <c r="B40" s="453" t="s">
        <v>448</v>
      </c>
      <c r="C40" s="443" t="s">
        <v>446</v>
      </c>
      <c r="D40" s="453">
        <v>-14.5</v>
      </c>
      <c r="E40" s="458"/>
      <c r="F40" s="458"/>
      <c r="G40" s="458"/>
      <c r="H40" s="458"/>
      <c r="I40" s="458"/>
      <c r="J40" s="458"/>
      <c r="K40" s="458"/>
      <c r="L40" s="458"/>
      <c r="M40" s="458"/>
      <c r="N40" s="458"/>
      <c r="O40" s="443"/>
      <c r="P40" s="447"/>
      <c r="Q40" s="450">
        <v>70</v>
      </c>
      <c r="R40" s="450">
        <v>1200</v>
      </c>
      <c r="S40" s="450">
        <v>0.4</v>
      </c>
      <c r="T40" s="450">
        <v>0.5</v>
      </c>
      <c r="U40" s="497"/>
    </row>
    <row r="41" spans="2:21" s="444" customFormat="1" ht="15">
      <c r="B41" s="453" t="s">
        <v>472</v>
      </c>
      <c r="C41" s="443"/>
      <c r="D41" s="453">
        <v>5.0000000000000131E-4</v>
      </c>
      <c r="E41" s="458"/>
      <c r="F41" s="458"/>
      <c r="G41" s="458"/>
      <c r="H41" s="458"/>
      <c r="I41" s="458"/>
      <c r="J41" s="458"/>
      <c r="K41" s="458"/>
      <c r="L41" s="458"/>
      <c r="M41" s="458"/>
      <c r="N41" s="458"/>
      <c r="O41" s="443"/>
      <c r="P41" s="447"/>
      <c r="Q41" s="450">
        <v>70</v>
      </c>
      <c r="R41" s="450">
        <v>1200</v>
      </c>
      <c r="S41" s="450">
        <v>0.6</v>
      </c>
      <c r="T41" s="450">
        <v>1</v>
      </c>
      <c r="U41" s="497"/>
    </row>
    <row r="42" spans="2:21" s="444" customFormat="1" ht="15">
      <c r="B42" s="453" t="s">
        <v>473</v>
      </c>
      <c r="C42" s="443"/>
      <c r="D42" s="453">
        <v>0.30000000000000004</v>
      </c>
      <c r="E42" s="458"/>
      <c r="F42" s="458"/>
      <c r="G42" s="458"/>
      <c r="H42" s="458"/>
      <c r="I42" s="458"/>
      <c r="J42" s="458"/>
      <c r="K42" s="458"/>
      <c r="L42" s="458"/>
      <c r="M42" s="458"/>
      <c r="N42" s="458"/>
      <c r="O42" s="443"/>
      <c r="P42" s="447"/>
      <c r="Q42" s="450">
        <v>70</v>
      </c>
      <c r="R42" s="450">
        <v>1200</v>
      </c>
      <c r="S42" s="450">
        <v>0.8</v>
      </c>
      <c r="T42" s="450">
        <v>1.2</v>
      </c>
      <c r="U42" s="497"/>
    </row>
    <row r="43" spans="2:21" s="444" customFormat="1" ht="15">
      <c r="B43" s="453" t="s">
        <v>474</v>
      </c>
      <c r="C43" s="443"/>
      <c r="D43" s="453">
        <v>4.7499999999999765E-2</v>
      </c>
      <c r="E43" s="458"/>
      <c r="F43" s="458"/>
      <c r="G43" s="458"/>
      <c r="H43" s="458"/>
      <c r="I43" s="458"/>
      <c r="J43" s="458"/>
      <c r="K43" s="458"/>
      <c r="L43" s="458"/>
      <c r="M43" s="458"/>
      <c r="N43" s="458"/>
      <c r="O43" s="443"/>
      <c r="P43" s="447"/>
      <c r="Q43" s="450">
        <v>70</v>
      </c>
      <c r="R43" s="450">
        <v>1200</v>
      </c>
      <c r="S43" s="450">
        <v>1</v>
      </c>
      <c r="T43" s="450">
        <v>1.6</v>
      </c>
      <c r="U43" s="497"/>
    </row>
    <row r="44" spans="2:21" s="444" customFormat="1" ht="15">
      <c r="B44" s="453" t="s">
        <v>475</v>
      </c>
      <c r="C44" s="443"/>
      <c r="D44" s="453">
        <v>-7.4999999999999893E-4</v>
      </c>
      <c r="E44" s="458"/>
      <c r="F44" s="458"/>
      <c r="G44" s="458"/>
      <c r="H44" s="458"/>
      <c r="I44" s="458"/>
      <c r="J44" s="458"/>
      <c r="K44" s="458"/>
      <c r="L44" s="458"/>
      <c r="M44" s="458"/>
      <c r="N44" s="458"/>
      <c r="O44" s="443"/>
      <c r="P44" s="447"/>
      <c r="Q44" s="450">
        <v>70</v>
      </c>
      <c r="R44" s="450">
        <v>1400</v>
      </c>
      <c r="S44" s="450">
        <v>0.2</v>
      </c>
      <c r="T44" s="450">
        <v>0.5</v>
      </c>
      <c r="U44" s="497"/>
    </row>
    <row r="45" spans="2:21" s="444" customFormat="1" ht="15">
      <c r="B45" s="443"/>
      <c r="C45" s="443"/>
      <c r="D45" s="443"/>
      <c r="E45" s="458"/>
      <c r="F45" s="458"/>
      <c r="G45" s="458"/>
      <c r="H45" s="458"/>
      <c r="I45" s="458"/>
      <c r="J45" s="458"/>
      <c r="K45" s="458"/>
      <c r="L45" s="458"/>
      <c r="M45" s="458"/>
      <c r="N45" s="458"/>
      <c r="O45" s="443"/>
      <c r="P45" s="447"/>
      <c r="Q45" s="450">
        <v>70</v>
      </c>
      <c r="R45" s="450">
        <v>1400</v>
      </c>
      <c r="S45" s="450">
        <v>0.4</v>
      </c>
      <c r="T45" s="450">
        <v>0.5</v>
      </c>
      <c r="U45" s="497"/>
    </row>
    <row r="46" spans="2:21" s="444" customFormat="1" ht="15">
      <c r="B46" s="453">
        <v>1</v>
      </c>
      <c r="C46" s="443"/>
      <c r="D46" s="453">
        <v>1</v>
      </c>
      <c r="E46" s="458"/>
      <c r="F46" s="458"/>
      <c r="G46" s="458"/>
      <c r="H46" s="458"/>
      <c r="I46" s="458"/>
      <c r="J46" s="458"/>
      <c r="K46" s="458"/>
      <c r="L46" s="458"/>
      <c r="M46" s="458"/>
      <c r="N46" s="458"/>
      <c r="O46" s="443"/>
      <c r="P46" s="447"/>
      <c r="Q46" s="450">
        <v>70</v>
      </c>
      <c r="R46" s="450">
        <v>1400</v>
      </c>
      <c r="S46" s="450">
        <v>0.6</v>
      </c>
      <c r="T46" s="450">
        <v>1</v>
      </c>
      <c r="U46" s="497"/>
    </row>
    <row r="47" spans="2:21" s="444" customFormat="1" ht="15">
      <c r="B47" s="453" t="s">
        <v>426</v>
      </c>
      <c r="C47" s="443"/>
      <c r="D47" s="453">
        <f>C3</f>
        <v>86.666666666666671</v>
      </c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43"/>
      <c r="P47" s="447"/>
      <c r="Q47" s="450">
        <v>70</v>
      </c>
      <c r="R47" s="450">
        <v>1400</v>
      </c>
      <c r="S47" s="450">
        <v>0.8</v>
      </c>
      <c r="T47" s="450">
        <v>1</v>
      </c>
      <c r="U47" s="497"/>
    </row>
    <row r="48" spans="2:21" s="444" customFormat="1" ht="15">
      <c r="B48" s="453" t="s">
        <v>430</v>
      </c>
      <c r="C48" s="443"/>
      <c r="D48" s="453">
        <f>C4</f>
        <v>327.5335040357329</v>
      </c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43"/>
      <c r="P48" s="447"/>
      <c r="Q48" s="450">
        <v>70</v>
      </c>
      <c r="R48" s="450">
        <v>1400</v>
      </c>
      <c r="S48" s="450">
        <v>1</v>
      </c>
      <c r="T48" s="450">
        <v>1.2</v>
      </c>
      <c r="U48" s="497"/>
    </row>
    <row r="49" spans="2:21" s="444" customFormat="1" ht="15">
      <c r="B49" s="453" t="s">
        <v>390</v>
      </c>
      <c r="C49" s="443" t="s">
        <v>446</v>
      </c>
      <c r="D49" s="453">
        <f>C5</f>
        <v>0.5</v>
      </c>
      <c r="E49" s="458"/>
      <c r="F49" s="458"/>
      <c r="G49" s="458"/>
      <c r="H49" s="458"/>
      <c r="I49" s="458"/>
      <c r="J49" s="458"/>
      <c r="K49" s="458"/>
      <c r="L49" s="458"/>
      <c r="M49" s="458"/>
      <c r="N49" s="458"/>
      <c r="O49" s="443"/>
      <c r="P49" s="447"/>
      <c r="Q49" s="450">
        <v>70</v>
      </c>
      <c r="R49" s="450">
        <v>1600</v>
      </c>
      <c r="S49" s="450">
        <v>0.2</v>
      </c>
      <c r="T49" s="450">
        <v>0.5</v>
      </c>
      <c r="U49" s="497"/>
    </row>
    <row r="50" spans="2:21" s="444" customFormat="1" ht="15">
      <c r="B50" s="453" t="s">
        <v>449</v>
      </c>
      <c r="C50" s="443"/>
      <c r="D50" s="453">
        <f>D47*D48</f>
        <v>28386.237016430186</v>
      </c>
      <c r="E50" s="458"/>
      <c r="F50" s="458"/>
      <c r="G50" s="458"/>
      <c r="H50" s="458"/>
      <c r="I50" s="458"/>
      <c r="J50" s="458"/>
      <c r="K50" s="458"/>
      <c r="L50" s="458"/>
      <c r="M50" s="458"/>
      <c r="N50" s="458"/>
      <c r="O50" s="443"/>
      <c r="P50" s="447"/>
      <c r="Q50" s="450">
        <v>70</v>
      </c>
      <c r="R50" s="450">
        <v>1600</v>
      </c>
      <c r="S50" s="450">
        <v>0.4</v>
      </c>
      <c r="T50" s="450">
        <v>0.5</v>
      </c>
      <c r="U50" s="497"/>
    </row>
    <row r="51" spans="2:21" s="444" customFormat="1" ht="15">
      <c r="B51" s="453" t="s">
        <v>476</v>
      </c>
      <c r="C51" s="443"/>
      <c r="D51" s="453">
        <f>D47*D49</f>
        <v>43.333333333333336</v>
      </c>
      <c r="E51" s="458"/>
      <c r="F51" s="458"/>
      <c r="G51" s="458"/>
      <c r="H51" s="458"/>
      <c r="I51" s="458"/>
      <c r="J51" s="458"/>
      <c r="K51" s="458"/>
      <c r="L51" s="458"/>
      <c r="M51" s="458"/>
      <c r="N51" s="458"/>
      <c r="O51" s="443"/>
      <c r="P51" s="447"/>
      <c r="Q51" s="450">
        <v>70</v>
      </c>
      <c r="R51" s="450">
        <v>1600</v>
      </c>
      <c r="S51" s="450">
        <v>0.6</v>
      </c>
      <c r="T51" s="450">
        <v>0.7</v>
      </c>
      <c r="U51" s="497"/>
    </row>
    <row r="52" spans="2:21" s="444" customFormat="1" ht="15">
      <c r="B52" s="453" t="s">
        <v>477</v>
      </c>
      <c r="C52" s="443"/>
      <c r="D52" s="453">
        <f>D48*D49</f>
        <v>163.76675201786645</v>
      </c>
      <c r="E52" s="458"/>
      <c r="F52" s="458"/>
      <c r="G52" s="458"/>
      <c r="H52" s="458"/>
      <c r="I52" s="458"/>
      <c r="J52" s="458"/>
      <c r="K52" s="458"/>
      <c r="L52" s="458"/>
      <c r="M52" s="458"/>
      <c r="N52" s="458"/>
      <c r="O52" s="443"/>
      <c r="P52" s="447"/>
      <c r="Q52" s="450">
        <v>70</v>
      </c>
      <c r="R52" s="450">
        <v>1600</v>
      </c>
      <c r="S52" s="450">
        <v>0.8</v>
      </c>
      <c r="T52" s="450">
        <v>0.7</v>
      </c>
      <c r="U52" s="497"/>
    </row>
    <row r="53" spans="2:21" s="444" customFormat="1" ht="15">
      <c r="B53" s="453" t="s">
        <v>478</v>
      </c>
      <c r="C53" s="443"/>
      <c r="D53" s="453">
        <f>D47*D48*D49</f>
        <v>14193.118508215093</v>
      </c>
      <c r="E53" s="458"/>
      <c r="F53" s="458"/>
      <c r="G53" s="458"/>
      <c r="H53" s="458"/>
      <c r="I53" s="458"/>
      <c r="J53" s="458"/>
      <c r="K53" s="458"/>
      <c r="L53" s="458"/>
      <c r="M53" s="458"/>
      <c r="N53" s="458"/>
      <c r="O53" s="443"/>
      <c r="P53" s="447"/>
      <c r="Q53" s="450">
        <v>70</v>
      </c>
      <c r="R53" s="450">
        <v>1600</v>
      </c>
      <c r="S53" s="450">
        <v>1</v>
      </c>
      <c r="T53" s="450">
        <v>0.9</v>
      </c>
      <c r="U53" s="497"/>
    </row>
    <row r="54" spans="2:21" s="444" customFormat="1" ht="15">
      <c r="B54" s="443"/>
      <c r="C54" s="443"/>
      <c r="D54" s="443"/>
      <c r="E54" s="458"/>
      <c r="F54" s="458"/>
      <c r="G54" s="458"/>
      <c r="H54" s="458"/>
      <c r="I54" s="458"/>
      <c r="J54" s="458"/>
      <c r="K54" s="458"/>
      <c r="L54" s="458"/>
      <c r="M54" s="458"/>
      <c r="N54" s="458"/>
      <c r="O54" s="443"/>
      <c r="P54" s="447"/>
      <c r="Q54" s="450">
        <v>70</v>
      </c>
      <c r="R54" s="450">
        <v>10000</v>
      </c>
      <c r="S54" s="450">
        <v>0.2</v>
      </c>
      <c r="T54" s="450">
        <v>0.5</v>
      </c>
      <c r="U54" s="497"/>
    </row>
    <row r="55" spans="2:21" s="444" customFormat="1" ht="15">
      <c r="B55" s="445" t="s">
        <v>450</v>
      </c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  <c r="N55" s="445"/>
      <c r="O55" s="443"/>
      <c r="P55" s="447"/>
      <c r="Q55" s="450">
        <v>70</v>
      </c>
      <c r="R55" s="450">
        <v>10000</v>
      </c>
      <c r="S55" s="450">
        <v>0.4</v>
      </c>
      <c r="T55" s="450">
        <v>0.5</v>
      </c>
      <c r="U55" s="497"/>
    </row>
    <row r="56" spans="2:21" s="444" customFormat="1" ht="15">
      <c r="B56" s="443"/>
      <c r="C56" s="443"/>
      <c r="D56" s="443"/>
      <c r="E56" s="458"/>
      <c r="F56" s="458"/>
      <c r="G56" s="458"/>
      <c r="H56" s="458"/>
      <c r="I56" s="458"/>
      <c r="J56" s="458"/>
      <c r="K56" s="458"/>
      <c r="L56" s="458"/>
      <c r="M56" s="458"/>
      <c r="N56" s="458"/>
      <c r="O56" s="443"/>
      <c r="P56" s="447"/>
      <c r="Q56" s="450">
        <v>70</v>
      </c>
      <c r="R56" s="450">
        <v>10000</v>
      </c>
      <c r="S56" s="450">
        <v>0.6</v>
      </c>
      <c r="T56" s="450">
        <v>0.7</v>
      </c>
      <c r="U56" s="497"/>
    </row>
    <row r="57" spans="2:21" s="444" customFormat="1" ht="15">
      <c r="B57" s="443"/>
      <c r="C57" s="443"/>
      <c r="D57" s="443"/>
      <c r="E57" s="458"/>
      <c r="F57" s="458"/>
      <c r="G57" s="458"/>
      <c r="H57" s="458"/>
      <c r="I57" s="458"/>
      <c r="J57" s="458"/>
      <c r="K57" s="458"/>
      <c r="L57" s="458"/>
      <c r="M57" s="458"/>
      <c r="N57" s="458"/>
      <c r="O57" s="443"/>
      <c r="P57" s="447"/>
      <c r="Q57" s="450">
        <v>70</v>
      </c>
      <c r="R57" s="450">
        <v>10000</v>
      </c>
      <c r="S57" s="450">
        <v>0.8</v>
      </c>
      <c r="T57" s="450">
        <v>0.7</v>
      </c>
      <c r="U57" s="497"/>
    </row>
    <row r="58" spans="2:21" s="444" customFormat="1" ht="15">
      <c r="B58" s="443"/>
      <c r="C58" s="443"/>
      <c r="D58" s="443"/>
      <c r="E58" s="458"/>
      <c r="F58" s="458"/>
      <c r="G58" s="458"/>
      <c r="H58" s="458"/>
      <c r="I58" s="458"/>
      <c r="J58" s="458"/>
      <c r="K58" s="458"/>
      <c r="L58" s="458"/>
      <c r="M58" s="458"/>
      <c r="N58" s="458"/>
      <c r="O58" s="443"/>
      <c r="P58" s="447"/>
      <c r="Q58" s="450">
        <v>70</v>
      </c>
      <c r="R58" s="450">
        <v>10000</v>
      </c>
      <c r="S58" s="450">
        <v>1</v>
      </c>
      <c r="T58" s="450">
        <v>0.9</v>
      </c>
      <c r="U58" s="497"/>
    </row>
    <row r="59" spans="2:21" s="444" customFormat="1" ht="15">
      <c r="B59" s="443"/>
      <c r="C59" s="443"/>
      <c r="D59" s="443"/>
      <c r="E59" s="458"/>
      <c r="F59" s="458"/>
      <c r="G59" s="458"/>
      <c r="H59" s="458"/>
      <c r="I59" s="458"/>
      <c r="J59" s="458"/>
      <c r="K59" s="458"/>
      <c r="L59" s="458"/>
      <c r="M59" s="458"/>
      <c r="N59" s="458"/>
      <c r="O59" s="443"/>
      <c r="P59" s="447"/>
      <c r="Q59" s="450">
        <v>80</v>
      </c>
      <c r="R59" s="450">
        <v>0</v>
      </c>
      <c r="S59" s="450">
        <v>0</v>
      </c>
      <c r="T59" s="450">
        <v>0.3</v>
      </c>
      <c r="U59" s="497"/>
    </row>
    <row r="60" spans="2:21" s="444" customFormat="1" ht="15">
      <c r="B60" s="443"/>
      <c r="C60" s="443"/>
      <c r="D60" s="443"/>
      <c r="E60" s="458"/>
      <c r="F60" s="458"/>
      <c r="G60" s="458"/>
      <c r="H60" s="458"/>
      <c r="I60" s="458"/>
      <c r="J60" s="458"/>
      <c r="K60" s="458"/>
      <c r="L60" s="458"/>
      <c r="M60" s="458"/>
      <c r="N60" s="458"/>
      <c r="O60" s="443"/>
      <c r="P60" s="447"/>
      <c r="Q60" s="450">
        <v>80</v>
      </c>
      <c r="R60" s="450">
        <v>0</v>
      </c>
      <c r="S60" s="450">
        <v>0.2</v>
      </c>
      <c r="T60" s="450">
        <v>0.3</v>
      </c>
      <c r="U60" s="497"/>
    </row>
    <row r="61" spans="2:21" s="444" customFormat="1" ht="15">
      <c r="B61" s="443"/>
      <c r="C61" s="443"/>
      <c r="D61" s="443"/>
      <c r="E61" s="458"/>
      <c r="F61" s="458"/>
      <c r="G61" s="458"/>
      <c r="H61" s="458"/>
      <c r="I61" s="458"/>
      <c r="J61" s="458"/>
      <c r="K61" s="458"/>
      <c r="L61" s="458"/>
      <c r="M61" s="458"/>
      <c r="N61" s="458"/>
      <c r="O61" s="443"/>
      <c r="P61" s="447"/>
      <c r="Q61" s="450">
        <v>80</v>
      </c>
      <c r="R61" s="450">
        <v>0</v>
      </c>
      <c r="S61" s="450">
        <v>0.4</v>
      </c>
      <c r="T61" s="450">
        <v>1.1000000000000001</v>
      </c>
      <c r="U61" s="497"/>
    </row>
    <row r="62" spans="2:21" s="444" customFormat="1" ht="15">
      <c r="B62" s="443"/>
      <c r="C62" s="443"/>
      <c r="D62" s="443"/>
      <c r="E62" s="458"/>
      <c r="F62" s="458"/>
      <c r="G62" s="458"/>
      <c r="H62" s="458"/>
      <c r="I62" s="458"/>
      <c r="J62" s="458"/>
      <c r="K62" s="458"/>
      <c r="L62" s="458"/>
      <c r="M62" s="458"/>
      <c r="N62" s="458"/>
      <c r="O62" s="443"/>
      <c r="P62" s="447"/>
      <c r="Q62" s="450">
        <v>80</v>
      </c>
      <c r="R62" s="450">
        <v>0</v>
      </c>
      <c r="S62" s="450">
        <v>0.6</v>
      </c>
      <c r="T62" s="450">
        <v>3.1</v>
      </c>
      <c r="U62" s="497"/>
    </row>
    <row r="63" spans="2:21" s="444" customFormat="1" ht="15">
      <c r="B63" s="443"/>
      <c r="C63" s="443"/>
      <c r="D63" s="443"/>
      <c r="E63" s="458"/>
      <c r="F63" s="458"/>
      <c r="G63" s="458"/>
      <c r="H63" s="458"/>
      <c r="I63" s="458"/>
      <c r="J63" s="458"/>
      <c r="K63" s="458"/>
      <c r="L63" s="458"/>
      <c r="M63" s="458"/>
      <c r="N63" s="458"/>
      <c r="O63" s="443"/>
      <c r="P63" s="447"/>
      <c r="Q63" s="450">
        <v>80</v>
      </c>
      <c r="R63" s="450">
        <v>0</v>
      </c>
      <c r="S63" s="450">
        <v>0.8</v>
      </c>
      <c r="T63" s="450">
        <v>3.9</v>
      </c>
      <c r="U63" s="497"/>
    </row>
    <row r="64" spans="2:21" s="444" customFormat="1" ht="15">
      <c r="B64" s="443"/>
      <c r="C64" s="443"/>
      <c r="D64" s="443"/>
      <c r="E64" s="458"/>
      <c r="F64" s="458"/>
      <c r="G64" s="458"/>
      <c r="H64" s="458"/>
      <c r="I64" s="458"/>
      <c r="J64" s="458"/>
      <c r="K64" s="458"/>
      <c r="L64" s="458"/>
      <c r="M64" s="458"/>
      <c r="N64" s="458"/>
      <c r="O64" s="443"/>
      <c r="P64" s="447"/>
      <c r="Q64" s="450">
        <v>80</v>
      </c>
      <c r="R64" s="450">
        <v>0</v>
      </c>
      <c r="S64" s="450">
        <v>1</v>
      </c>
      <c r="T64" s="450">
        <v>4.0999999999999996</v>
      </c>
      <c r="U64" s="497"/>
    </row>
    <row r="65" spans="16:21" s="444" customFormat="1" ht="15">
      <c r="P65" s="447"/>
      <c r="Q65" s="450">
        <v>80</v>
      </c>
      <c r="R65" s="450">
        <v>100</v>
      </c>
      <c r="S65" s="450">
        <v>0.2</v>
      </c>
      <c r="T65" s="450">
        <v>0.3</v>
      </c>
      <c r="U65" s="497"/>
    </row>
    <row r="66" spans="16:21" s="444" customFormat="1" ht="15">
      <c r="P66" s="447"/>
      <c r="Q66" s="450">
        <v>80</v>
      </c>
      <c r="R66" s="450">
        <v>100</v>
      </c>
      <c r="S66" s="450">
        <v>0.4</v>
      </c>
      <c r="T66" s="450">
        <v>1.1000000000000001</v>
      </c>
      <c r="U66" s="497"/>
    </row>
    <row r="67" spans="16:21" s="444" customFormat="1" ht="15">
      <c r="P67" s="447"/>
      <c r="Q67" s="450">
        <v>80</v>
      </c>
      <c r="R67" s="450">
        <v>100</v>
      </c>
      <c r="S67" s="450">
        <v>0.6</v>
      </c>
      <c r="T67" s="450">
        <v>3.1</v>
      </c>
      <c r="U67" s="497"/>
    </row>
    <row r="68" spans="16:21" s="444" customFormat="1" ht="15">
      <c r="P68" s="447"/>
      <c r="Q68" s="450">
        <v>80</v>
      </c>
      <c r="R68" s="450">
        <v>100</v>
      </c>
      <c r="S68" s="450">
        <v>0.8</v>
      </c>
      <c r="T68" s="450">
        <v>3.9</v>
      </c>
      <c r="U68" s="497"/>
    </row>
    <row r="69" spans="16:21" s="444" customFormat="1" ht="15">
      <c r="P69" s="447"/>
      <c r="Q69" s="450">
        <v>80</v>
      </c>
      <c r="R69" s="450">
        <v>100</v>
      </c>
      <c r="S69" s="450">
        <v>1</v>
      </c>
      <c r="T69" s="450">
        <v>4.0999999999999996</v>
      </c>
      <c r="U69" s="497"/>
    </row>
    <row r="70" spans="16:21" s="444" customFormat="1" ht="15">
      <c r="P70" s="447"/>
      <c r="Q70" s="450">
        <v>80</v>
      </c>
      <c r="R70" s="450">
        <v>200</v>
      </c>
      <c r="S70" s="450">
        <v>0.2</v>
      </c>
      <c r="T70" s="450">
        <v>1.9</v>
      </c>
      <c r="U70" s="497"/>
    </row>
    <row r="71" spans="16:21" s="444" customFormat="1" ht="15">
      <c r="P71" s="447"/>
      <c r="Q71" s="450">
        <v>80</v>
      </c>
      <c r="R71" s="450">
        <v>200</v>
      </c>
      <c r="S71" s="450">
        <v>0.4</v>
      </c>
      <c r="T71" s="450">
        <v>3.2</v>
      </c>
      <c r="U71" s="497"/>
    </row>
    <row r="72" spans="16:21" s="444" customFormat="1" ht="15">
      <c r="P72" s="447"/>
      <c r="Q72" s="450">
        <v>80</v>
      </c>
      <c r="R72" s="450">
        <v>200</v>
      </c>
      <c r="S72" s="450">
        <v>0.6</v>
      </c>
      <c r="T72" s="450">
        <v>5.3</v>
      </c>
      <c r="U72" s="497"/>
    </row>
    <row r="73" spans="16:21" s="444" customFormat="1" ht="15">
      <c r="P73" s="447"/>
      <c r="Q73" s="450">
        <v>80</v>
      </c>
      <c r="R73" s="450">
        <v>200</v>
      </c>
      <c r="S73" s="450">
        <v>0.8</v>
      </c>
      <c r="T73" s="450">
        <v>6.2</v>
      </c>
      <c r="U73" s="497"/>
    </row>
    <row r="74" spans="16:21" s="444" customFormat="1" ht="15">
      <c r="P74" s="447"/>
      <c r="Q74" s="450">
        <v>80</v>
      </c>
      <c r="R74" s="450">
        <v>200</v>
      </c>
      <c r="S74" s="450">
        <v>1</v>
      </c>
      <c r="T74" s="450">
        <v>6.5</v>
      </c>
      <c r="U74" s="497"/>
    </row>
    <row r="75" spans="16:21" s="444" customFormat="1" ht="15">
      <c r="P75" s="447"/>
      <c r="Q75" s="450">
        <v>80</v>
      </c>
      <c r="R75" s="450">
        <v>400</v>
      </c>
      <c r="S75" s="450">
        <v>0.2</v>
      </c>
      <c r="T75" s="450">
        <v>1.8</v>
      </c>
      <c r="U75" s="497"/>
    </row>
    <row r="76" spans="16:21" s="444" customFormat="1" ht="15">
      <c r="P76" s="447"/>
      <c r="Q76" s="450">
        <v>80</v>
      </c>
      <c r="R76" s="450">
        <v>400</v>
      </c>
      <c r="S76" s="450">
        <v>0.4</v>
      </c>
      <c r="T76" s="450">
        <v>2.6</v>
      </c>
      <c r="U76" s="497"/>
    </row>
    <row r="77" spans="16:21" s="444" customFormat="1" ht="15">
      <c r="P77" s="447"/>
      <c r="Q77" s="450">
        <v>80</v>
      </c>
      <c r="R77" s="450">
        <v>400</v>
      </c>
      <c r="S77" s="450">
        <v>0.6</v>
      </c>
      <c r="T77" s="450">
        <v>3.5</v>
      </c>
      <c r="U77" s="497"/>
    </row>
    <row r="78" spans="16:21" s="444" customFormat="1" ht="15">
      <c r="P78" s="447"/>
      <c r="Q78" s="450">
        <v>80</v>
      </c>
      <c r="R78" s="450">
        <v>400</v>
      </c>
      <c r="S78" s="450">
        <v>0.8</v>
      </c>
      <c r="T78" s="450">
        <v>4.2</v>
      </c>
      <c r="U78" s="497"/>
    </row>
    <row r="79" spans="16:21" s="444" customFormat="1" ht="15">
      <c r="P79" s="447"/>
      <c r="Q79" s="450">
        <v>80</v>
      </c>
      <c r="R79" s="450">
        <v>400</v>
      </c>
      <c r="S79" s="450">
        <v>1</v>
      </c>
      <c r="T79" s="450">
        <v>4.4000000000000004</v>
      </c>
      <c r="U79" s="497"/>
    </row>
    <row r="80" spans="16:21" s="444" customFormat="1" ht="15">
      <c r="P80" s="447"/>
      <c r="Q80" s="450">
        <v>80</v>
      </c>
      <c r="R80" s="450">
        <v>600</v>
      </c>
      <c r="S80" s="450">
        <v>0.2</v>
      </c>
      <c r="T80" s="450">
        <v>1</v>
      </c>
      <c r="U80" s="497"/>
    </row>
    <row r="81" spans="16:21" s="444" customFormat="1" ht="15">
      <c r="P81" s="447"/>
      <c r="Q81" s="450">
        <v>80</v>
      </c>
      <c r="R81" s="450">
        <v>600</v>
      </c>
      <c r="S81" s="450">
        <v>0.4</v>
      </c>
      <c r="T81" s="450">
        <v>1.5</v>
      </c>
      <c r="U81" s="497"/>
    </row>
    <row r="82" spans="16:21" s="444" customFormat="1" ht="15">
      <c r="P82" s="447"/>
      <c r="Q82" s="450">
        <v>80</v>
      </c>
      <c r="R82" s="450">
        <v>600</v>
      </c>
      <c r="S82" s="450">
        <v>0.6</v>
      </c>
      <c r="T82" s="450">
        <v>2.2999999999999998</v>
      </c>
      <c r="U82" s="497"/>
    </row>
    <row r="83" spans="16:21" s="444" customFormat="1" ht="15">
      <c r="P83" s="447"/>
      <c r="Q83" s="450">
        <v>80</v>
      </c>
      <c r="R83" s="450">
        <v>600</v>
      </c>
      <c r="S83" s="450">
        <v>0.8</v>
      </c>
      <c r="T83" s="450">
        <v>2.8</v>
      </c>
      <c r="U83" s="497"/>
    </row>
    <row r="84" spans="16:21" s="444" customFormat="1" ht="15">
      <c r="P84" s="447"/>
      <c r="Q84" s="450">
        <v>80</v>
      </c>
      <c r="R84" s="450">
        <v>600</v>
      </c>
      <c r="S84" s="450">
        <v>1</v>
      </c>
      <c r="T84" s="450">
        <v>3</v>
      </c>
      <c r="U84" s="497"/>
    </row>
    <row r="85" spans="16:21" s="444" customFormat="1" ht="15">
      <c r="P85" s="447"/>
      <c r="Q85" s="450">
        <v>80</v>
      </c>
      <c r="R85" s="450">
        <v>800</v>
      </c>
      <c r="S85" s="450">
        <v>0.2</v>
      </c>
      <c r="T85" s="450">
        <v>0.6</v>
      </c>
      <c r="U85" s="497"/>
    </row>
    <row r="86" spans="16:21" s="444" customFormat="1" ht="15">
      <c r="P86" s="447"/>
      <c r="Q86" s="450">
        <v>80</v>
      </c>
      <c r="R86" s="450">
        <v>800</v>
      </c>
      <c r="S86" s="450">
        <v>0.4</v>
      </c>
      <c r="T86" s="450">
        <v>0.9</v>
      </c>
      <c r="U86" s="497"/>
    </row>
    <row r="87" spans="16:21" s="444" customFormat="1" ht="15">
      <c r="P87" s="447"/>
      <c r="Q87" s="450">
        <v>80</v>
      </c>
      <c r="R87" s="450">
        <v>800</v>
      </c>
      <c r="S87" s="450">
        <v>0.6</v>
      </c>
      <c r="T87" s="450">
        <v>1.5</v>
      </c>
      <c r="U87" s="497"/>
    </row>
    <row r="88" spans="16:21" s="444" customFormat="1" ht="15">
      <c r="P88" s="447"/>
      <c r="Q88" s="450">
        <v>80</v>
      </c>
      <c r="R88" s="450">
        <v>800</v>
      </c>
      <c r="S88" s="450">
        <v>0.8</v>
      </c>
      <c r="T88" s="450">
        <v>1.9</v>
      </c>
      <c r="U88" s="497"/>
    </row>
    <row r="89" spans="16:21" s="444" customFormat="1" ht="15">
      <c r="P89" s="447"/>
      <c r="Q89" s="450">
        <v>80</v>
      </c>
      <c r="R89" s="450">
        <v>800</v>
      </c>
      <c r="S89" s="450">
        <v>1</v>
      </c>
      <c r="T89" s="450">
        <v>2.1</v>
      </c>
      <c r="U89" s="497"/>
    </row>
    <row r="90" spans="16:21" s="444" customFormat="1" ht="15">
      <c r="P90" s="447"/>
      <c r="Q90" s="450">
        <v>80</v>
      </c>
      <c r="R90" s="450">
        <v>1000</v>
      </c>
      <c r="S90" s="450">
        <v>0.2</v>
      </c>
      <c r="T90" s="450">
        <v>0.6</v>
      </c>
      <c r="U90" s="497"/>
    </row>
    <row r="91" spans="16:21" s="444" customFormat="1" ht="15">
      <c r="P91" s="447"/>
      <c r="Q91" s="450">
        <v>80</v>
      </c>
      <c r="R91" s="450">
        <v>1000</v>
      </c>
      <c r="S91" s="450">
        <v>0.4</v>
      </c>
      <c r="T91" s="450">
        <v>0.7</v>
      </c>
      <c r="U91" s="497"/>
    </row>
    <row r="92" spans="16:21" s="444" customFormat="1" ht="15">
      <c r="P92" s="447"/>
      <c r="Q92" s="450">
        <v>80</v>
      </c>
      <c r="R92" s="450">
        <v>1000</v>
      </c>
      <c r="S92" s="450">
        <v>0.6</v>
      </c>
      <c r="T92" s="450">
        <v>1.1000000000000001</v>
      </c>
      <c r="U92" s="497"/>
    </row>
    <row r="93" spans="16:21" s="444" customFormat="1" ht="15">
      <c r="P93" s="447"/>
      <c r="Q93" s="450">
        <v>80</v>
      </c>
      <c r="R93" s="450">
        <v>1000</v>
      </c>
      <c r="S93" s="450">
        <v>0.8</v>
      </c>
      <c r="T93" s="450">
        <v>1.4</v>
      </c>
      <c r="U93" s="497"/>
    </row>
    <row r="94" spans="16:21" s="444" customFormat="1" ht="15">
      <c r="P94" s="447"/>
      <c r="Q94" s="450">
        <v>80</v>
      </c>
      <c r="R94" s="450">
        <v>1000</v>
      </c>
      <c r="S94" s="450">
        <v>1</v>
      </c>
      <c r="T94" s="450">
        <v>1.9</v>
      </c>
      <c r="U94" s="497"/>
    </row>
    <row r="95" spans="16:21" s="444" customFormat="1" ht="15">
      <c r="P95" s="447"/>
      <c r="Q95" s="450">
        <v>80</v>
      </c>
      <c r="R95" s="450">
        <v>1200</v>
      </c>
      <c r="S95" s="450">
        <v>0.2</v>
      </c>
      <c r="T95" s="450">
        <v>0.6</v>
      </c>
      <c r="U95" s="497"/>
    </row>
    <row r="96" spans="16:21" s="444" customFormat="1" ht="15">
      <c r="P96" s="447"/>
      <c r="Q96" s="450">
        <v>80</v>
      </c>
      <c r="R96" s="450">
        <v>1200</v>
      </c>
      <c r="S96" s="450">
        <v>0.4</v>
      </c>
      <c r="T96" s="450">
        <v>0.7</v>
      </c>
      <c r="U96" s="497"/>
    </row>
    <row r="97" spans="16:21" s="444" customFormat="1" ht="15">
      <c r="P97" s="447"/>
      <c r="Q97" s="450">
        <v>80</v>
      </c>
      <c r="R97" s="450">
        <v>1200</v>
      </c>
      <c r="S97" s="450">
        <v>0.6</v>
      </c>
      <c r="T97" s="450">
        <v>1.1000000000000001</v>
      </c>
      <c r="U97" s="497"/>
    </row>
    <row r="98" spans="16:21" s="444" customFormat="1" ht="15">
      <c r="P98" s="447"/>
      <c r="Q98" s="450">
        <v>80</v>
      </c>
      <c r="R98" s="450">
        <v>1200</v>
      </c>
      <c r="S98" s="450">
        <v>0.8</v>
      </c>
      <c r="T98" s="450">
        <v>1.3</v>
      </c>
      <c r="U98" s="497"/>
    </row>
    <row r="99" spans="16:21" s="444" customFormat="1" ht="15">
      <c r="P99" s="447"/>
      <c r="Q99" s="450">
        <v>80</v>
      </c>
      <c r="R99" s="450">
        <v>1200</v>
      </c>
      <c r="S99" s="450">
        <v>1</v>
      </c>
      <c r="T99" s="450">
        <v>1.6</v>
      </c>
      <c r="U99" s="497"/>
    </row>
    <row r="100" spans="16:21" s="444" customFormat="1" ht="15">
      <c r="P100" s="447"/>
      <c r="Q100" s="450">
        <v>80</v>
      </c>
      <c r="R100" s="450">
        <v>1400</v>
      </c>
      <c r="S100" s="450">
        <v>0.2</v>
      </c>
      <c r="T100" s="450">
        <v>0.6</v>
      </c>
      <c r="U100" s="497"/>
    </row>
    <row r="101" spans="16:21" s="444" customFormat="1" ht="15">
      <c r="P101" s="447"/>
      <c r="Q101" s="450">
        <v>80</v>
      </c>
      <c r="R101" s="450">
        <v>1400</v>
      </c>
      <c r="S101" s="450">
        <v>0.4</v>
      </c>
      <c r="T101" s="450">
        <v>0.7</v>
      </c>
      <c r="U101" s="497"/>
    </row>
    <row r="102" spans="16:21" s="444" customFormat="1" ht="15">
      <c r="P102" s="447"/>
      <c r="Q102" s="450">
        <v>80</v>
      </c>
      <c r="R102" s="450">
        <v>1400</v>
      </c>
      <c r="S102" s="450">
        <v>0.6</v>
      </c>
      <c r="T102" s="450">
        <v>1</v>
      </c>
      <c r="U102" s="497"/>
    </row>
    <row r="103" spans="16:21" s="444" customFormat="1" ht="15">
      <c r="P103" s="447"/>
      <c r="Q103" s="450">
        <v>80</v>
      </c>
      <c r="R103" s="450">
        <v>1400</v>
      </c>
      <c r="S103" s="450">
        <v>0.8</v>
      </c>
      <c r="T103" s="450">
        <v>1.1000000000000001</v>
      </c>
      <c r="U103" s="497"/>
    </row>
    <row r="104" spans="16:21" s="444" customFormat="1" ht="15">
      <c r="P104" s="447"/>
      <c r="Q104" s="450">
        <v>80</v>
      </c>
      <c r="R104" s="450">
        <v>1400</v>
      </c>
      <c r="S104" s="450">
        <v>1</v>
      </c>
      <c r="T104" s="450">
        <v>1.3</v>
      </c>
      <c r="U104" s="497"/>
    </row>
    <row r="105" spans="16:21" s="444" customFormat="1" ht="15">
      <c r="P105" s="447"/>
      <c r="Q105" s="450">
        <v>80</v>
      </c>
      <c r="R105" s="450">
        <v>1600</v>
      </c>
      <c r="S105" s="450">
        <v>0.2</v>
      </c>
      <c r="T105" s="450">
        <v>0.6</v>
      </c>
      <c r="U105" s="497"/>
    </row>
    <row r="106" spans="16:21" s="444" customFormat="1" ht="15">
      <c r="P106" s="447"/>
      <c r="Q106" s="450">
        <v>80</v>
      </c>
      <c r="R106" s="450">
        <v>1600</v>
      </c>
      <c r="S106" s="450">
        <v>0.4</v>
      </c>
      <c r="T106" s="450">
        <v>0.7</v>
      </c>
      <c r="U106" s="497"/>
    </row>
    <row r="107" spans="16:21" s="444" customFormat="1" ht="15">
      <c r="P107" s="447"/>
      <c r="Q107" s="450">
        <v>80</v>
      </c>
      <c r="R107" s="450">
        <v>1600</v>
      </c>
      <c r="S107" s="450">
        <v>0.6</v>
      </c>
      <c r="T107" s="450">
        <v>0.9</v>
      </c>
      <c r="U107" s="497"/>
    </row>
    <row r="108" spans="16:21" s="444" customFormat="1" ht="15">
      <c r="P108" s="447"/>
      <c r="Q108" s="450">
        <v>80</v>
      </c>
      <c r="R108" s="450">
        <v>1600</v>
      </c>
      <c r="S108" s="450">
        <v>0.8</v>
      </c>
      <c r="T108" s="450">
        <v>0.8</v>
      </c>
      <c r="U108" s="497"/>
    </row>
    <row r="109" spans="16:21" s="444" customFormat="1" ht="15">
      <c r="P109" s="447"/>
      <c r="Q109" s="450">
        <v>80</v>
      </c>
      <c r="R109" s="450">
        <v>1600</v>
      </c>
      <c r="S109" s="450">
        <v>1</v>
      </c>
      <c r="T109" s="450">
        <v>1</v>
      </c>
      <c r="U109" s="497"/>
    </row>
    <row r="110" spans="16:21" s="444" customFormat="1" ht="15">
      <c r="P110" s="447"/>
      <c r="Q110" s="450">
        <v>80</v>
      </c>
      <c r="R110" s="450">
        <v>10000</v>
      </c>
      <c r="S110" s="450">
        <v>0.2</v>
      </c>
      <c r="T110" s="450">
        <v>0.6</v>
      </c>
      <c r="U110" s="497"/>
    </row>
    <row r="111" spans="16:21" s="444" customFormat="1" ht="15">
      <c r="P111" s="447"/>
      <c r="Q111" s="450">
        <v>80</v>
      </c>
      <c r="R111" s="450">
        <v>10000</v>
      </c>
      <c r="S111" s="450">
        <v>0.4</v>
      </c>
      <c r="T111" s="450">
        <v>0.7</v>
      </c>
      <c r="U111" s="497"/>
    </row>
    <row r="112" spans="16:21" s="444" customFormat="1" ht="15">
      <c r="P112" s="447"/>
      <c r="Q112" s="450">
        <v>80</v>
      </c>
      <c r="R112" s="450">
        <v>10000</v>
      </c>
      <c r="S112" s="450">
        <v>0.6</v>
      </c>
      <c r="T112" s="450">
        <v>0.9</v>
      </c>
      <c r="U112" s="497"/>
    </row>
    <row r="113" spans="16:21" s="444" customFormat="1" ht="15">
      <c r="P113" s="447"/>
      <c r="Q113" s="450">
        <v>80</v>
      </c>
      <c r="R113" s="450">
        <v>10000</v>
      </c>
      <c r="S113" s="450">
        <v>0.8</v>
      </c>
      <c r="T113" s="450">
        <v>0.8</v>
      </c>
      <c r="U113" s="497"/>
    </row>
    <row r="114" spans="16:21" s="444" customFormat="1" ht="15">
      <c r="P114" s="447"/>
      <c r="Q114" s="450">
        <v>80</v>
      </c>
      <c r="R114" s="450">
        <v>10000</v>
      </c>
      <c r="S114" s="450">
        <v>1</v>
      </c>
      <c r="T114" s="450">
        <v>1</v>
      </c>
      <c r="U114" s="497"/>
    </row>
    <row r="115" spans="16:21" s="444" customFormat="1" ht="15">
      <c r="P115" s="447"/>
      <c r="Q115" s="450">
        <v>90</v>
      </c>
      <c r="R115" s="450">
        <v>0</v>
      </c>
      <c r="S115" s="450">
        <v>0</v>
      </c>
      <c r="T115" s="450">
        <v>0.8</v>
      </c>
      <c r="U115" s="497"/>
    </row>
    <row r="116" spans="16:21" s="444" customFormat="1" ht="15">
      <c r="P116" s="447"/>
      <c r="Q116" s="450">
        <v>90</v>
      </c>
      <c r="R116" s="450">
        <v>0</v>
      </c>
      <c r="S116" s="450">
        <v>0.2</v>
      </c>
      <c r="T116" s="450">
        <v>0.8</v>
      </c>
      <c r="U116" s="497"/>
    </row>
    <row r="117" spans="16:21" s="444" customFormat="1" ht="15">
      <c r="P117" s="447"/>
      <c r="Q117" s="450">
        <v>90</v>
      </c>
      <c r="R117" s="450">
        <v>0</v>
      </c>
      <c r="S117" s="450">
        <v>0.4</v>
      </c>
      <c r="T117" s="450">
        <v>1.9</v>
      </c>
      <c r="U117" s="497"/>
    </row>
    <row r="118" spans="16:21" s="444" customFormat="1" ht="15">
      <c r="P118" s="447"/>
      <c r="Q118" s="450">
        <v>90</v>
      </c>
      <c r="R118" s="450">
        <v>0</v>
      </c>
      <c r="S118" s="450">
        <v>0.6</v>
      </c>
      <c r="T118" s="450">
        <v>3.6</v>
      </c>
      <c r="U118" s="497"/>
    </row>
    <row r="119" spans="16:21" s="444" customFormat="1" ht="15">
      <c r="P119" s="447"/>
      <c r="Q119" s="450">
        <v>90</v>
      </c>
      <c r="R119" s="450">
        <v>0</v>
      </c>
      <c r="S119" s="450">
        <v>0.8</v>
      </c>
      <c r="T119" s="450">
        <v>4.2</v>
      </c>
      <c r="U119" s="497"/>
    </row>
    <row r="120" spans="16:21" s="444" customFormat="1" ht="15">
      <c r="P120" s="447"/>
      <c r="Q120" s="450">
        <v>90</v>
      </c>
      <c r="R120" s="450">
        <v>0</v>
      </c>
      <c r="S120" s="450">
        <v>1</v>
      </c>
      <c r="T120" s="450">
        <v>4.4000000000000004</v>
      </c>
      <c r="U120" s="497"/>
    </row>
    <row r="121" spans="16:21" s="444" customFormat="1" ht="15">
      <c r="P121" s="447"/>
      <c r="Q121" s="450">
        <v>90</v>
      </c>
      <c r="R121" s="450">
        <v>100</v>
      </c>
      <c r="S121" s="450">
        <v>0.2</v>
      </c>
      <c r="T121" s="450">
        <v>0.8</v>
      </c>
      <c r="U121" s="497"/>
    </row>
    <row r="122" spans="16:21" s="444" customFormat="1" ht="15">
      <c r="P122" s="447"/>
      <c r="Q122" s="450">
        <v>90</v>
      </c>
      <c r="R122" s="450">
        <v>100</v>
      </c>
      <c r="S122" s="450">
        <v>0.4</v>
      </c>
      <c r="T122" s="450">
        <v>1.9</v>
      </c>
      <c r="U122" s="497"/>
    </row>
    <row r="123" spans="16:21" s="444" customFormat="1" ht="15">
      <c r="P123" s="447"/>
      <c r="Q123" s="450">
        <v>90</v>
      </c>
      <c r="R123" s="450">
        <v>100</v>
      </c>
      <c r="S123" s="450">
        <v>0.6</v>
      </c>
      <c r="T123" s="450">
        <v>3.6</v>
      </c>
      <c r="U123" s="497"/>
    </row>
    <row r="124" spans="16:21" s="444" customFormat="1" ht="15">
      <c r="P124" s="447"/>
      <c r="Q124" s="450">
        <v>90</v>
      </c>
      <c r="R124" s="450">
        <v>100</v>
      </c>
      <c r="S124" s="450">
        <v>0.8</v>
      </c>
      <c r="T124" s="450">
        <v>4.2</v>
      </c>
      <c r="U124" s="497"/>
    </row>
    <row r="125" spans="16:21" s="444" customFormat="1" ht="15">
      <c r="P125" s="447"/>
      <c r="Q125" s="450">
        <v>90</v>
      </c>
      <c r="R125" s="450">
        <v>100</v>
      </c>
      <c r="S125" s="450">
        <v>1</v>
      </c>
      <c r="T125" s="450">
        <v>4.4000000000000004</v>
      </c>
      <c r="U125" s="497"/>
    </row>
    <row r="126" spans="16:21" s="444" customFormat="1" ht="15">
      <c r="P126" s="447"/>
      <c r="Q126" s="450">
        <v>90</v>
      </c>
      <c r="R126" s="450">
        <v>200</v>
      </c>
      <c r="S126" s="450">
        <v>0.2</v>
      </c>
      <c r="T126" s="450">
        <v>2.4</v>
      </c>
      <c r="U126" s="497"/>
    </row>
    <row r="127" spans="16:21" s="444" customFormat="1" ht="15">
      <c r="P127" s="447"/>
      <c r="Q127" s="450">
        <v>90</v>
      </c>
      <c r="R127" s="450">
        <v>200</v>
      </c>
      <c r="S127" s="450">
        <v>0.4</v>
      </c>
      <c r="T127" s="450">
        <v>3.9</v>
      </c>
      <c r="U127" s="497"/>
    </row>
    <row r="128" spans="16:21" s="444" customFormat="1" ht="15">
      <c r="P128" s="447"/>
      <c r="Q128" s="450">
        <v>90</v>
      </c>
      <c r="R128" s="450">
        <v>200</v>
      </c>
      <c r="S128" s="450">
        <v>0.6</v>
      </c>
      <c r="T128" s="450">
        <v>5.6</v>
      </c>
      <c r="U128" s="497"/>
    </row>
    <row r="129" spans="16:21" s="444" customFormat="1" ht="15">
      <c r="P129" s="447"/>
      <c r="Q129" s="450">
        <v>90</v>
      </c>
      <c r="R129" s="450">
        <v>200</v>
      </c>
      <c r="S129" s="450">
        <v>0.8</v>
      </c>
      <c r="T129" s="450">
        <v>6.3</v>
      </c>
      <c r="U129" s="497"/>
    </row>
    <row r="130" spans="16:21" s="444" customFormat="1" ht="15">
      <c r="P130" s="447"/>
      <c r="Q130" s="450">
        <v>90</v>
      </c>
      <c r="R130" s="450">
        <v>200</v>
      </c>
      <c r="S130" s="450">
        <v>1</v>
      </c>
      <c r="T130" s="450">
        <v>6.6</v>
      </c>
      <c r="U130" s="497"/>
    </row>
    <row r="131" spans="16:21" s="444" customFormat="1" ht="15">
      <c r="P131" s="447"/>
      <c r="Q131" s="450">
        <v>90</v>
      </c>
      <c r="R131" s="450">
        <v>400</v>
      </c>
      <c r="S131" s="450">
        <v>0.2</v>
      </c>
      <c r="T131" s="450">
        <v>2.1</v>
      </c>
      <c r="U131" s="497"/>
    </row>
    <row r="132" spans="16:21" s="444" customFormat="1" ht="15">
      <c r="P132" s="447"/>
      <c r="Q132" s="450">
        <v>90</v>
      </c>
      <c r="R132" s="450">
        <v>400</v>
      </c>
      <c r="S132" s="450">
        <v>0.4</v>
      </c>
      <c r="T132" s="450">
        <v>3</v>
      </c>
      <c r="U132" s="497"/>
    </row>
    <row r="133" spans="16:21" s="444" customFormat="1" ht="15">
      <c r="P133" s="447"/>
      <c r="Q133" s="450">
        <v>90</v>
      </c>
      <c r="R133" s="450">
        <v>400</v>
      </c>
      <c r="S133" s="450">
        <v>0.6</v>
      </c>
      <c r="T133" s="450">
        <v>3.9</v>
      </c>
      <c r="U133" s="497"/>
    </row>
    <row r="134" spans="16:21" s="444" customFormat="1" ht="15">
      <c r="P134" s="447"/>
      <c r="Q134" s="450">
        <v>90</v>
      </c>
      <c r="R134" s="450">
        <v>400</v>
      </c>
      <c r="S134" s="450">
        <v>0.8</v>
      </c>
      <c r="T134" s="450">
        <v>4.3</v>
      </c>
      <c r="U134" s="497"/>
    </row>
    <row r="135" spans="16:21" s="444" customFormat="1" ht="15">
      <c r="P135" s="447"/>
      <c r="Q135" s="450">
        <v>90</v>
      </c>
      <c r="R135" s="450">
        <v>400</v>
      </c>
      <c r="S135" s="450">
        <v>1</v>
      </c>
      <c r="T135" s="450">
        <v>4.5</v>
      </c>
      <c r="U135" s="497"/>
    </row>
    <row r="136" spans="16:21" s="444" customFormat="1" ht="15">
      <c r="P136" s="447"/>
      <c r="Q136" s="450">
        <v>90</v>
      </c>
      <c r="R136" s="450">
        <v>600</v>
      </c>
      <c r="S136" s="450">
        <v>0.2</v>
      </c>
      <c r="T136" s="450">
        <v>1.4</v>
      </c>
      <c r="U136" s="497"/>
    </row>
    <row r="137" spans="16:21" s="444" customFormat="1" ht="15">
      <c r="P137" s="447"/>
      <c r="Q137" s="450">
        <v>90</v>
      </c>
      <c r="R137" s="450">
        <v>600</v>
      </c>
      <c r="S137" s="450">
        <v>0.4</v>
      </c>
      <c r="T137" s="450">
        <v>1.8</v>
      </c>
      <c r="U137" s="497"/>
    </row>
    <row r="138" spans="16:21" s="444" customFormat="1" ht="15">
      <c r="P138" s="447"/>
      <c r="Q138" s="450">
        <v>90</v>
      </c>
      <c r="R138" s="450">
        <v>600</v>
      </c>
      <c r="S138" s="450">
        <v>0.6</v>
      </c>
      <c r="T138" s="450">
        <v>2.5</v>
      </c>
      <c r="U138" s="497"/>
    </row>
    <row r="139" spans="16:21" s="444" customFormat="1" ht="15">
      <c r="P139" s="447"/>
      <c r="Q139" s="450">
        <v>90</v>
      </c>
      <c r="R139" s="450">
        <v>600</v>
      </c>
      <c r="S139" s="450">
        <v>0.8</v>
      </c>
      <c r="T139" s="450">
        <v>2.9</v>
      </c>
      <c r="U139" s="497"/>
    </row>
    <row r="140" spans="16:21" s="444" customFormat="1" ht="15">
      <c r="P140" s="447"/>
      <c r="Q140" s="450">
        <v>90</v>
      </c>
      <c r="R140" s="450">
        <v>600</v>
      </c>
      <c r="S140" s="450">
        <v>1</v>
      </c>
      <c r="T140" s="450">
        <v>3.1</v>
      </c>
      <c r="U140" s="497"/>
    </row>
    <row r="141" spans="16:21" s="444" customFormat="1" ht="15">
      <c r="P141" s="447"/>
      <c r="Q141" s="450">
        <v>90</v>
      </c>
      <c r="R141" s="450">
        <v>800</v>
      </c>
      <c r="S141" s="450">
        <v>0.2</v>
      </c>
      <c r="T141" s="450">
        <v>0.8</v>
      </c>
      <c r="U141" s="497"/>
    </row>
    <row r="142" spans="16:21" s="444" customFormat="1" ht="15">
      <c r="P142" s="447"/>
      <c r="Q142" s="450">
        <v>90</v>
      </c>
      <c r="R142" s="450">
        <v>800</v>
      </c>
      <c r="S142" s="450">
        <v>0.4</v>
      </c>
      <c r="T142" s="450">
        <v>1.1000000000000001</v>
      </c>
      <c r="U142" s="497"/>
    </row>
    <row r="143" spans="16:21" s="444" customFormat="1" ht="15">
      <c r="P143" s="447"/>
      <c r="Q143" s="450">
        <v>90</v>
      </c>
      <c r="R143" s="450">
        <v>800</v>
      </c>
      <c r="S143" s="450">
        <v>0.6</v>
      </c>
      <c r="T143" s="450">
        <v>1.7</v>
      </c>
      <c r="U143" s="497"/>
    </row>
    <row r="144" spans="16:21" s="444" customFormat="1" ht="15">
      <c r="P144" s="447"/>
      <c r="Q144" s="450">
        <v>90</v>
      </c>
      <c r="R144" s="450">
        <v>800</v>
      </c>
      <c r="S144" s="450">
        <v>0.8</v>
      </c>
      <c r="T144" s="450">
        <v>2</v>
      </c>
      <c r="U144" s="497"/>
    </row>
    <row r="145" spans="16:21" s="444" customFormat="1" ht="15">
      <c r="P145" s="447"/>
      <c r="Q145" s="450">
        <v>90</v>
      </c>
      <c r="R145" s="450">
        <v>800</v>
      </c>
      <c r="S145" s="450">
        <v>1</v>
      </c>
      <c r="T145" s="450">
        <v>2.2000000000000002</v>
      </c>
      <c r="U145" s="497"/>
    </row>
    <row r="146" spans="16:21" s="444" customFormat="1" ht="15">
      <c r="P146" s="447"/>
      <c r="Q146" s="450">
        <v>90</v>
      </c>
      <c r="R146" s="450">
        <v>1000</v>
      </c>
      <c r="S146" s="450">
        <v>0.2</v>
      </c>
      <c r="T146" s="450">
        <v>0.8</v>
      </c>
      <c r="U146" s="497"/>
    </row>
    <row r="147" spans="16:21" s="444" customFormat="1" ht="15">
      <c r="P147" s="447"/>
      <c r="Q147" s="450">
        <v>90</v>
      </c>
      <c r="R147" s="450">
        <v>1000</v>
      </c>
      <c r="S147" s="450">
        <v>0.4</v>
      </c>
      <c r="T147" s="450">
        <v>0.9</v>
      </c>
      <c r="U147" s="497"/>
    </row>
    <row r="148" spans="16:21" s="444" customFormat="1" ht="15">
      <c r="P148" s="447"/>
      <c r="Q148" s="450">
        <v>90</v>
      </c>
      <c r="R148" s="450">
        <v>1000</v>
      </c>
      <c r="S148" s="450">
        <v>0.6</v>
      </c>
      <c r="T148" s="450">
        <v>1.3</v>
      </c>
      <c r="U148" s="497"/>
    </row>
    <row r="149" spans="16:21" s="444" customFormat="1" ht="15">
      <c r="P149" s="447"/>
      <c r="Q149" s="450">
        <v>90</v>
      </c>
      <c r="R149" s="450">
        <v>1000</v>
      </c>
      <c r="S149" s="450">
        <v>0.8</v>
      </c>
      <c r="T149" s="450">
        <v>1.5</v>
      </c>
      <c r="U149" s="497"/>
    </row>
    <row r="150" spans="16:21" s="444" customFormat="1" ht="15">
      <c r="P150" s="447"/>
      <c r="Q150" s="450">
        <v>90</v>
      </c>
      <c r="R150" s="450">
        <v>1000</v>
      </c>
      <c r="S150" s="450">
        <v>1</v>
      </c>
      <c r="T150" s="450">
        <v>1.8</v>
      </c>
      <c r="U150" s="497"/>
    </row>
    <row r="151" spans="16:21" s="444" customFormat="1" ht="15">
      <c r="P151" s="447"/>
      <c r="Q151" s="450">
        <v>90</v>
      </c>
      <c r="R151" s="450">
        <v>1200</v>
      </c>
      <c r="S151" s="450">
        <v>0.2</v>
      </c>
      <c r="T151" s="450">
        <v>0.8</v>
      </c>
      <c r="U151" s="497"/>
    </row>
    <row r="152" spans="16:21" s="444" customFormat="1" ht="15">
      <c r="P152" s="447"/>
      <c r="Q152" s="450">
        <v>90</v>
      </c>
      <c r="R152" s="450">
        <v>1200</v>
      </c>
      <c r="S152" s="450">
        <v>0.4</v>
      </c>
      <c r="T152" s="450">
        <v>0.9</v>
      </c>
      <c r="U152" s="497"/>
    </row>
    <row r="153" spans="16:21" s="444" customFormat="1" ht="15">
      <c r="P153" s="447"/>
      <c r="Q153" s="450">
        <v>90</v>
      </c>
      <c r="R153" s="450">
        <v>1200</v>
      </c>
      <c r="S153" s="450">
        <v>0.6</v>
      </c>
      <c r="T153" s="450">
        <v>1.2</v>
      </c>
      <c r="U153" s="497"/>
    </row>
    <row r="154" spans="16:21" s="444" customFormat="1" ht="15">
      <c r="P154" s="447"/>
      <c r="Q154" s="450">
        <v>90</v>
      </c>
      <c r="R154" s="450">
        <v>1200</v>
      </c>
      <c r="S154" s="450">
        <v>0.8</v>
      </c>
      <c r="T154" s="450">
        <v>1.4</v>
      </c>
      <c r="U154" s="497"/>
    </row>
    <row r="155" spans="16:21" s="444" customFormat="1" ht="15">
      <c r="P155" s="447"/>
      <c r="Q155" s="450">
        <v>90</v>
      </c>
      <c r="R155" s="450">
        <v>1200</v>
      </c>
      <c r="S155" s="450">
        <v>1</v>
      </c>
      <c r="T155" s="450">
        <v>1.6</v>
      </c>
      <c r="U155" s="497"/>
    </row>
    <row r="156" spans="16:21" s="444" customFormat="1" ht="15">
      <c r="P156" s="447"/>
      <c r="Q156" s="450">
        <v>90</v>
      </c>
      <c r="R156" s="450">
        <v>1400</v>
      </c>
      <c r="S156" s="450">
        <v>0.2</v>
      </c>
      <c r="T156" s="450">
        <v>0.8</v>
      </c>
      <c r="U156" s="497"/>
    </row>
    <row r="157" spans="16:21" s="444" customFormat="1" ht="15">
      <c r="P157" s="447"/>
      <c r="Q157" s="450">
        <v>90</v>
      </c>
      <c r="R157" s="450">
        <v>1400</v>
      </c>
      <c r="S157" s="450">
        <v>0.4</v>
      </c>
      <c r="T157" s="450">
        <v>0.9</v>
      </c>
      <c r="U157" s="497"/>
    </row>
    <row r="158" spans="16:21" s="444" customFormat="1" ht="15">
      <c r="P158" s="447"/>
      <c r="Q158" s="450">
        <v>90</v>
      </c>
      <c r="R158" s="450">
        <v>1400</v>
      </c>
      <c r="S158" s="450">
        <v>0.6</v>
      </c>
      <c r="T158" s="450">
        <v>1.1000000000000001</v>
      </c>
      <c r="U158" s="497"/>
    </row>
    <row r="159" spans="16:21" s="444" customFormat="1" ht="15">
      <c r="P159" s="447"/>
      <c r="Q159" s="450">
        <v>90</v>
      </c>
      <c r="R159" s="450">
        <v>1400</v>
      </c>
      <c r="S159" s="450">
        <v>0.8</v>
      </c>
      <c r="T159" s="450">
        <v>1.2</v>
      </c>
      <c r="U159" s="497"/>
    </row>
    <row r="160" spans="16:21" s="444" customFormat="1" ht="15">
      <c r="P160" s="447"/>
      <c r="Q160" s="450">
        <v>90</v>
      </c>
      <c r="R160" s="450">
        <v>1400</v>
      </c>
      <c r="S160" s="450">
        <v>1</v>
      </c>
      <c r="T160" s="450">
        <v>1.4</v>
      </c>
      <c r="U160" s="497"/>
    </row>
    <row r="161" spans="16:21" s="444" customFormat="1" ht="15">
      <c r="P161" s="447"/>
      <c r="Q161" s="450">
        <v>90</v>
      </c>
      <c r="R161" s="450">
        <v>1600</v>
      </c>
      <c r="S161" s="450">
        <v>0.2</v>
      </c>
      <c r="T161" s="450">
        <v>0.8</v>
      </c>
      <c r="U161" s="497"/>
    </row>
    <row r="162" spans="16:21" s="444" customFormat="1" ht="15">
      <c r="P162" s="447"/>
      <c r="Q162" s="450">
        <v>90</v>
      </c>
      <c r="R162" s="450">
        <v>1600</v>
      </c>
      <c r="S162" s="450">
        <v>0.4</v>
      </c>
      <c r="T162" s="450">
        <v>0.8</v>
      </c>
      <c r="U162" s="497"/>
    </row>
    <row r="163" spans="16:21" s="444" customFormat="1" ht="15">
      <c r="P163" s="447"/>
      <c r="Q163" s="450">
        <v>90</v>
      </c>
      <c r="R163" s="450">
        <v>1600</v>
      </c>
      <c r="S163" s="450">
        <v>0.6</v>
      </c>
      <c r="T163" s="450">
        <v>0.9</v>
      </c>
      <c r="U163" s="497"/>
    </row>
    <row r="164" spans="16:21" s="444" customFormat="1" ht="15">
      <c r="P164" s="447"/>
      <c r="Q164" s="450">
        <v>90</v>
      </c>
      <c r="R164" s="450">
        <v>1600</v>
      </c>
      <c r="S164" s="450">
        <v>0.8</v>
      </c>
      <c r="T164" s="450">
        <v>0.9</v>
      </c>
      <c r="U164" s="497"/>
    </row>
    <row r="165" spans="16:21" s="444" customFormat="1" ht="15">
      <c r="P165" s="447"/>
      <c r="Q165" s="450">
        <v>90</v>
      </c>
      <c r="R165" s="450">
        <v>1600</v>
      </c>
      <c r="S165" s="450">
        <v>1</v>
      </c>
      <c r="T165" s="450">
        <v>1.1000000000000001</v>
      </c>
      <c r="U165" s="497"/>
    </row>
    <row r="166" spans="16:21" s="444" customFormat="1" ht="15">
      <c r="P166" s="447"/>
      <c r="Q166" s="450">
        <v>90</v>
      </c>
      <c r="R166" s="450">
        <v>10000</v>
      </c>
      <c r="S166" s="450">
        <v>0.2</v>
      </c>
      <c r="T166" s="450">
        <v>0.8</v>
      </c>
      <c r="U166" s="497"/>
    </row>
    <row r="167" spans="16:21" s="444" customFormat="1" ht="15">
      <c r="P167" s="447"/>
      <c r="Q167" s="450">
        <v>90</v>
      </c>
      <c r="R167" s="450">
        <v>10000</v>
      </c>
      <c r="S167" s="450">
        <v>0.4</v>
      </c>
      <c r="T167" s="450">
        <v>0.8</v>
      </c>
      <c r="U167" s="497"/>
    </row>
    <row r="168" spans="16:21" s="444" customFormat="1" ht="15">
      <c r="P168" s="447"/>
      <c r="Q168" s="450">
        <v>90</v>
      </c>
      <c r="R168" s="450">
        <v>10000</v>
      </c>
      <c r="S168" s="450">
        <v>0.6</v>
      </c>
      <c r="T168" s="450">
        <v>0.9</v>
      </c>
      <c r="U168" s="497"/>
    </row>
    <row r="169" spans="16:21" s="444" customFormat="1" ht="15">
      <c r="P169" s="447"/>
      <c r="Q169" s="450">
        <v>90</v>
      </c>
      <c r="R169" s="450">
        <v>10000</v>
      </c>
      <c r="S169" s="450">
        <v>0.8</v>
      </c>
      <c r="T169" s="450">
        <v>0.9</v>
      </c>
      <c r="U169" s="497"/>
    </row>
    <row r="170" spans="16:21" s="444" customFormat="1" ht="15">
      <c r="P170" s="447"/>
      <c r="Q170" s="450">
        <v>90</v>
      </c>
      <c r="R170" s="450">
        <v>10000</v>
      </c>
      <c r="S170" s="450">
        <v>1</v>
      </c>
      <c r="T170" s="450">
        <v>1.1000000000000001</v>
      </c>
      <c r="U170" s="497"/>
    </row>
    <row r="171" spans="16:21" s="444" customFormat="1" ht="15">
      <c r="P171" s="447"/>
      <c r="Q171" s="450">
        <v>100</v>
      </c>
      <c r="R171" s="450">
        <v>0</v>
      </c>
      <c r="S171" s="450">
        <v>0</v>
      </c>
      <c r="T171" s="450">
        <v>1.2</v>
      </c>
      <c r="U171" s="497"/>
    </row>
    <row r="172" spans="16:21" s="444" customFormat="1" ht="15">
      <c r="P172" s="447"/>
      <c r="Q172" s="450">
        <v>100</v>
      </c>
      <c r="R172" s="450">
        <v>0</v>
      </c>
      <c r="S172" s="450">
        <v>0.2</v>
      </c>
      <c r="T172" s="450">
        <v>1.2</v>
      </c>
      <c r="U172" s="497"/>
    </row>
    <row r="173" spans="16:21" s="444" customFormat="1" ht="15">
      <c r="P173" s="447"/>
      <c r="Q173" s="450">
        <v>100</v>
      </c>
      <c r="R173" s="450">
        <v>0</v>
      </c>
      <c r="S173" s="450">
        <v>0.4</v>
      </c>
      <c r="T173" s="450">
        <v>2.7</v>
      </c>
      <c r="U173" s="497"/>
    </row>
    <row r="174" spans="16:21" s="444" customFormat="1" ht="15">
      <c r="P174" s="447"/>
      <c r="Q174" s="450">
        <v>100</v>
      </c>
      <c r="R174" s="450">
        <v>0</v>
      </c>
      <c r="S174" s="450">
        <v>0.6</v>
      </c>
      <c r="T174" s="450">
        <v>4</v>
      </c>
      <c r="U174" s="497"/>
    </row>
    <row r="175" spans="16:21" s="444" customFormat="1" ht="15">
      <c r="P175" s="447"/>
      <c r="Q175" s="450">
        <v>100</v>
      </c>
      <c r="R175" s="450">
        <v>0</v>
      </c>
      <c r="S175" s="450">
        <v>0.8</v>
      </c>
      <c r="T175" s="450">
        <v>4.5</v>
      </c>
      <c r="U175" s="497"/>
    </row>
    <row r="176" spans="16:21" s="444" customFormat="1" ht="15">
      <c r="P176" s="447"/>
      <c r="Q176" s="450">
        <v>100</v>
      </c>
      <c r="R176" s="450">
        <v>0</v>
      </c>
      <c r="S176" s="450">
        <v>1</v>
      </c>
      <c r="T176" s="450">
        <v>4.7</v>
      </c>
      <c r="U176" s="497"/>
    </row>
    <row r="177" spans="16:21" s="444" customFormat="1" ht="15">
      <c r="P177" s="447"/>
      <c r="Q177" s="450">
        <v>100</v>
      </c>
      <c r="R177" s="450">
        <v>100</v>
      </c>
      <c r="S177" s="450">
        <v>0.2</v>
      </c>
      <c r="T177" s="450">
        <v>1.2</v>
      </c>
      <c r="U177" s="497"/>
    </row>
    <row r="178" spans="16:21" s="444" customFormat="1" ht="15">
      <c r="P178" s="447"/>
      <c r="Q178" s="450">
        <v>100</v>
      </c>
      <c r="R178" s="450">
        <v>100</v>
      </c>
      <c r="S178" s="450">
        <v>0.4</v>
      </c>
      <c r="T178" s="450">
        <v>2.7</v>
      </c>
      <c r="U178" s="497"/>
    </row>
    <row r="179" spans="16:21" s="444" customFormat="1" ht="15">
      <c r="P179" s="447"/>
      <c r="Q179" s="450">
        <v>100</v>
      </c>
      <c r="R179" s="450">
        <v>100</v>
      </c>
      <c r="S179" s="450">
        <v>0.6</v>
      </c>
      <c r="T179" s="450">
        <v>4</v>
      </c>
      <c r="U179" s="497"/>
    </row>
    <row r="180" spans="16:21" s="444" customFormat="1" ht="15">
      <c r="P180" s="447"/>
      <c r="Q180" s="450">
        <v>100</v>
      </c>
      <c r="R180" s="450">
        <v>100</v>
      </c>
      <c r="S180" s="450">
        <v>0.8</v>
      </c>
      <c r="T180" s="450">
        <v>4.5</v>
      </c>
      <c r="U180" s="497"/>
    </row>
    <row r="181" spans="16:21" s="444" customFormat="1" ht="15">
      <c r="P181" s="447"/>
      <c r="Q181" s="450">
        <v>100</v>
      </c>
      <c r="R181" s="450">
        <v>100</v>
      </c>
      <c r="S181" s="450">
        <v>1</v>
      </c>
      <c r="T181" s="450">
        <v>4.7</v>
      </c>
      <c r="U181" s="497"/>
    </row>
    <row r="182" spans="16:21" s="444" customFormat="1" ht="15">
      <c r="P182" s="447"/>
      <c r="Q182" s="450">
        <v>100</v>
      </c>
      <c r="R182" s="450">
        <v>200</v>
      </c>
      <c r="S182" s="450">
        <v>0.2</v>
      </c>
      <c r="T182" s="450">
        <v>3</v>
      </c>
      <c r="U182" s="497"/>
    </row>
    <row r="183" spans="16:21" s="444" customFormat="1" ht="15">
      <c r="P183" s="447"/>
      <c r="Q183" s="450">
        <v>100</v>
      </c>
      <c r="R183" s="450">
        <v>200</v>
      </c>
      <c r="S183" s="450">
        <v>0.4</v>
      </c>
      <c r="T183" s="450">
        <v>4.5999999999999996</v>
      </c>
      <c r="U183" s="497"/>
    </row>
    <row r="184" spans="16:21" s="444" customFormat="1" ht="15">
      <c r="P184" s="447"/>
      <c r="Q184" s="450">
        <v>100</v>
      </c>
      <c r="R184" s="450">
        <v>200</v>
      </c>
      <c r="S184" s="450">
        <v>0.6</v>
      </c>
      <c r="T184" s="450">
        <v>5.9</v>
      </c>
      <c r="U184" s="497"/>
    </row>
    <row r="185" spans="16:21" s="444" customFormat="1" ht="15">
      <c r="P185" s="447"/>
      <c r="Q185" s="450">
        <v>100</v>
      </c>
      <c r="R185" s="450">
        <v>200</v>
      </c>
      <c r="S185" s="450">
        <v>0.8</v>
      </c>
      <c r="T185" s="450">
        <v>6.4</v>
      </c>
      <c r="U185" s="497"/>
    </row>
    <row r="186" spans="16:21" s="444" customFormat="1" ht="15">
      <c r="P186" s="447"/>
      <c r="Q186" s="450">
        <v>100</v>
      </c>
      <c r="R186" s="450">
        <v>200</v>
      </c>
      <c r="S186" s="450">
        <v>1</v>
      </c>
      <c r="T186" s="450">
        <v>6.7</v>
      </c>
      <c r="U186" s="497"/>
    </row>
    <row r="187" spans="16:21" s="444" customFormat="1" ht="15">
      <c r="P187" s="447"/>
      <c r="Q187" s="450">
        <v>100</v>
      </c>
      <c r="R187" s="450">
        <v>400</v>
      </c>
      <c r="S187" s="450">
        <v>0.2</v>
      </c>
      <c r="T187" s="450">
        <v>2.2999999999999998</v>
      </c>
      <c r="U187" s="497"/>
    </row>
    <row r="188" spans="16:21" s="444" customFormat="1" ht="15">
      <c r="P188" s="447"/>
      <c r="Q188" s="450">
        <v>100</v>
      </c>
      <c r="R188" s="450">
        <v>400</v>
      </c>
      <c r="S188" s="450">
        <v>0.4</v>
      </c>
      <c r="T188" s="450">
        <v>3.3</v>
      </c>
      <c r="U188" s="497"/>
    </row>
    <row r="189" spans="16:21" s="444" customFormat="1" ht="15">
      <c r="P189" s="447"/>
      <c r="Q189" s="450">
        <v>100</v>
      </c>
      <c r="R189" s="450">
        <v>400</v>
      </c>
      <c r="S189" s="450">
        <v>0.6</v>
      </c>
      <c r="T189" s="450">
        <v>4.0999999999999996</v>
      </c>
      <c r="U189" s="497"/>
    </row>
    <row r="190" spans="16:21" s="444" customFormat="1" ht="15">
      <c r="P190" s="447"/>
      <c r="Q190" s="450">
        <v>100</v>
      </c>
      <c r="R190" s="450">
        <v>400</v>
      </c>
      <c r="S190" s="450">
        <v>0.8</v>
      </c>
      <c r="T190" s="450">
        <v>4.4000000000000004</v>
      </c>
      <c r="U190" s="497"/>
    </row>
    <row r="191" spans="16:21" s="444" customFormat="1" ht="15">
      <c r="P191" s="447"/>
      <c r="Q191" s="450">
        <v>100</v>
      </c>
      <c r="R191" s="450">
        <v>400</v>
      </c>
      <c r="S191" s="450">
        <v>1</v>
      </c>
      <c r="T191" s="450">
        <v>4.5999999999999996</v>
      </c>
      <c r="U191" s="497"/>
    </row>
    <row r="192" spans="16:21" s="444" customFormat="1" ht="15">
      <c r="P192" s="447"/>
      <c r="Q192" s="450">
        <v>100</v>
      </c>
      <c r="R192" s="450">
        <v>600</v>
      </c>
      <c r="S192" s="450">
        <v>0.2</v>
      </c>
      <c r="T192" s="450">
        <v>1.8</v>
      </c>
      <c r="U192" s="497"/>
    </row>
    <row r="193" spans="16:21" s="444" customFormat="1" ht="15">
      <c r="P193" s="447"/>
      <c r="Q193" s="450">
        <v>100</v>
      </c>
      <c r="R193" s="450">
        <v>600</v>
      </c>
      <c r="S193" s="450">
        <v>0.4</v>
      </c>
      <c r="T193" s="450">
        <v>2.1</v>
      </c>
      <c r="U193" s="497"/>
    </row>
    <row r="194" spans="16:21" s="444" customFormat="1" ht="15">
      <c r="P194" s="447"/>
      <c r="Q194" s="450">
        <v>100</v>
      </c>
      <c r="R194" s="450">
        <v>600</v>
      </c>
      <c r="S194" s="450">
        <v>0.6</v>
      </c>
      <c r="T194" s="450">
        <v>2.6</v>
      </c>
      <c r="U194" s="497"/>
    </row>
    <row r="195" spans="16:21" s="444" customFormat="1" ht="15">
      <c r="P195" s="447"/>
      <c r="Q195" s="450">
        <v>100</v>
      </c>
      <c r="R195" s="450">
        <v>600</v>
      </c>
      <c r="S195" s="450">
        <v>0.8</v>
      </c>
      <c r="T195" s="450">
        <v>3</v>
      </c>
      <c r="U195" s="497"/>
    </row>
    <row r="196" spans="16:21" s="444" customFormat="1" ht="15">
      <c r="P196" s="447"/>
      <c r="Q196" s="450">
        <v>100</v>
      </c>
      <c r="R196" s="450">
        <v>600</v>
      </c>
      <c r="S196" s="450">
        <v>1</v>
      </c>
      <c r="T196" s="450">
        <v>3.2</v>
      </c>
      <c r="U196" s="497"/>
    </row>
    <row r="197" spans="16:21" s="444" customFormat="1" ht="15">
      <c r="P197" s="447"/>
      <c r="Q197" s="450">
        <v>100</v>
      </c>
      <c r="R197" s="450">
        <v>800</v>
      </c>
      <c r="S197" s="450">
        <v>0.2</v>
      </c>
      <c r="T197" s="450">
        <v>0.9</v>
      </c>
      <c r="U197" s="497"/>
    </row>
    <row r="198" spans="16:21" s="444" customFormat="1" ht="15">
      <c r="P198" s="447"/>
      <c r="Q198" s="450">
        <v>100</v>
      </c>
      <c r="R198" s="450">
        <v>800</v>
      </c>
      <c r="S198" s="450">
        <v>0.4</v>
      </c>
      <c r="T198" s="450">
        <v>1.4</v>
      </c>
      <c r="U198" s="497"/>
    </row>
    <row r="199" spans="16:21" s="444" customFormat="1" ht="15">
      <c r="P199" s="447"/>
      <c r="Q199" s="450">
        <v>100</v>
      </c>
      <c r="R199" s="450">
        <v>800</v>
      </c>
      <c r="S199" s="450">
        <v>0.6</v>
      </c>
      <c r="T199" s="450">
        <v>1.8</v>
      </c>
      <c r="U199" s="497"/>
    </row>
    <row r="200" spans="16:21" s="444" customFormat="1" ht="15">
      <c r="P200" s="447"/>
      <c r="Q200" s="450">
        <v>100</v>
      </c>
      <c r="R200" s="450">
        <v>800</v>
      </c>
      <c r="S200" s="450">
        <v>0.8</v>
      </c>
      <c r="T200" s="450">
        <v>2.1</v>
      </c>
      <c r="U200" s="497"/>
    </row>
    <row r="201" spans="16:21" s="444" customFormat="1" ht="15">
      <c r="P201" s="447"/>
      <c r="Q201" s="450">
        <v>100</v>
      </c>
      <c r="R201" s="450">
        <v>800</v>
      </c>
      <c r="S201" s="450">
        <v>1</v>
      </c>
      <c r="T201" s="450">
        <v>2.2999999999999998</v>
      </c>
      <c r="U201" s="497"/>
    </row>
    <row r="202" spans="16:21" s="444" customFormat="1" ht="15">
      <c r="P202" s="447"/>
      <c r="Q202" s="450">
        <v>100</v>
      </c>
      <c r="R202" s="450">
        <v>1000</v>
      </c>
      <c r="S202" s="450">
        <v>0.2</v>
      </c>
      <c r="T202" s="450">
        <v>0.9</v>
      </c>
      <c r="U202" s="497"/>
    </row>
    <row r="203" spans="16:21" s="444" customFormat="1" ht="15">
      <c r="P203" s="447"/>
      <c r="Q203" s="450">
        <v>100</v>
      </c>
      <c r="R203" s="450">
        <v>1000</v>
      </c>
      <c r="S203" s="450">
        <v>0.4</v>
      </c>
      <c r="T203" s="450">
        <v>1.1000000000000001</v>
      </c>
      <c r="U203" s="497"/>
    </row>
    <row r="204" spans="16:21" s="444" customFormat="1" ht="15">
      <c r="P204" s="447"/>
      <c r="Q204" s="450">
        <v>100</v>
      </c>
      <c r="R204" s="450">
        <v>1000</v>
      </c>
      <c r="S204" s="450">
        <v>0.6</v>
      </c>
      <c r="T204" s="450">
        <v>1.5</v>
      </c>
      <c r="U204" s="497"/>
    </row>
    <row r="205" spans="16:21" s="444" customFormat="1" ht="15">
      <c r="P205" s="447"/>
      <c r="Q205" s="450">
        <v>100</v>
      </c>
      <c r="R205" s="450">
        <v>1000</v>
      </c>
      <c r="S205" s="450">
        <v>0.8</v>
      </c>
      <c r="T205" s="450">
        <v>1.7</v>
      </c>
      <c r="U205" s="497"/>
    </row>
    <row r="206" spans="16:21" s="444" customFormat="1" ht="15">
      <c r="P206" s="447"/>
      <c r="Q206" s="450">
        <v>100</v>
      </c>
      <c r="R206" s="450">
        <v>1000</v>
      </c>
      <c r="S206" s="450">
        <v>1</v>
      </c>
      <c r="T206" s="450">
        <v>1.9</v>
      </c>
      <c r="U206" s="497"/>
    </row>
    <row r="207" spans="16:21" s="444" customFormat="1" ht="15">
      <c r="P207" s="447"/>
      <c r="Q207" s="450">
        <v>100</v>
      </c>
      <c r="R207" s="450">
        <v>1200</v>
      </c>
      <c r="S207" s="450">
        <v>0.2</v>
      </c>
      <c r="T207" s="450">
        <v>0.8</v>
      </c>
      <c r="U207" s="497"/>
    </row>
    <row r="208" spans="16:21" s="444" customFormat="1" ht="15">
      <c r="P208" s="447"/>
      <c r="Q208" s="450">
        <v>100</v>
      </c>
      <c r="R208" s="450">
        <v>1200</v>
      </c>
      <c r="S208" s="450">
        <v>0.4</v>
      </c>
      <c r="T208" s="450">
        <v>1.1000000000000001</v>
      </c>
      <c r="U208" s="497"/>
    </row>
    <row r="209" spans="16:21" s="444" customFormat="1" ht="15">
      <c r="P209" s="447"/>
      <c r="Q209" s="450">
        <v>100</v>
      </c>
      <c r="R209" s="450">
        <v>1200</v>
      </c>
      <c r="S209" s="450">
        <v>0.6</v>
      </c>
      <c r="T209" s="450">
        <v>1.4</v>
      </c>
      <c r="U209" s="497"/>
    </row>
    <row r="210" spans="16:21" s="444" customFormat="1" ht="15">
      <c r="P210" s="447"/>
      <c r="Q210" s="450">
        <v>100</v>
      </c>
      <c r="R210" s="450">
        <v>1200</v>
      </c>
      <c r="S210" s="450">
        <v>0.8</v>
      </c>
      <c r="T210" s="450">
        <v>1.5</v>
      </c>
      <c r="U210" s="497"/>
    </row>
    <row r="211" spans="16:21" s="444" customFormat="1" ht="15">
      <c r="P211" s="447"/>
      <c r="Q211" s="450">
        <v>100</v>
      </c>
      <c r="R211" s="450">
        <v>1200</v>
      </c>
      <c r="S211" s="450">
        <v>1</v>
      </c>
      <c r="T211" s="450">
        <v>1.7</v>
      </c>
      <c r="U211" s="497"/>
    </row>
    <row r="212" spans="16:21" s="444" customFormat="1" ht="15">
      <c r="P212" s="447"/>
      <c r="Q212" s="450">
        <v>100</v>
      </c>
      <c r="R212" s="450">
        <v>1400</v>
      </c>
      <c r="S212" s="450">
        <v>0.2</v>
      </c>
      <c r="T212" s="450">
        <v>0.8</v>
      </c>
      <c r="U212" s="497"/>
    </row>
    <row r="213" spans="16:21" s="444" customFormat="1" ht="15">
      <c r="P213" s="447"/>
      <c r="Q213" s="450">
        <v>100</v>
      </c>
      <c r="R213" s="450">
        <v>1400</v>
      </c>
      <c r="S213" s="450">
        <v>0.4</v>
      </c>
      <c r="T213" s="450">
        <v>1</v>
      </c>
      <c r="U213" s="497"/>
    </row>
    <row r="214" spans="16:21" s="444" customFormat="1" ht="15">
      <c r="P214" s="447"/>
      <c r="Q214" s="450">
        <v>100</v>
      </c>
      <c r="R214" s="450">
        <v>1400</v>
      </c>
      <c r="S214" s="450">
        <v>0.6</v>
      </c>
      <c r="T214" s="450">
        <v>1.3</v>
      </c>
      <c r="U214" s="497"/>
    </row>
    <row r="215" spans="16:21" s="444" customFormat="1" ht="15">
      <c r="P215" s="447"/>
      <c r="Q215" s="450">
        <v>100</v>
      </c>
      <c r="R215" s="450">
        <v>1400</v>
      </c>
      <c r="S215" s="450">
        <v>0.8</v>
      </c>
      <c r="T215" s="450">
        <v>1.3</v>
      </c>
      <c r="U215" s="497"/>
    </row>
    <row r="216" spans="16:21" s="444" customFormat="1" ht="15">
      <c r="P216" s="447"/>
      <c r="Q216" s="450">
        <v>100</v>
      </c>
      <c r="R216" s="450">
        <v>1400</v>
      </c>
      <c r="S216" s="450">
        <v>1</v>
      </c>
      <c r="T216" s="450">
        <v>1.4</v>
      </c>
      <c r="U216" s="497"/>
    </row>
    <row r="217" spans="16:21" s="444" customFormat="1" ht="15">
      <c r="P217" s="447"/>
      <c r="Q217" s="450">
        <v>100</v>
      </c>
      <c r="R217" s="450">
        <v>1600</v>
      </c>
      <c r="S217" s="450">
        <v>0.2</v>
      </c>
      <c r="T217" s="450">
        <v>0.8</v>
      </c>
      <c r="U217" s="497"/>
    </row>
    <row r="218" spans="16:21" s="444" customFormat="1" ht="15">
      <c r="P218" s="447"/>
      <c r="Q218" s="450">
        <v>100</v>
      </c>
      <c r="R218" s="450">
        <v>1600</v>
      </c>
      <c r="S218" s="450">
        <v>0.4</v>
      </c>
      <c r="T218" s="450">
        <v>1</v>
      </c>
      <c r="U218" s="497"/>
    </row>
    <row r="219" spans="16:21" s="444" customFormat="1" ht="15">
      <c r="P219" s="447"/>
      <c r="Q219" s="450">
        <v>100</v>
      </c>
      <c r="R219" s="450">
        <v>1600</v>
      </c>
      <c r="S219" s="450">
        <v>0.6</v>
      </c>
      <c r="T219" s="450">
        <v>1.1000000000000001</v>
      </c>
      <c r="U219" s="497"/>
    </row>
    <row r="220" spans="16:21" s="444" customFormat="1" ht="15">
      <c r="P220" s="447"/>
      <c r="Q220" s="450">
        <v>100</v>
      </c>
      <c r="R220" s="450">
        <v>1600</v>
      </c>
      <c r="S220" s="450">
        <v>0.8</v>
      </c>
      <c r="T220" s="450">
        <v>1.1000000000000001</v>
      </c>
      <c r="U220" s="497"/>
    </row>
    <row r="221" spans="16:21" s="444" customFormat="1" ht="15">
      <c r="P221" s="447"/>
      <c r="Q221" s="450">
        <v>100</v>
      </c>
      <c r="R221" s="450">
        <v>1600</v>
      </c>
      <c r="S221" s="450">
        <v>1</v>
      </c>
      <c r="T221" s="450">
        <v>1.2</v>
      </c>
      <c r="U221" s="497"/>
    </row>
    <row r="222" spans="16:21" s="444" customFormat="1" ht="15">
      <c r="P222" s="447"/>
      <c r="Q222" s="450">
        <v>100</v>
      </c>
      <c r="R222" s="450">
        <v>10000</v>
      </c>
      <c r="S222" s="450">
        <v>0.2</v>
      </c>
      <c r="T222" s="450">
        <v>0.8</v>
      </c>
      <c r="U222" s="497"/>
    </row>
    <row r="223" spans="16:21" s="444" customFormat="1" ht="15">
      <c r="P223" s="447"/>
      <c r="Q223" s="450">
        <v>100</v>
      </c>
      <c r="R223" s="450">
        <v>10000</v>
      </c>
      <c r="S223" s="450">
        <v>0.4</v>
      </c>
      <c r="T223" s="450">
        <v>1</v>
      </c>
      <c r="U223" s="497"/>
    </row>
    <row r="224" spans="16:21" s="444" customFormat="1" ht="15">
      <c r="P224" s="447"/>
      <c r="Q224" s="450">
        <v>100</v>
      </c>
      <c r="R224" s="450">
        <v>10000</v>
      </c>
      <c r="S224" s="450">
        <v>0.6</v>
      </c>
      <c r="T224" s="450">
        <v>1.1000000000000001</v>
      </c>
      <c r="U224" s="497"/>
    </row>
    <row r="225" spans="16:21" s="444" customFormat="1" ht="15">
      <c r="P225" s="447"/>
      <c r="Q225" s="450">
        <v>100</v>
      </c>
      <c r="R225" s="450">
        <v>10000</v>
      </c>
      <c r="S225" s="450">
        <v>0.8</v>
      </c>
      <c r="T225" s="450">
        <v>1.1000000000000001</v>
      </c>
      <c r="U225" s="497"/>
    </row>
    <row r="226" spans="16:21" s="444" customFormat="1" ht="15">
      <c r="P226" s="447"/>
      <c r="Q226" s="450">
        <v>100</v>
      </c>
      <c r="R226" s="450">
        <v>10000</v>
      </c>
      <c r="S226" s="450">
        <v>1</v>
      </c>
      <c r="T226" s="450">
        <v>1.2</v>
      </c>
      <c r="U226" s="497"/>
    </row>
    <row r="227" spans="16:21" s="444" customFormat="1" ht="15">
      <c r="P227" s="447"/>
      <c r="Q227" s="450">
        <v>110</v>
      </c>
      <c r="R227" s="450">
        <v>0</v>
      </c>
      <c r="S227" s="450">
        <v>0</v>
      </c>
      <c r="T227" s="450">
        <v>1.7</v>
      </c>
      <c r="U227" s="497"/>
    </row>
    <row r="228" spans="16:21" s="444" customFormat="1" ht="15">
      <c r="P228" s="447"/>
      <c r="Q228" s="450">
        <v>110</v>
      </c>
      <c r="R228" s="450">
        <v>0</v>
      </c>
      <c r="S228" s="450">
        <v>0.2</v>
      </c>
      <c r="T228" s="450">
        <v>1.7</v>
      </c>
      <c r="U228" s="497"/>
    </row>
    <row r="229" spans="16:21" s="444" customFormat="1" ht="15">
      <c r="P229" s="447"/>
      <c r="Q229" s="450">
        <v>110</v>
      </c>
      <c r="R229" s="450">
        <v>0</v>
      </c>
      <c r="S229" s="450">
        <v>0.4</v>
      </c>
      <c r="T229" s="450">
        <v>3.5</v>
      </c>
      <c r="U229" s="497"/>
    </row>
    <row r="230" spans="16:21" s="444" customFormat="1" ht="15">
      <c r="P230" s="447"/>
      <c r="Q230" s="450">
        <v>110</v>
      </c>
      <c r="R230" s="450">
        <v>0</v>
      </c>
      <c r="S230" s="450">
        <v>0.6</v>
      </c>
      <c r="T230" s="450">
        <v>4.5</v>
      </c>
      <c r="U230" s="497"/>
    </row>
    <row r="231" spans="16:21" s="444" customFormat="1" ht="15">
      <c r="P231" s="447"/>
      <c r="Q231" s="450">
        <v>110</v>
      </c>
      <c r="R231" s="450">
        <v>0</v>
      </c>
      <c r="S231" s="450">
        <v>0.8</v>
      </c>
      <c r="T231" s="450">
        <v>4.8</v>
      </c>
      <c r="U231" s="497"/>
    </row>
    <row r="232" spans="16:21" s="444" customFormat="1" ht="15">
      <c r="P232" s="447"/>
      <c r="Q232" s="450">
        <v>110</v>
      </c>
      <c r="R232" s="450">
        <v>0</v>
      </c>
      <c r="S232" s="450">
        <v>1</v>
      </c>
      <c r="T232" s="450">
        <v>5</v>
      </c>
      <c r="U232" s="497"/>
    </row>
    <row r="233" spans="16:21" s="444" customFormat="1" ht="15">
      <c r="P233" s="447"/>
      <c r="Q233" s="450">
        <v>110</v>
      </c>
      <c r="R233" s="450">
        <v>100</v>
      </c>
      <c r="S233" s="450">
        <v>0.2</v>
      </c>
      <c r="T233" s="450">
        <v>1.7</v>
      </c>
      <c r="U233" s="497"/>
    </row>
    <row r="234" spans="16:21" s="444" customFormat="1" ht="15">
      <c r="P234" s="447"/>
      <c r="Q234" s="450">
        <v>110</v>
      </c>
      <c r="R234" s="450">
        <v>100</v>
      </c>
      <c r="S234" s="450">
        <v>0.4</v>
      </c>
      <c r="T234" s="450">
        <v>3.5</v>
      </c>
      <c r="U234" s="497"/>
    </row>
    <row r="235" spans="16:21" s="444" customFormat="1" ht="15">
      <c r="P235" s="447"/>
      <c r="Q235" s="450">
        <v>110</v>
      </c>
      <c r="R235" s="450">
        <v>100</v>
      </c>
      <c r="S235" s="450">
        <v>0.6</v>
      </c>
      <c r="T235" s="450">
        <v>4.5</v>
      </c>
      <c r="U235" s="497"/>
    </row>
    <row r="236" spans="16:21" s="444" customFormat="1" ht="15">
      <c r="P236" s="447"/>
      <c r="Q236" s="450">
        <v>110</v>
      </c>
      <c r="R236" s="450">
        <v>100</v>
      </c>
      <c r="S236" s="450">
        <v>0.8</v>
      </c>
      <c r="T236" s="450">
        <v>4.8</v>
      </c>
      <c r="U236" s="497"/>
    </row>
    <row r="237" spans="16:21" s="444" customFormat="1" ht="15">
      <c r="P237" s="447"/>
      <c r="Q237" s="450">
        <v>110</v>
      </c>
      <c r="R237" s="450">
        <v>100</v>
      </c>
      <c r="S237" s="450">
        <v>1</v>
      </c>
      <c r="T237" s="450">
        <v>5</v>
      </c>
      <c r="U237" s="497"/>
    </row>
    <row r="238" spans="16:21" s="444" customFormat="1" ht="15">
      <c r="P238" s="447"/>
      <c r="Q238" s="450">
        <v>110</v>
      </c>
      <c r="R238" s="450">
        <v>200</v>
      </c>
      <c r="S238" s="450">
        <v>0.2</v>
      </c>
      <c r="T238" s="450">
        <v>3.5</v>
      </c>
      <c r="U238" s="497"/>
    </row>
    <row r="239" spans="16:21" s="444" customFormat="1" ht="15">
      <c r="P239" s="447"/>
      <c r="Q239" s="450">
        <v>110</v>
      </c>
      <c r="R239" s="450">
        <v>200</v>
      </c>
      <c r="S239" s="450">
        <v>0.4</v>
      </c>
      <c r="T239" s="450">
        <v>5.3</v>
      </c>
      <c r="U239" s="497"/>
    </row>
    <row r="240" spans="16:21" s="444" customFormat="1" ht="15">
      <c r="P240" s="447"/>
      <c r="Q240" s="450">
        <v>110</v>
      </c>
      <c r="R240" s="450">
        <v>200</v>
      </c>
      <c r="S240" s="450">
        <v>0.6</v>
      </c>
      <c r="T240" s="450">
        <v>6.2</v>
      </c>
      <c r="U240" s="497"/>
    </row>
    <row r="241" spans="16:21" s="444" customFormat="1" ht="15">
      <c r="P241" s="447"/>
      <c r="Q241" s="450">
        <v>110</v>
      </c>
      <c r="R241" s="450">
        <v>200</v>
      </c>
      <c r="S241" s="450">
        <v>0.8</v>
      </c>
      <c r="T241" s="450">
        <v>6.5</v>
      </c>
      <c r="U241" s="497"/>
    </row>
    <row r="242" spans="16:21" s="444" customFormat="1" ht="15">
      <c r="P242" s="447"/>
      <c r="Q242" s="450">
        <v>110</v>
      </c>
      <c r="R242" s="450">
        <v>200</v>
      </c>
      <c r="S242" s="450">
        <v>1</v>
      </c>
      <c r="T242" s="450">
        <v>6.9</v>
      </c>
      <c r="U242" s="497"/>
    </row>
    <row r="243" spans="16:21" s="444" customFormat="1" ht="15">
      <c r="P243" s="447"/>
      <c r="Q243" s="450">
        <v>110</v>
      </c>
      <c r="R243" s="450">
        <v>400</v>
      </c>
      <c r="S243" s="450">
        <v>0.2</v>
      </c>
      <c r="T243" s="450">
        <v>2.6</v>
      </c>
      <c r="U243" s="497"/>
    </row>
    <row r="244" spans="16:21" s="444" customFormat="1" ht="15">
      <c r="P244" s="447"/>
      <c r="Q244" s="450">
        <v>110</v>
      </c>
      <c r="R244" s="450">
        <v>400</v>
      </c>
      <c r="S244" s="450">
        <v>0.4</v>
      </c>
      <c r="T244" s="450">
        <v>3.7</v>
      </c>
      <c r="U244" s="497"/>
    </row>
    <row r="245" spans="16:21" s="444" customFormat="1" ht="15">
      <c r="P245" s="447"/>
      <c r="Q245" s="450">
        <v>110</v>
      </c>
      <c r="R245" s="450">
        <v>400</v>
      </c>
      <c r="S245" s="450">
        <v>0.6</v>
      </c>
      <c r="T245" s="450">
        <v>4.4000000000000004</v>
      </c>
      <c r="U245" s="497"/>
    </row>
    <row r="246" spans="16:21" s="444" customFormat="1" ht="15">
      <c r="P246" s="447"/>
      <c r="Q246" s="450">
        <v>110</v>
      </c>
      <c r="R246" s="450">
        <v>400</v>
      </c>
      <c r="S246" s="450">
        <v>0.8</v>
      </c>
      <c r="T246" s="450">
        <v>4.5</v>
      </c>
      <c r="U246" s="497"/>
    </row>
    <row r="247" spans="16:21" s="444" customFormat="1" ht="15">
      <c r="P247" s="447"/>
      <c r="Q247" s="450">
        <v>110</v>
      </c>
      <c r="R247" s="450">
        <v>400</v>
      </c>
      <c r="S247" s="450">
        <v>1</v>
      </c>
      <c r="T247" s="450">
        <v>4.7</v>
      </c>
      <c r="U247" s="497"/>
    </row>
    <row r="248" spans="16:21" s="444" customFormat="1" ht="15">
      <c r="P248" s="447"/>
      <c r="Q248" s="450">
        <v>110</v>
      </c>
      <c r="R248" s="450">
        <v>600</v>
      </c>
      <c r="S248" s="450">
        <v>0.2</v>
      </c>
      <c r="T248" s="450">
        <v>2.2000000000000002</v>
      </c>
      <c r="U248" s="497"/>
    </row>
    <row r="249" spans="16:21" s="444" customFormat="1" ht="15">
      <c r="P249" s="447"/>
      <c r="Q249" s="450">
        <v>110</v>
      </c>
      <c r="R249" s="450">
        <v>600</v>
      </c>
      <c r="S249" s="450">
        <v>0.4</v>
      </c>
      <c r="T249" s="450">
        <v>2.4</v>
      </c>
      <c r="U249" s="497"/>
    </row>
    <row r="250" spans="16:21" s="444" customFormat="1" ht="15">
      <c r="P250" s="447"/>
      <c r="Q250" s="450">
        <v>110</v>
      </c>
      <c r="R250" s="450">
        <v>600</v>
      </c>
      <c r="S250" s="450">
        <v>0.6</v>
      </c>
      <c r="T250" s="450">
        <v>2.9</v>
      </c>
      <c r="U250" s="497"/>
    </row>
    <row r="251" spans="16:21" s="444" customFormat="1" ht="15">
      <c r="P251" s="447"/>
      <c r="Q251" s="450">
        <v>110</v>
      </c>
      <c r="R251" s="450">
        <v>600</v>
      </c>
      <c r="S251" s="450">
        <v>0.8</v>
      </c>
      <c r="T251" s="450">
        <v>3.1</v>
      </c>
      <c r="U251" s="497"/>
    </row>
    <row r="252" spans="16:21" s="444" customFormat="1" ht="15">
      <c r="P252" s="447"/>
      <c r="Q252" s="450">
        <v>110</v>
      </c>
      <c r="R252" s="450">
        <v>600</v>
      </c>
      <c r="S252" s="450">
        <v>1</v>
      </c>
      <c r="T252" s="450">
        <v>3.3</v>
      </c>
      <c r="U252" s="497"/>
    </row>
    <row r="253" spans="16:21" s="444" customFormat="1" ht="15">
      <c r="P253" s="447"/>
      <c r="Q253" s="450">
        <v>110</v>
      </c>
      <c r="R253" s="450">
        <v>800</v>
      </c>
      <c r="S253" s="450">
        <v>0.2</v>
      </c>
      <c r="T253" s="450">
        <v>1.1000000000000001</v>
      </c>
      <c r="U253" s="497"/>
    </row>
    <row r="254" spans="16:21" s="444" customFormat="1" ht="15">
      <c r="P254" s="447"/>
      <c r="Q254" s="450">
        <v>110</v>
      </c>
      <c r="R254" s="450">
        <v>800</v>
      </c>
      <c r="S254" s="450">
        <v>0.4</v>
      </c>
      <c r="T254" s="450">
        <v>1.6</v>
      </c>
      <c r="U254" s="497"/>
    </row>
    <row r="255" spans="16:21" s="444" customFormat="1" ht="15">
      <c r="P255" s="447"/>
      <c r="Q255" s="450">
        <v>110</v>
      </c>
      <c r="R255" s="450">
        <v>800</v>
      </c>
      <c r="S255" s="450">
        <v>0.6</v>
      </c>
      <c r="T255" s="450">
        <v>2</v>
      </c>
      <c r="U255" s="497"/>
    </row>
    <row r="256" spans="16:21" s="444" customFormat="1" ht="15">
      <c r="P256" s="447"/>
      <c r="Q256" s="450">
        <v>110</v>
      </c>
      <c r="R256" s="450">
        <v>800</v>
      </c>
      <c r="S256" s="450">
        <v>0.8</v>
      </c>
      <c r="T256" s="450">
        <v>2.2000000000000002</v>
      </c>
      <c r="U256" s="497"/>
    </row>
    <row r="257" spans="16:21" s="444" customFormat="1" ht="15">
      <c r="P257" s="447"/>
      <c r="Q257" s="450">
        <v>110</v>
      </c>
      <c r="R257" s="450">
        <v>800</v>
      </c>
      <c r="S257" s="450">
        <v>1</v>
      </c>
      <c r="T257" s="450">
        <v>2.4</v>
      </c>
      <c r="U257" s="497"/>
    </row>
    <row r="258" spans="16:21" s="444" customFormat="1" ht="15">
      <c r="P258" s="447"/>
      <c r="Q258" s="450">
        <v>110</v>
      </c>
      <c r="R258" s="450">
        <v>1000</v>
      </c>
      <c r="S258" s="450">
        <v>0.2</v>
      </c>
      <c r="T258" s="450">
        <v>1</v>
      </c>
      <c r="U258" s="497"/>
    </row>
    <row r="259" spans="16:21" s="444" customFormat="1" ht="15">
      <c r="P259" s="447"/>
      <c r="Q259" s="450">
        <v>110</v>
      </c>
      <c r="R259" s="450">
        <v>1000</v>
      </c>
      <c r="S259" s="450">
        <v>0.4</v>
      </c>
      <c r="T259" s="450">
        <v>1.3</v>
      </c>
      <c r="U259" s="497"/>
    </row>
    <row r="260" spans="16:21" s="444" customFormat="1" ht="15">
      <c r="P260" s="447"/>
      <c r="Q260" s="450">
        <v>110</v>
      </c>
      <c r="R260" s="450">
        <v>1000</v>
      </c>
      <c r="S260" s="450">
        <v>0.6</v>
      </c>
      <c r="T260" s="450">
        <v>1.7</v>
      </c>
      <c r="U260" s="497"/>
    </row>
    <row r="261" spans="16:21" s="444" customFormat="1" ht="15">
      <c r="P261" s="447"/>
      <c r="Q261" s="450">
        <v>110</v>
      </c>
      <c r="R261" s="450">
        <v>1000</v>
      </c>
      <c r="S261" s="450">
        <v>0.8</v>
      </c>
      <c r="T261" s="450">
        <v>1.9</v>
      </c>
      <c r="U261" s="497"/>
    </row>
    <row r="262" spans="16:21" s="444" customFormat="1" ht="15">
      <c r="P262" s="447"/>
      <c r="Q262" s="450">
        <v>110</v>
      </c>
      <c r="R262" s="450">
        <v>1000</v>
      </c>
      <c r="S262" s="450">
        <v>1</v>
      </c>
      <c r="T262" s="450">
        <v>1.9</v>
      </c>
      <c r="U262" s="497"/>
    </row>
    <row r="263" spans="16:21" s="444" customFormat="1" ht="15">
      <c r="P263" s="447"/>
      <c r="Q263" s="450">
        <v>110</v>
      </c>
      <c r="R263" s="450">
        <v>1200</v>
      </c>
      <c r="S263" s="450">
        <v>0.2</v>
      </c>
      <c r="T263" s="450">
        <v>0.9</v>
      </c>
      <c r="U263" s="497"/>
    </row>
    <row r="264" spans="16:21" s="444" customFormat="1" ht="15">
      <c r="P264" s="447"/>
      <c r="Q264" s="450">
        <v>110</v>
      </c>
      <c r="R264" s="450">
        <v>1200</v>
      </c>
      <c r="S264" s="450">
        <v>0.4</v>
      </c>
      <c r="T264" s="450">
        <v>1.3</v>
      </c>
      <c r="U264" s="497"/>
    </row>
    <row r="265" spans="16:21" s="444" customFormat="1" ht="15">
      <c r="P265" s="447"/>
      <c r="Q265" s="450">
        <v>110</v>
      </c>
      <c r="R265" s="450">
        <v>1200</v>
      </c>
      <c r="S265" s="450">
        <v>0.6</v>
      </c>
      <c r="T265" s="450">
        <v>1.5</v>
      </c>
      <c r="U265" s="497"/>
    </row>
    <row r="266" spans="16:21" s="444" customFormat="1" ht="15">
      <c r="P266" s="447"/>
      <c r="Q266" s="450">
        <v>110</v>
      </c>
      <c r="R266" s="450">
        <v>1200</v>
      </c>
      <c r="S266" s="450">
        <v>0.8</v>
      </c>
      <c r="T266" s="450">
        <v>1.6</v>
      </c>
      <c r="U266" s="497"/>
    </row>
    <row r="267" spans="16:21" s="444" customFormat="1" ht="15">
      <c r="P267" s="447"/>
      <c r="Q267" s="450">
        <v>110</v>
      </c>
      <c r="R267" s="450">
        <v>1200</v>
      </c>
      <c r="S267" s="450">
        <v>1</v>
      </c>
      <c r="T267" s="450">
        <v>1.7</v>
      </c>
      <c r="U267" s="497"/>
    </row>
    <row r="268" spans="16:21" s="444" customFormat="1" ht="15">
      <c r="P268" s="447"/>
      <c r="Q268" s="450">
        <v>110</v>
      </c>
      <c r="R268" s="450">
        <v>1400</v>
      </c>
      <c r="S268" s="450">
        <v>0.2</v>
      </c>
      <c r="T268" s="450">
        <v>0.9</v>
      </c>
      <c r="U268" s="497"/>
    </row>
    <row r="269" spans="16:21" s="444" customFormat="1" ht="15">
      <c r="P269" s="447"/>
      <c r="Q269" s="450">
        <v>110</v>
      </c>
      <c r="R269" s="450">
        <v>1400</v>
      </c>
      <c r="S269" s="450">
        <v>0.4</v>
      </c>
      <c r="T269" s="450">
        <v>1.2</v>
      </c>
      <c r="U269" s="497"/>
    </row>
    <row r="270" spans="16:21" s="444" customFormat="1" ht="15">
      <c r="P270" s="447"/>
      <c r="Q270" s="450">
        <v>110</v>
      </c>
      <c r="R270" s="450">
        <v>1400</v>
      </c>
      <c r="S270" s="450">
        <v>0.6</v>
      </c>
      <c r="T270" s="450">
        <v>1.4</v>
      </c>
      <c r="U270" s="497"/>
    </row>
    <row r="271" spans="16:21" s="444" customFormat="1" ht="15">
      <c r="P271" s="447"/>
      <c r="Q271" s="450">
        <v>110</v>
      </c>
      <c r="R271" s="450">
        <v>1400</v>
      </c>
      <c r="S271" s="450">
        <v>0.8</v>
      </c>
      <c r="T271" s="450">
        <v>1.4</v>
      </c>
      <c r="U271" s="497"/>
    </row>
    <row r="272" spans="16:21" s="444" customFormat="1" ht="15">
      <c r="P272" s="447"/>
      <c r="Q272" s="450">
        <v>110</v>
      </c>
      <c r="R272" s="450">
        <v>1400</v>
      </c>
      <c r="S272" s="450">
        <v>1</v>
      </c>
      <c r="T272" s="450">
        <v>1.5</v>
      </c>
      <c r="U272" s="497"/>
    </row>
    <row r="273" spans="16:21" s="444" customFormat="1" ht="15">
      <c r="P273" s="447"/>
      <c r="Q273" s="450">
        <v>110</v>
      </c>
      <c r="R273" s="450">
        <v>1600</v>
      </c>
      <c r="S273" s="450">
        <v>0.2</v>
      </c>
      <c r="T273" s="450">
        <v>0.9</v>
      </c>
      <c r="U273" s="497"/>
    </row>
    <row r="274" spans="16:21" s="444" customFormat="1" ht="15">
      <c r="P274" s="447"/>
      <c r="Q274" s="450">
        <v>110</v>
      </c>
      <c r="R274" s="450">
        <v>1600</v>
      </c>
      <c r="S274" s="450">
        <v>0.4</v>
      </c>
      <c r="T274" s="450">
        <v>1.1000000000000001</v>
      </c>
      <c r="U274" s="497"/>
    </row>
    <row r="275" spans="16:21" s="444" customFormat="1" ht="15">
      <c r="P275" s="447"/>
      <c r="Q275" s="450">
        <v>110</v>
      </c>
      <c r="R275" s="450">
        <v>1600</v>
      </c>
      <c r="S275" s="450">
        <v>0.6</v>
      </c>
      <c r="T275" s="450">
        <v>1.2</v>
      </c>
      <c r="U275" s="497"/>
    </row>
    <row r="276" spans="16:21" s="444" customFormat="1" ht="15">
      <c r="P276" s="447"/>
      <c r="Q276" s="450">
        <v>110</v>
      </c>
      <c r="R276" s="450">
        <v>1600</v>
      </c>
      <c r="S276" s="450">
        <v>0.8</v>
      </c>
      <c r="T276" s="450">
        <v>1.2</v>
      </c>
      <c r="U276" s="497"/>
    </row>
    <row r="277" spans="16:21" s="444" customFormat="1" ht="15">
      <c r="P277" s="447"/>
      <c r="Q277" s="450">
        <v>110</v>
      </c>
      <c r="R277" s="450">
        <v>1600</v>
      </c>
      <c r="S277" s="450">
        <v>1</v>
      </c>
      <c r="T277" s="450">
        <v>1.3</v>
      </c>
      <c r="U277" s="497"/>
    </row>
    <row r="278" spans="16:21" s="444" customFormat="1" ht="15">
      <c r="P278" s="447"/>
      <c r="Q278" s="450">
        <v>110</v>
      </c>
      <c r="R278" s="450">
        <v>10000</v>
      </c>
      <c r="S278" s="450">
        <v>0.2</v>
      </c>
      <c r="T278" s="450">
        <v>0.9</v>
      </c>
      <c r="U278" s="497"/>
    </row>
    <row r="279" spans="16:21" s="444" customFormat="1" ht="15">
      <c r="P279" s="447"/>
      <c r="Q279" s="450">
        <v>110</v>
      </c>
      <c r="R279" s="450">
        <v>10000</v>
      </c>
      <c r="S279" s="450">
        <v>0.4</v>
      </c>
      <c r="T279" s="450">
        <v>1.1000000000000001</v>
      </c>
      <c r="U279" s="497"/>
    </row>
    <row r="280" spans="16:21" s="444" customFormat="1" ht="15">
      <c r="P280" s="447"/>
      <c r="Q280" s="450">
        <v>110</v>
      </c>
      <c r="R280" s="450">
        <v>10000</v>
      </c>
      <c r="S280" s="450">
        <v>0.6</v>
      </c>
      <c r="T280" s="450">
        <v>1.2</v>
      </c>
      <c r="U280" s="497"/>
    </row>
    <row r="281" spans="16:21" s="444" customFormat="1" ht="15">
      <c r="P281" s="447"/>
      <c r="Q281" s="450">
        <v>110</v>
      </c>
      <c r="R281" s="450">
        <v>10000</v>
      </c>
      <c r="S281" s="450">
        <v>0.8</v>
      </c>
      <c r="T281" s="450">
        <v>1.2</v>
      </c>
      <c r="U281" s="497"/>
    </row>
    <row r="282" spans="16:21" s="444" customFormat="1" ht="15">
      <c r="P282" s="447"/>
      <c r="Q282" s="450">
        <v>110</v>
      </c>
      <c r="R282" s="450">
        <v>10000</v>
      </c>
      <c r="S282" s="450">
        <v>1</v>
      </c>
      <c r="T282" s="450">
        <v>1.3</v>
      </c>
      <c r="U282" s="497"/>
    </row>
    <row r="283" spans="16:21" s="444" customFormat="1" ht="15">
      <c r="P283" s="447"/>
      <c r="Q283" s="474"/>
      <c r="R283" s="474"/>
      <c r="S283" s="474"/>
      <c r="T283" s="474"/>
    </row>
    <row r="284" spans="16:21" s="444" customFormat="1" ht="15">
      <c r="P284" s="447"/>
      <c r="Q284" s="474"/>
      <c r="R284" s="474"/>
      <c r="S284" s="474"/>
      <c r="T284" s="474"/>
    </row>
    <row r="285" spans="16:21" s="444" customFormat="1" ht="15">
      <c r="P285" s="447"/>
      <c r="Q285" s="474"/>
      <c r="R285" s="474"/>
      <c r="S285" s="474"/>
      <c r="T285" s="474"/>
    </row>
    <row r="286" spans="16:21" s="444" customFormat="1" ht="15">
      <c r="P286" s="447"/>
      <c r="Q286" s="474"/>
      <c r="R286" s="474"/>
      <c r="S286" s="474"/>
      <c r="T286" s="474"/>
    </row>
    <row r="287" spans="16:21" s="444" customFormat="1" ht="15">
      <c r="P287" s="447"/>
      <c r="Q287" s="474"/>
      <c r="R287" s="474"/>
      <c r="S287" s="474"/>
      <c r="T287" s="474"/>
    </row>
    <row r="288" spans="16:21" s="444" customFormat="1" ht="15">
      <c r="P288" s="447"/>
      <c r="Q288" s="474"/>
      <c r="R288" s="474"/>
      <c r="S288" s="474"/>
      <c r="T288" s="474"/>
    </row>
    <row r="289" spans="16:20" s="444" customFormat="1" ht="15">
      <c r="P289" s="447"/>
      <c r="Q289" s="474"/>
      <c r="R289" s="474"/>
      <c r="S289" s="474"/>
      <c r="T289" s="474"/>
    </row>
    <row r="290" spans="16:20" s="444" customFormat="1" ht="15">
      <c r="P290" s="447"/>
      <c r="Q290" s="474"/>
      <c r="R290" s="474"/>
      <c r="S290" s="474"/>
      <c r="T290" s="474"/>
    </row>
    <row r="291" spans="16:20" s="444" customFormat="1" ht="15">
      <c r="P291" s="447"/>
      <c r="Q291" s="474"/>
      <c r="R291" s="474"/>
      <c r="S291" s="474"/>
      <c r="T291" s="474"/>
    </row>
    <row r="292" spans="16:20" s="444" customFormat="1" ht="15">
      <c r="P292" s="447"/>
      <c r="Q292" s="474"/>
      <c r="R292" s="474"/>
      <c r="S292" s="474"/>
      <c r="T292" s="474"/>
    </row>
    <row r="293" spans="16:20" s="444" customFormat="1" ht="15">
      <c r="P293" s="447"/>
      <c r="Q293" s="474"/>
      <c r="R293" s="474"/>
      <c r="S293" s="474"/>
      <c r="T293" s="474"/>
    </row>
    <row r="294" spans="16:20" s="444" customFormat="1" ht="15">
      <c r="P294" s="447"/>
      <c r="Q294" s="474"/>
      <c r="R294" s="474"/>
      <c r="S294" s="474"/>
      <c r="T294" s="474"/>
    </row>
    <row r="295" spans="16:20" s="444" customFormat="1" ht="15">
      <c r="P295" s="447"/>
      <c r="Q295" s="474"/>
      <c r="R295" s="474"/>
      <c r="S295" s="474"/>
      <c r="T295" s="474"/>
    </row>
    <row r="296" spans="16:20" s="444" customFormat="1" ht="15">
      <c r="P296" s="447"/>
      <c r="Q296" s="474"/>
      <c r="R296" s="474"/>
      <c r="S296" s="474"/>
      <c r="T296" s="474"/>
    </row>
    <row r="297" spans="16:20" s="444" customFormat="1" ht="15">
      <c r="P297" s="447"/>
      <c r="Q297" s="474"/>
      <c r="R297" s="474"/>
      <c r="S297" s="474"/>
      <c r="T297" s="474"/>
    </row>
    <row r="298" spans="16:20" s="444" customFormat="1" ht="15">
      <c r="P298" s="447"/>
      <c r="Q298" s="474"/>
      <c r="R298" s="474"/>
      <c r="S298" s="474"/>
      <c r="T298" s="474"/>
    </row>
    <row r="299" spans="16:20" s="444" customFormat="1" ht="15">
      <c r="P299" s="447"/>
      <c r="Q299" s="474"/>
      <c r="R299" s="474"/>
      <c r="S299" s="474"/>
      <c r="T299" s="474"/>
    </row>
    <row r="300" spans="16:20" s="444" customFormat="1" ht="15">
      <c r="P300" s="447"/>
      <c r="Q300" s="474"/>
      <c r="R300" s="474"/>
      <c r="S300" s="474"/>
      <c r="T300" s="474"/>
    </row>
    <row r="301" spans="16:20" s="444" customFormat="1" ht="15">
      <c r="P301" s="447"/>
      <c r="Q301" s="474"/>
      <c r="R301" s="474"/>
      <c r="S301" s="474"/>
      <c r="T301" s="474"/>
    </row>
    <row r="302" spans="16:20" s="444" customFormat="1" ht="15">
      <c r="P302" s="447"/>
      <c r="Q302" s="474"/>
      <c r="R302" s="474"/>
      <c r="S302" s="474"/>
      <c r="T302" s="474"/>
    </row>
    <row r="303" spans="16:20" s="444" customFormat="1" ht="15">
      <c r="P303" s="447"/>
      <c r="Q303" s="474"/>
      <c r="R303" s="474"/>
      <c r="S303" s="474"/>
      <c r="T303" s="474"/>
    </row>
    <row r="304" spans="16:20" s="444" customFormat="1" ht="15">
      <c r="P304" s="447"/>
      <c r="Q304" s="474"/>
      <c r="R304" s="474"/>
      <c r="S304" s="474"/>
      <c r="T304" s="474"/>
    </row>
    <row r="305" spans="16:20" s="444" customFormat="1" ht="15">
      <c r="P305" s="447"/>
      <c r="Q305" s="474"/>
      <c r="R305" s="474"/>
      <c r="S305" s="474"/>
      <c r="T305" s="474"/>
    </row>
    <row r="306" spans="16:20" s="444" customFormat="1" ht="15">
      <c r="P306" s="447"/>
      <c r="Q306" s="474"/>
      <c r="R306" s="474"/>
      <c r="S306" s="474"/>
      <c r="T306" s="474"/>
    </row>
    <row r="307" spans="16:20" s="444" customFormat="1" ht="15">
      <c r="P307" s="447"/>
      <c r="Q307" s="474"/>
      <c r="R307" s="474"/>
      <c r="S307" s="474"/>
      <c r="T307" s="474"/>
    </row>
    <row r="308" spans="16:20" s="444" customFormat="1" ht="15">
      <c r="P308" s="447"/>
      <c r="Q308" s="474"/>
      <c r="R308" s="474"/>
      <c r="S308" s="474"/>
      <c r="T308" s="474"/>
    </row>
    <row r="309" spans="16:20" s="444" customFormat="1" ht="15">
      <c r="P309" s="447"/>
      <c r="Q309" s="474"/>
      <c r="R309" s="474"/>
      <c r="S309" s="474"/>
      <c r="T309" s="474"/>
    </row>
    <row r="310" spans="16:20" s="444" customFormat="1" ht="15">
      <c r="P310" s="447"/>
      <c r="Q310" s="474"/>
      <c r="R310" s="474"/>
      <c r="S310" s="474"/>
      <c r="T310" s="474"/>
    </row>
    <row r="311" spans="16:20" s="444" customFormat="1" ht="15">
      <c r="P311" s="447"/>
      <c r="Q311" s="474"/>
      <c r="R311" s="474"/>
      <c r="S311" s="474"/>
      <c r="T311" s="474"/>
    </row>
    <row r="312" spans="16:20" s="444" customFormat="1" ht="15">
      <c r="P312" s="447"/>
      <c r="Q312" s="474"/>
      <c r="R312" s="474"/>
      <c r="S312" s="474"/>
      <c r="T312" s="474"/>
    </row>
    <row r="313" spans="16:20" s="444" customFormat="1" ht="15">
      <c r="P313" s="447"/>
      <c r="Q313" s="474"/>
      <c r="R313" s="474"/>
      <c r="S313" s="474"/>
      <c r="T313" s="474"/>
    </row>
    <row r="314" spans="16:20" s="444" customFormat="1" ht="15">
      <c r="P314" s="447"/>
    </row>
    <row r="315" spans="16:20" s="444" customFormat="1" ht="15">
      <c r="P315" s="447"/>
    </row>
    <row r="316" spans="16:20" s="444" customFormat="1" ht="15">
      <c r="P316" s="447"/>
    </row>
    <row r="317" spans="16:20" s="444" customFormat="1" ht="15">
      <c r="P317" s="447"/>
    </row>
    <row r="318" spans="16:20" s="444" customFormat="1" ht="15">
      <c r="P318" s="447"/>
    </row>
    <row r="319" spans="16:20" s="444" customFormat="1" ht="15">
      <c r="P319" s="447"/>
    </row>
    <row r="320" spans="16:20" s="444" customFormat="1" ht="15">
      <c r="P320" s="447"/>
    </row>
    <row r="321" spans="16:20" ht="15">
      <c r="P321" s="447"/>
      <c r="Q321" s="444"/>
      <c r="R321" s="444"/>
      <c r="S321" s="444"/>
      <c r="T321" s="444"/>
    </row>
    <row r="322" spans="16:20" ht="15">
      <c r="P322" s="447"/>
      <c r="Q322" s="444"/>
      <c r="R322" s="444"/>
      <c r="S322" s="444"/>
      <c r="T322" s="444"/>
    </row>
    <row r="323" spans="16:20" ht="15">
      <c r="P323" s="447"/>
      <c r="Q323" s="444"/>
      <c r="R323" s="444"/>
      <c r="S323" s="444"/>
      <c r="T323" s="444"/>
    </row>
    <row r="324" spans="16:20" ht="15">
      <c r="P324" s="447"/>
      <c r="Q324" s="444"/>
      <c r="R324" s="444"/>
      <c r="S324" s="444"/>
      <c r="T324" s="444"/>
    </row>
    <row r="325" spans="16:20" ht="15">
      <c r="P325" s="447"/>
      <c r="Q325" s="444"/>
      <c r="R325" s="444"/>
      <c r="S325" s="444"/>
      <c r="T325" s="444"/>
    </row>
    <row r="326" spans="16:20" ht="15">
      <c r="P326" s="447"/>
      <c r="Q326" s="444"/>
      <c r="R326" s="444"/>
      <c r="S326" s="444"/>
      <c r="T326" s="444"/>
    </row>
    <row r="327" spans="16:20" ht="15">
      <c r="P327" s="447"/>
      <c r="Q327" s="444"/>
      <c r="R327" s="444"/>
      <c r="S327" s="444"/>
      <c r="T327" s="444"/>
    </row>
    <row r="328" spans="16:20" ht="15">
      <c r="P328" s="447"/>
      <c r="Q328" s="444"/>
      <c r="R328" s="444"/>
      <c r="S328" s="444"/>
      <c r="T328" s="444"/>
    </row>
    <row r="329" spans="16:20" ht="15">
      <c r="P329" s="447"/>
      <c r="Q329" s="444"/>
      <c r="R329" s="444"/>
      <c r="S329" s="444"/>
      <c r="T329" s="444"/>
    </row>
    <row r="330" spans="16:20" ht="15">
      <c r="P330" s="447"/>
      <c r="Q330" s="444"/>
      <c r="R330" s="444"/>
      <c r="S330" s="444"/>
      <c r="T330" s="444"/>
    </row>
    <row r="331" spans="16:20" ht="15">
      <c r="P331" s="447"/>
      <c r="Q331" s="444"/>
      <c r="R331" s="444"/>
      <c r="S331" s="444"/>
      <c r="T331" s="444"/>
    </row>
    <row r="332" spans="16:20" ht="15">
      <c r="P332" s="447"/>
      <c r="Q332" s="444"/>
      <c r="R332" s="444"/>
      <c r="S332" s="444"/>
      <c r="T332" s="444"/>
    </row>
    <row r="333" spans="16:20" ht="15">
      <c r="P333" s="447"/>
      <c r="Q333" s="444"/>
      <c r="R333" s="444"/>
      <c r="S333" s="444"/>
      <c r="T333" s="444"/>
    </row>
    <row r="334" spans="16:20" ht="15">
      <c r="P334" s="447"/>
      <c r="Q334" s="444"/>
      <c r="R334" s="444"/>
      <c r="S334" s="444"/>
      <c r="T334" s="444"/>
    </row>
    <row r="335" spans="16:20" ht="15">
      <c r="P335" s="447"/>
      <c r="Q335" s="444"/>
      <c r="R335" s="444"/>
      <c r="S335" s="444"/>
      <c r="T335" s="444"/>
    </row>
    <row r="336" spans="16:20" ht="15">
      <c r="P336" s="447"/>
      <c r="Q336" s="444"/>
      <c r="R336" s="444"/>
      <c r="S336" s="444"/>
      <c r="T336" s="444"/>
    </row>
    <row r="337" spans="16:20" ht="15">
      <c r="P337" s="447"/>
      <c r="Q337" s="444"/>
      <c r="R337" s="444"/>
      <c r="S337" s="444"/>
      <c r="T337" s="444"/>
    </row>
    <row r="338" spans="16:20" ht="15">
      <c r="P338" s="447"/>
      <c r="Q338" s="444"/>
      <c r="R338" s="444"/>
      <c r="S338" s="444"/>
      <c r="T338" s="444"/>
    </row>
    <row r="339" spans="16:20" ht="15">
      <c r="P339" s="447"/>
      <c r="Q339" s="444"/>
      <c r="R339" s="444"/>
      <c r="S339" s="444"/>
      <c r="T339" s="444"/>
    </row>
    <row r="340" spans="16:20" ht="15">
      <c r="P340" s="447"/>
      <c r="Q340" s="444"/>
      <c r="R340" s="444"/>
      <c r="S340" s="444"/>
      <c r="T340" s="444"/>
    </row>
    <row r="341" spans="16:20" ht="15">
      <c r="P341" s="447"/>
      <c r="Q341" s="444"/>
      <c r="R341" s="444"/>
      <c r="S341" s="444"/>
      <c r="T341" s="444"/>
    </row>
    <row r="342" spans="16:20" ht="15">
      <c r="P342" s="447"/>
      <c r="Q342" s="444"/>
      <c r="R342" s="444"/>
      <c r="S342" s="444"/>
      <c r="T342" s="444"/>
    </row>
    <row r="343" spans="16:20" ht="15">
      <c r="P343" s="447"/>
      <c r="Q343" s="444"/>
      <c r="R343" s="444"/>
      <c r="S343" s="444"/>
      <c r="T343" s="444"/>
    </row>
    <row r="344" spans="16:20" ht="15">
      <c r="P344" s="447"/>
      <c r="Q344" s="444"/>
      <c r="R344" s="444"/>
      <c r="S344" s="444"/>
      <c r="T344" s="444"/>
    </row>
    <row r="345" spans="16:20" ht="15">
      <c r="P345" s="447"/>
      <c r="Q345" s="444"/>
      <c r="R345" s="444"/>
      <c r="S345" s="444"/>
      <c r="T345" s="444"/>
    </row>
    <row r="346" spans="16:20" ht="15">
      <c r="P346" s="447"/>
      <c r="Q346" s="444"/>
      <c r="R346" s="444"/>
      <c r="S346" s="444"/>
      <c r="T346" s="444"/>
    </row>
    <row r="347" spans="16:20" ht="15">
      <c r="P347" s="447"/>
      <c r="Q347" s="444"/>
      <c r="R347" s="444"/>
      <c r="S347" s="444"/>
      <c r="T347" s="444"/>
    </row>
    <row r="348" spans="16:20" ht="15">
      <c r="P348" s="447"/>
      <c r="Q348" s="444"/>
      <c r="R348" s="444"/>
      <c r="S348" s="444"/>
      <c r="T348" s="444"/>
    </row>
    <row r="349" spans="16:20" ht="15">
      <c r="P349" s="447"/>
      <c r="Q349" s="444"/>
      <c r="R349" s="444"/>
      <c r="S349" s="444"/>
      <c r="T349" s="444"/>
    </row>
    <row r="350" spans="16:20" ht="15">
      <c r="P350" s="447"/>
      <c r="Q350" s="444"/>
      <c r="R350" s="444"/>
      <c r="S350" s="444"/>
      <c r="T350" s="444"/>
    </row>
    <row r="351" spans="16:20" ht="15">
      <c r="P351" s="447"/>
      <c r="Q351" s="444"/>
      <c r="R351" s="444"/>
      <c r="S351" s="444"/>
      <c r="T351" s="444"/>
    </row>
    <row r="352" spans="16:20" ht="15">
      <c r="P352" s="447"/>
      <c r="Q352" s="444"/>
      <c r="R352" s="444"/>
      <c r="S352" s="444"/>
      <c r="T352" s="444"/>
    </row>
    <row r="353" spans="16:20" ht="15">
      <c r="P353" s="447"/>
      <c r="Q353" s="444"/>
      <c r="R353" s="444"/>
      <c r="S353" s="444"/>
      <c r="T353" s="444"/>
    </row>
    <row r="354" spans="16:20" ht="15">
      <c r="P354" s="447"/>
      <c r="Q354" s="444"/>
      <c r="R354" s="444"/>
      <c r="S354" s="444"/>
      <c r="T354" s="444"/>
    </row>
    <row r="355" spans="16:20" ht="15">
      <c r="P355" s="447"/>
      <c r="Q355" s="444"/>
      <c r="R355" s="444"/>
      <c r="S355" s="444"/>
      <c r="T355" s="444"/>
    </row>
    <row r="356" spans="16:20" ht="15">
      <c r="P356" s="447"/>
      <c r="Q356" s="444"/>
      <c r="R356" s="444"/>
      <c r="S356" s="444"/>
      <c r="T356" s="444"/>
    </row>
    <row r="357" spans="16:20" ht="15">
      <c r="P357" s="447"/>
      <c r="Q357" s="444"/>
      <c r="R357" s="444"/>
      <c r="S357" s="444"/>
      <c r="T357" s="444"/>
    </row>
    <row r="358" spans="16:20" ht="15">
      <c r="P358" s="447"/>
      <c r="Q358" s="444"/>
      <c r="R358" s="444"/>
      <c r="S358" s="444"/>
      <c r="T358" s="444"/>
    </row>
    <row r="359" spans="16:20" ht="15">
      <c r="P359" s="447"/>
      <c r="Q359" s="444"/>
      <c r="R359" s="444"/>
      <c r="S359" s="444"/>
      <c r="T359" s="444"/>
    </row>
    <row r="360" spans="16:20" ht="15">
      <c r="P360" s="447"/>
      <c r="Q360" s="444"/>
      <c r="R360" s="444"/>
      <c r="S360" s="444"/>
      <c r="T360" s="444"/>
    </row>
    <row r="361" spans="16:20" ht="15">
      <c r="P361" s="447"/>
      <c r="Q361" s="444"/>
      <c r="R361" s="444"/>
      <c r="S361" s="444"/>
      <c r="T361" s="444"/>
    </row>
    <row r="362" spans="16:20" ht="15">
      <c r="P362" s="447"/>
      <c r="Q362" s="444"/>
      <c r="R362" s="444"/>
      <c r="S362" s="444"/>
      <c r="T362" s="444"/>
    </row>
    <row r="363" spans="16:20" ht="15">
      <c r="P363" s="447"/>
      <c r="Q363" s="444"/>
      <c r="R363" s="444"/>
      <c r="S363" s="444"/>
      <c r="T363" s="444"/>
    </row>
    <row r="364" spans="16:20" ht="15">
      <c r="P364" s="447"/>
      <c r="Q364" s="444"/>
      <c r="R364" s="444"/>
      <c r="S364" s="444"/>
      <c r="T364" s="444"/>
    </row>
    <row r="365" spans="16:20" ht="15">
      <c r="P365" s="447"/>
      <c r="Q365" s="444"/>
      <c r="R365" s="444"/>
      <c r="S365" s="444"/>
      <c r="T365" s="444"/>
    </row>
    <row r="366" spans="16:20" ht="15">
      <c r="P366" s="447"/>
      <c r="Q366" s="444"/>
      <c r="R366" s="444"/>
      <c r="S366" s="444"/>
      <c r="T366" s="444"/>
    </row>
    <row r="367" spans="16:20" ht="15">
      <c r="P367" s="447"/>
      <c r="Q367" s="444"/>
      <c r="R367" s="444"/>
      <c r="S367" s="444"/>
      <c r="T367" s="444"/>
    </row>
    <row r="368" spans="16:20" ht="15">
      <c r="P368" s="447"/>
      <c r="Q368" s="444"/>
      <c r="R368" s="444"/>
      <c r="S368" s="444"/>
      <c r="T368" s="444"/>
    </row>
    <row r="369" spans="16:20" ht="15">
      <c r="P369" s="447"/>
      <c r="Q369" s="444"/>
      <c r="R369" s="444"/>
      <c r="S369" s="444"/>
      <c r="T369" s="444"/>
    </row>
    <row r="370" spans="16:20" ht="15">
      <c r="P370" s="447"/>
      <c r="Q370" s="444"/>
      <c r="R370" s="444"/>
      <c r="S370" s="444"/>
      <c r="T370" s="444"/>
    </row>
    <row r="371" spans="16:20" ht="15">
      <c r="P371" s="447"/>
      <c r="Q371" s="444"/>
      <c r="R371" s="444"/>
      <c r="S371" s="444"/>
      <c r="T371" s="444"/>
    </row>
    <row r="372" spans="16:20" ht="15">
      <c r="P372" s="447"/>
      <c r="Q372" s="444"/>
      <c r="R372" s="444"/>
      <c r="S372" s="444"/>
      <c r="T372" s="444"/>
    </row>
    <row r="373" spans="16:20" ht="15">
      <c r="P373" s="447"/>
      <c r="Q373" s="444"/>
      <c r="R373" s="444"/>
      <c r="S373" s="444"/>
      <c r="T373" s="444"/>
    </row>
    <row r="374" spans="16:20" ht="15">
      <c r="P374" s="447"/>
      <c r="Q374" s="444"/>
      <c r="R374" s="444"/>
      <c r="S374" s="444"/>
      <c r="T374" s="444"/>
    </row>
    <row r="375" spans="16:20" ht="15">
      <c r="P375" s="447"/>
      <c r="Q375" s="444"/>
      <c r="R375" s="444"/>
      <c r="S375" s="444"/>
      <c r="T375" s="444"/>
    </row>
    <row r="376" spans="16:20" ht="15">
      <c r="P376" s="447"/>
      <c r="Q376" s="444"/>
      <c r="R376" s="444"/>
      <c r="S376" s="444"/>
      <c r="T376" s="444"/>
    </row>
    <row r="377" spans="16:20" ht="15">
      <c r="P377" s="447"/>
      <c r="Q377" s="444"/>
      <c r="R377" s="444"/>
      <c r="S377" s="444"/>
      <c r="T377" s="444"/>
    </row>
    <row r="378" spans="16:20" ht="15">
      <c r="P378" s="447"/>
      <c r="Q378" s="444"/>
      <c r="R378" s="444"/>
      <c r="S378" s="444"/>
      <c r="T378" s="444"/>
    </row>
    <row r="379" spans="16:20" ht="15">
      <c r="P379" s="447"/>
      <c r="Q379" s="444"/>
      <c r="R379" s="444"/>
      <c r="S379" s="444"/>
      <c r="T379" s="444"/>
    </row>
    <row r="380" spans="16:20" ht="15">
      <c r="P380" s="447"/>
      <c r="Q380" s="444"/>
      <c r="R380" s="444"/>
      <c r="S380" s="444"/>
      <c r="T380" s="444"/>
    </row>
    <row r="381" spans="16:20" ht="15">
      <c r="P381" s="447"/>
      <c r="Q381" s="444"/>
      <c r="R381" s="444"/>
      <c r="S381" s="444"/>
      <c r="T381" s="444"/>
    </row>
    <row r="382" spans="16:20" ht="15">
      <c r="P382" s="447"/>
      <c r="Q382" s="444"/>
      <c r="R382" s="444"/>
      <c r="S382" s="444"/>
      <c r="T382" s="444"/>
    </row>
    <row r="383" spans="16:20" ht="15">
      <c r="P383" s="447"/>
      <c r="Q383" s="444"/>
      <c r="R383" s="444"/>
      <c r="S383" s="444"/>
      <c r="T383" s="444"/>
    </row>
    <row r="384" spans="16:20" ht="15">
      <c r="P384" s="447"/>
      <c r="Q384" s="444"/>
      <c r="R384" s="444"/>
      <c r="S384" s="444"/>
      <c r="T384" s="444"/>
    </row>
    <row r="385" spans="16:20" ht="15">
      <c r="P385" s="447"/>
      <c r="Q385" s="444"/>
      <c r="R385" s="444"/>
      <c r="S385" s="444"/>
      <c r="T385" s="444"/>
    </row>
    <row r="386" spans="16:20" ht="15">
      <c r="P386" s="447"/>
      <c r="Q386" s="444"/>
      <c r="R386" s="444"/>
      <c r="S386" s="444"/>
      <c r="T386" s="444"/>
    </row>
    <row r="387" spans="16:20" ht="15">
      <c r="P387" s="447"/>
      <c r="Q387" s="444"/>
      <c r="R387" s="444"/>
      <c r="S387" s="444"/>
      <c r="T387" s="444"/>
    </row>
    <row r="388" spans="16:20" ht="15">
      <c r="P388" s="447"/>
      <c r="Q388" s="444"/>
      <c r="R388" s="444"/>
      <c r="S388" s="444"/>
      <c r="T388" s="444"/>
    </row>
    <row r="389" spans="16:20" ht="15">
      <c r="P389" s="447"/>
      <c r="Q389" s="444"/>
      <c r="R389" s="444"/>
      <c r="S389" s="444"/>
      <c r="T389" s="444"/>
    </row>
    <row r="390" spans="16:20" ht="15">
      <c r="P390" s="447"/>
      <c r="Q390" s="444"/>
      <c r="R390" s="444"/>
      <c r="S390" s="444"/>
      <c r="T390" s="444"/>
    </row>
    <row r="391" spans="16:20" ht="15">
      <c r="P391" s="447"/>
      <c r="Q391" s="444"/>
      <c r="R391" s="444"/>
      <c r="S391" s="444"/>
      <c r="T391" s="444"/>
    </row>
    <row r="392" spans="16:20" ht="15">
      <c r="P392" s="447"/>
      <c r="Q392" s="444"/>
      <c r="R392" s="444"/>
      <c r="S392" s="444"/>
      <c r="T392" s="444"/>
    </row>
    <row r="393" spans="16:20" ht="15">
      <c r="P393" s="447"/>
      <c r="Q393" s="444"/>
      <c r="R393" s="444"/>
      <c r="S393" s="444"/>
      <c r="T393" s="444"/>
    </row>
    <row r="394" spans="16:20" ht="15">
      <c r="P394" s="447"/>
      <c r="Q394" s="444"/>
      <c r="R394" s="444"/>
      <c r="S394" s="444"/>
      <c r="T394" s="444"/>
    </row>
    <row r="395" spans="16:20" ht="15">
      <c r="P395" s="447"/>
      <c r="Q395" s="444"/>
      <c r="R395" s="444"/>
      <c r="S395" s="444"/>
      <c r="T395" s="444"/>
    </row>
    <row r="396" spans="16:20" ht="15">
      <c r="P396" s="447"/>
      <c r="Q396" s="444"/>
      <c r="R396" s="444"/>
      <c r="S396" s="444"/>
      <c r="T396" s="444"/>
    </row>
    <row r="397" spans="16:20" ht="15">
      <c r="P397" s="447"/>
      <c r="Q397" s="444"/>
      <c r="R397" s="444"/>
      <c r="S397" s="444"/>
      <c r="T397" s="444"/>
    </row>
    <row r="398" spans="16:20" ht="15">
      <c r="P398" s="447"/>
      <c r="Q398" s="444"/>
      <c r="R398" s="444"/>
      <c r="S398" s="444"/>
      <c r="T398" s="444"/>
    </row>
    <row r="399" spans="16:20" ht="15">
      <c r="P399" s="447"/>
      <c r="Q399" s="444"/>
      <c r="R399" s="444"/>
      <c r="S399" s="444"/>
      <c r="T399" s="444"/>
    </row>
    <row r="400" spans="16:20" ht="15">
      <c r="P400" s="447"/>
      <c r="Q400" s="444"/>
      <c r="R400" s="444"/>
      <c r="S400" s="444"/>
      <c r="T400" s="444"/>
    </row>
    <row r="401" spans="16:20" ht="15">
      <c r="P401" s="447"/>
      <c r="Q401" s="444"/>
      <c r="R401" s="444"/>
      <c r="S401" s="444"/>
      <c r="T401" s="444"/>
    </row>
    <row r="402" spans="16:20" ht="15">
      <c r="P402" s="447"/>
      <c r="Q402" s="444"/>
      <c r="R402" s="444"/>
      <c r="S402" s="444"/>
      <c r="T402" s="444"/>
    </row>
    <row r="403" spans="16:20" ht="15">
      <c r="P403" s="447"/>
      <c r="Q403" s="444"/>
      <c r="R403" s="444"/>
      <c r="S403" s="444"/>
      <c r="T403" s="444"/>
    </row>
    <row r="404" spans="16:20" ht="15">
      <c r="P404" s="447"/>
      <c r="Q404" s="444"/>
      <c r="R404" s="444"/>
      <c r="S404" s="444"/>
      <c r="T404" s="444"/>
    </row>
    <row r="405" spans="16:20" ht="15">
      <c r="P405" s="447"/>
      <c r="Q405" s="444"/>
      <c r="R405" s="444"/>
      <c r="S405" s="444"/>
      <c r="T405" s="444"/>
    </row>
    <row r="406" spans="16:20" ht="15">
      <c r="P406" s="447"/>
      <c r="Q406" s="444"/>
      <c r="R406" s="444"/>
      <c r="S406" s="444"/>
      <c r="T406" s="444"/>
    </row>
    <row r="407" spans="16:20" ht="15">
      <c r="P407" s="447"/>
      <c r="Q407" s="444"/>
      <c r="R407" s="444"/>
      <c r="S407" s="444"/>
      <c r="T407" s="444"/>
    </row>
    <row r="408" spans="16:20" ht="15">
      <c r="P408" s="447"/>
      <c r="Q408" s="444"/>
      <c r="R408" s="444"/>
      <c r="S408" s="444"/>
      <c r="T408" s="444"/>
    </row>
    <row r="409" spans="16:20" ht="15">
      <c r="P409" s="447"/>
      <c r="Q409" s="444"/>
      <c r="R409" s="444"/>
      <c r="S409" s="444"/>
      <c r="T409" s="444"/>
    </row>
    <row r="410" spans="16:20" ht="15">
      <c r="P410" s="447"/>
      <c r="Q410" s="444"/>
      <c r="R410" s="444"/>
      <c r="S410" s="444"/>
      <c r="T410" s="444"/>
    </row>
    <row r="411" spans="16:20" ht="15">
      <c r="P411" s="447"/>
      <c r="Q411" s="444"/>
      <c r="R411" s="444"/>
      <c r="S411" s="444"/>
      <c r="T411" s="444"/>
    </row>
    <row r="412" spans="16:20" ht="15">
      <c r="P412" s="447"/>
      <c r="Q412" s="444"/>
      <c r="R412" s="444"/>
      <c r="S412" s="444"/>
      <c r="T412" s="444"/>
    </row>
    <row r="413" spans="16:20" ht="15">
      <c r="P413" s="447"/>
      <c r="Q413" s="444"/>
      <c r="R413" s="444"/>
      <c r="S413" s="444"/>
      <c r="T413" s="444"/>
    </row>
    <row r="414" spans="16:20" ht="15">
      <c r="P414" s="447"/>
      <c r="Q414" s="444"/>
      <c r="R414" s="444"/>
      <c r="S414" s="444"/>
      <c r="T414" s="444"/>
    </row>
    <row r="415" spans="16:20" ht="15">
      <c r="P415" s="447"/>
      <c r="Q415" s="444"/>
      <c r="R415" s="444"/>
      <c r="S415" s="444"/>
      <c r="T415" s="444"/>
    </row>
    <row r="416" spans="16:20" ht="15">
      <c r="P416" s="447"/>
      <c r="Q416" s="444"/>
      <c r="R416" s="444"/>
      <c r="S416" s="444"/>
      <c r="T416" s="444"/>
    </row>
    <row r="417" spans="16:20" ht="15">
      <c r="P417" s="447"/>
      <c r="Q417" s="444"/>
      <c r="R417" s="444"/>
      <c r="S417" s="444"/>
      <c r="T417" s="444"/>
    </row>
    <row r="418" spans="16:20" ht="15">
      <c r="P418" s="447"/>
      <c r="Q418" s="444"/>
      <c r="R418" s="444"/>
      <c r="S418" s="444"/>
      <c r="T418" s="444"/>
    </row>
    <row r="419" spans="16:20" ht="15">
      <c r="P419" s="447"/>
      <c r="Q419" s="444"/>
      <c r="R419" s="444"/>
      <c r="S419" s="444"/>
      <c r="T419" s="444"/>
    </row>
    <row r="420" spans="16:20" ht="15">
      <c r="P420" s="447"/>
      <c r="Q420" s="444"/>
      <c r="R420" s="444"/>
      <c r="S420" s="444"/>
      <c r="T420" s="444"/>
    </row>
    <row r="421" spans="16:20" ht="15">
      <c r="P421" s="447"/>
      <c r="Q421" s="444"/>
      <c r="R421" s="444"/>
      <c r="S421" s="444"/>
      <c r="T421" s="444"/>
    </row>
    <row r="422" spans="16:20" ht="15">
      <c r="P422" s="447"/>
      <c r="Q422" s="444"/>
      <c r="R422" s="444"/>
      <c r="S422" s="444"/>
      <c r="T422" s="444"/>
    </row>
    <row r="423" spans="16:20" ht="15">
      <c r="P423" s="447"/>
      <c r="Q423" s="444"/>
      <c r="R423" s="444"/>
      <c r="S423" s="444"/>
      <c r="T423" s="444"/>
    </row>
    <row r="424" spans="16:20" ht="15">
      <c r="P424" s="447"/>
      <c r="Q424" s="444"/>
      <c r="R424" s="444"/>
      <c r="S424" s="444"/>
      <c r="T424" s="444"/>
    </row>
    <row r="425" spans="16:20" ht="15">
      <c r="P425" s="447"/>
      <c r="Q425" s="444"/>
      <c r="R425" s="444"/>
      <c r="S425" s="444"/>
      <c r="T425" s="444"/>
    </row>
    <row r="426" spans="16:20" ht="15">
      <c r="P426" s="447"/>
      <c r="Q426" s="444"/>
      <c r="R426" s="444"/>
      <c r="S426" s="444"/>
      <c r="T426" s="444"/>
    </row>
    <row r="427" spans="16:20" ht="15">
      <c r="P427" s="447"/>
      <c r="Q427" s="444"/>
      <c r="R427" s="444"/>
      <c r="S427" s="444"/>
      <c r="T427" s="444"/>
    </row>
    <row r="428" spans="16:20" ht="15">
      <c r="P428" s="447"/>
      <c r="Q428" s="444"/>
      <c r="R428" s="444"/>
      <c r="S428" s="444"/>
      <c r="T428" s="444"/>
    </row>
    <row r="429" spans="16:20" ht="15">
      <c r="P429" s="447"/>
      <c r="Q429" s="444"/>
      <c r="R429" s="444"/>
      <c r="S429" s="444"/>
      <c r="T429" s="444"/>
    </row>
    <row r="430" spans="16:20" ht="15">
      <c r="P430" s="447"/>
      <c r="Q430" s="444"/>
      <c r="R430" s="444"/>
      <c r="S430" s="444"/>
      <c r="T430" s="444"/>
    </row>
    <row r="431" spans="16:20" ht="15">
      <c r="P431" s="447"/>
      <c r="Q431" s="444"/>
      <c r="R431" s="444"/>
      <c r="S431" s="444"/>
      <c r="T431" s="444"/>
    </row>
    <row r="432" spans="16:20" ht="15">
      <c r="P432" s="447"/>
      <c r="Q432" s="444"/>
      <c r="R432" s="444"/>
      <c r="S432" s="444"/>
      <c r="T432" s="444"/>
    </row>
    <row r="433" spans="16:20" ht="15">
      <c r="P433" s="447"/>
      <c r="Q433" s="444"/>
      <c r="R433" s="444"/>
      <c r="S433" s="444"/>
      <c r="T433" s="444"/>
    </row>
    <row r="434" spans="16:20" ht="15">
      <c r="P434" s="447"/>
      <c r="Q434" s="444"/>
      <c r="R434" s="444"/>
      <c r="S434" s="444"/>
      <c r="T434" s="444"/>
    </row>
    <row r="435" spans="16:20" ht="15">
      <c r="P435" s="447"/>
      <c r="Q435" s="444"/>
      <c r="R435" s="444"/>
      <c r="S435" s="444"/>
      <c r="T435" s="444"/>
    </row>
    <row r="436" spans="16:20" ht="15">
      <c r="P436" s="447"/>
      <c r="Q436" s="444"/>
      <c r="R436" s="444"/>
      <c r="S436" s="444"/>
      <c r="T436" s="444"/>
    </row>
    <row r="437" spans="16:20" ht="15">
      <c r="P437" s="447"/>
      <c r="Q437" s="444"/>
      <c r="R437" s="444"/>
      <c r="S437" s="444"/>
      <c r="T437" s="444"/>
    </row>
    <row r="438" spans="16:20" ht="15">
      <c r="P438" s="447"/>
      <c r="Q438" s="444"/>
      <c r="R438" s="444"/>
      <c r="S438" s="444"/>
      <c r="T438" s="444"/>
    </row>
    <row r="439" spans="16:20" ht="15">
      <c r="P439" s="447"/>
      <c r="Q439" s="444"/>
      <c r="R439" s="444"/>
      <c r="S439" s="444"/>
      <c r="T439" s="444"/>
    </row>
    <row r="440" spans="16:20" ht="15">
      <c r="P440" s="447"/>
      <c r="Q440" s="444"/>
      <c r="R440" s="444"/>
      <c r="S440" s="444"/>
      <c r="T440" s="444"/>
    </row>
    <row r="441" spans="16:20" ht="15">
      <c r="P441" s="447"/>
      <c r="Q441" s="444"/>
      <c r="R441" s="444"/>
      <c r="S441" s="444"/>
      <c r="T441" s="444"/>
    </row>
    <row r="442" spans="16:20" ht="15">
      <c r="P442" s="447"/>
      <c r="Q442" s="444"/>
      <c r="R442" s="444"/>
      <c r="S442" s="444"/>
      <c r="T442" s="444"/>
    </row>
    <row r="443" spans="16:20" ht="15">
      <c r="P443" s="447"/>
      <c r="Q443" s="444"/>
      <c r="R443" s="444"/>
      <c r="S443" s="444"/>
      <c r="T443" s="444"/>
    </row>
    <row r="444" spans="16:20" ht="15">
      <c r="P444" s="447"/>
      <c r="Q444" s="444"/>
      <c r="R444" s="444"/>
      <c r="S444" s="444"/>
      <c r="T444" s="444"/>
    </row>
    <row r="445" spans="16:20" ht="15">
      <c r="P445" s="447"/>
      <c r="Q445" s="444"/>
      <c r="R445" s="444"/>
      <c r="S445" s="444"/>
      <c r="T445" s="444"/>
    </row>
    <row r="446" spans="16:20" ht="15">
      <c r="P446" s="447"/>
      <c r="Q446" s="444"/>
      <c r="R446" s="444"/>
      <c r="S446" s="444"/>
      <c r="T446" s="444"/>
    </row>
    <row r="447" spans="16:20" ht="15">
      <c r="P447" s="447"/>
      <c r="Q447" s="444"/>
      <c r="R447" s="444"/>
      <c r="S447" s="444"/>
      <c r="T447" s="444"/>
    </row>
    <row r="448" spans="16:20" ht="15">
      <c r="P448" s="447"/>
      <c r="Q448" s="444"/>
      <c r="R448" s="444"/>
      <c r="S448" s="444"/>
      <c r="T448" s="444"/>
    </row>
    <row r="449" spans="16:20" ht="15">
      <c r="P449" s="447"/>
      <c r="Q449" s="444"/>
      <c r="R449" s="444"/>
      <c r="S449" s="444"/>
      <c r="T449" s="444"/>
    </row>
    <row r="450" spans="16:20" ht="15">
      <c r="P450" s="447"/>
      <c r="Q450" s="444"/>
      <c r="R450" s="444"/>
      <c r="S450" s="444"/>
      <c r="T450" s="444"/>
    </row>
    <row r="451" spans="16:20" ht="15">
      <c r="P451" s="447"/>
      <c r="Q451" s="444"/>
      <c r="R451" s="444"/>
      <c r="S451" s="444"/>
      <c r="T451" s="444"/>
    </row>
    <row r="452" spans="16:20" ht="15">
      <c r="P452" s="447"/>
      <c r="Q452" s="444"/>
      <c r="R452" s="444"/>
      <c r="S452" s="444"/>
      <c r="T452" s="444"/>
    </row>
    <row r="453" spans="16:20" ht="15">
      <c r="P453" s="447"/>
      <c r="Q453" s="444"/>
      <c r="R453" s="444"/>
      <c r="S453" s="444"/>
      <c r="T453" s="444"/>
    </row>
    <row r="454" spans="16:20" ht="15">
      <c r="P454" s="447"/>
      <c r="Q454" s="444"/>
      <c r="R454" s="444"/>
      <c r="S454" s="444"/>
      <c r="T454" s="444"/>
    </row>
    <row r="455" spans="16:20" ht="15">
      <c r="P455" s="447"/>
      <c r="Q455" s="444"/>
      <c r="R455" s="444"/>
      <c r="S455" s="444"/>
      <c r="T455" s="444"/>
    </row>
    <row r="456" spans="16:20" ht="15">
      <c r="P456" s="447"/>
      <c r="Q456" s="444"/>
      <c r="R456" s="444"/>
      <c r="S456" s="444"/>
      <c r="T456" s="444"/>
    </row>
    <row r="457" spans="16:20" ht="15">
      <c r="P457" s="447"/>
      <c r="Q457" s="444"/>
      <c r="R457" s="444"/>
      <c r="S457" s="444"/>
      <c r="T457" s="444"/>
    </row>
    <row r="458" spans="16:20" ht="15">
      <c r="P458" s="447"/>
      <c r="Q458" s="444"/>
      <c r="R458" s="444"/>
      <c r="S458" s="444"/>
      <c r="T458" s="444"/>
    </row>
    <row r="459" spans="16:20" ht="15">
      <c r="P459" s="447"/>
      <c r="Q459" s="444"/>
      <c r="R459" s="444"/>
      <c r="S459" s="444"/>
      <c r="T459" s="444"/>
    </row>
    <row r="460" spans="16:20" ht="15">
      <c r="P460" s="447"/>
      <c r="Q460" s="444"/>
      <c r="R460" s="444"/>
      <c r="S460" s="444"/>
      <c r="T460" s="444"/>
    </row>
    <row r="461" spans="16:20" ht="15">
      <c r="P461" s="447"/>
      <c r="Q461" s="444"/>
      <c r="R461" s="444"/>
      <c r="S461" s="444"/>
      <c r="T461" s="444"/>
    </row>
    <row r="462" spans="16:20" ht="15">
      <c r="P462" s="447"/>
      <c r="Q462" s="444"/>
      <c r="R462" s="444"/>
      <c r="S462" s="444"/>
      <c r="T462" s="444"/>
    </row>
    <row r="463" spans="16:20" ht="15">
      <c r="P463" s="447"/>
      <c r="Q463" s="444"/>
      <c r="R463" s="444"/>
      <c r="S463" s="444"/>
      <c r="T463" s="444"/>
    </row>
    <row r="464" spans="16:20" ht="15">
      <c r="P464" s="447"/>
      <c r="Q464" s="444"/>
      <c r="R464" s="444"/>
      <c r="S464" s="444"/>
      <c r="T464" s="444"/>
    </row>
    <row r="465" spans="16:20" ht="15">
      <c r="P465" s="447"/>
      <c r="Q465" s="444"/>
      <c r="R465" s="444"/>
      <c r="S465" s="444"/>
      <c r="T465" s="444"/>
    </row>
    <row r="466" spans="16:20" ht="15">
      <c r="P466" s="447"/>
      <c r="Q466" s="444"/>
      <c r="R466" s="444"/>
      <c r="S466" s="444"/>
      <c r="T466" s="444"/>
    </row>
    <row r="467" spans="16:20" ht="15">
      <c r="P467" s="447"/>
      <c r="Q467" s="444"/>
      <c r="R467" s="444"/>
      <c r="S467" s="444"/>
      <c r="T467" s="444"/>
    </row>
    <row r="468" spans="16:20" ht="15">
      <c r="P468" s="447"/>
      <c r="Q468" s="444"/>
      <c r="R468" s="444"/>
      <c r="S468" s="444"/>
      <c r="T468" s="444"/>
    </row>
    <row r="469" spans="16:20" ht="15">
      <c r="P469" s="447"/>
      <c r="Q469" s="444"/>
      <c r="R469" s="444"/>
      <c r="S469" s="444"/>
      <c r="T469" s="444"/>
    </row>
    <row r="470" spans="16:20" ht="15">
      <c r="P470" s="447"/>
      <c r="Q470" s="444"/>
      <c r="R470" s="444"/>
      <c r="S470" s="444"/>
      <c r="T470" s="444"/>
    </row>
    <row r="471" spans="16:20" ht="15">
      <c r="P471" s="447"/>
      <c r="Q471" s="444"/>
      <c r="R471" s="444"/>
      <c r="S471" s="444"/>
      <c r="T471" s="444"/>
    </row>
    <row r="472" spans="16:20" ht="15">
      <c r="P472" s="447"/>
      <c r="Q472" s="444"/>
      <c r="R472" s="444"/>
      <c r="S472" s="444"/>
      <c r="T472" s="444"/>
    </row>
    <row r="473" spans="16:20" ht="15">
      <c r="P473" s="447"/>
      <c r="Q473" s="444"/>
      <c r="R473" s="444"/>
      <c r="S473" s="444"/>
      <c r="T473" s="444"/>
    </row>
    <row r="474" spans="16:20" ht="15">
      <c r="P474" s="447"/>
      <c r="Q474" s="444"/>
      <c r="R474" s="444"/>
      <c r="S474" s="444"/>
      <c r="T474" s="444"/>
    </row>
    <row r="475" spans="16:20" ht="15">
      <c r="P475" s="447"/>
      <c r="Q475" s="444"/>
      <c r="R475" s="444"/>
      <c r="S475" s="444"/>
      <c r="T475" s="444"/>
    </row>
    <row r="476" spans="16:20" ht="15">
      <c r="P476" s="447"/>
      <c r="Q476" s="444"/>
      <c r="R476" s="444"/>
      <c r="S476" s="444"/>
      <c r="T476" s="444"/>
    </row>
    <row r="477" spans="16:20" ht="15">
      <c r="P477" s="447"/>
      <c r="Q477" s="444"/>
      <c r="R477" s="444"/>
      <c r="S477" s="444"/>
      <c r="T477" s="444"/>
    </row>
    <row r="478" spans="16:20" ht="15">
      <c r="P478" s="447"/>
      <c r="Q478" s="444"/>
      <c r="R478" s="444"/>
      <c r="S478" s="444"/>
      <c r="T478" s="444"/>
    </row>
    <row r="479" spans="16:20" ht="15">
      <c r="P479" s="447"/>
      <c r="Q479" s="444"/>
      <c r="R479" s="444"/>
      <c r="S479" s="444"/>
      <c r="T479" s="444"/>
    </row>
    <row r="480" spans="16:20" ht="15">
      <c r="P480" s="447"/>
      <c r="Q480" s="444"/>
      <c r="R480" s="444"/>
      <c r="S480" s="444"/>
      <c r="T480" s="444"/>
    </row>
    <row r="481" spans="16:20" ht="15">
      <c r="P481" s="447"/>
      <c r="Q481" s="444"/>
      <c r="R481" s="444"/>
      <c r="S481" s="444"/>
      <c r="T481" s="444"/>
    </row>
    <row r="482" spans="16:20" ht="15">
      <c r="P482" s="447"/>
      <c r="Q482" s="444"/>
      <c r="R482" s="444"/>
      <c r="S482" s="444"/>
      <c r="T482" s="444"/>
    </row>
    <row r="483" spans="16:20" ht="15">
      <c r="P483" s="447"/>
      <c r="Q483" s="444"/>
      <c r="R483" s="444"/>
      <c r="S483" s="444"/>
      <c r="T483" s="444"/>
    </row>
    <row r="484" spans="16:20" ht="15">
      <c r="P484" s="447"/>
      <c r="Q484" s="444"/>
      <c r="R484" s="444"/>
      <c r="S484" s="444"/>
      <c r="T484" s="444"/>
    </row>
    <row r="485" spans="16:20" ht="15">
      <c r="P485" s="447"/>
      <c r="Q485" s="444"/>
      <c r="R485" s="444"/>
      <c r="S485" s="444"/>
      <c r="T485" s="444"/>
    </row>
    <row r="486" spans="16:20" ht="15">
      <c r="P486" s="447"/>
      <c r="Q486" s="444"/>
      <c r="R486" s="444"/>
      <c r="S486" s="444"/>
      <c r="T486" s="444"/>
    </row>
    <row r="487" spans="16:20" ht="15">
      <c r="P487" s="447"/>
      <c r="Q487" s="444"/>
      <c r="R487" s="444"/>
      <c r="S487" s="444"/>
      <c r="T487" s="444"/>
    </row>
    <row r="488" spans="16:20" ht="15">
      <c r="P488" s="447"/>
      <c r="Q488" s="444"/>
      <c r="R488" s="444"/>
      <c r="S488" s="444"/>
      <c r="T488" s="444"/>
    </row>
    <row r="489" spans="16:20" ht="15">
      <c r="P489" s="447"/>
      <c r="Q489" s="444"/>
      <c r="R489" s="444"/>
      <c r="S489" s="444"/>
      <c r="T489" s="444"/>
    </row>
    <row r="490" spans="16:20" ht="15">
      <c r="P490" s="447"/>
      <c r="Q490" s="444"/>
      <c r="R490" s="444"/>
      <c r="S490" s="444"/>
      <c r="T490" s="444"/>
    </row>
    <row r="491" spans="16:20" ht="15">
      <c r="P491" s="447"/>
      <c r="Q491" s="444"/>
      <c r="R491" s="444"/>
      <c r="S491" s="444"/>
      <c r="T491" s="444"/>
    </row>
    <row r="492" spans="16:20" ht="15">
      <c r="P492" s="447"/>
      <c r="Q492" s="444"/>
      <c r="R492" s="444"/>
      <c r="S492" s="444"/>
      <c r="T492" s="444"/>
    </row>
    <row r="493" spans="16:20" ht="15">
      <c r="P493" s="447"/>
      <c r="Q493" s="444"/>
      <c r="R493" s="444"/>
      <c r="S493" s="444"/>
      <c r="T493" s="444"/>
    </row>
    <row r="494" spans="16:20" ht="15">
      <c r="P494" s="447"/>
      <c r="Q494" s="444"/>
      <c r="R494" s="444"/>
      <c r="S494" s="444"/>
      <c r="T494" s="444"/>
    </row>
    <row r="495" spans="16:20" ht="15">
      <c r="P495" s="447"/>
      <c r="Q495" s="444"/>
      <c r="R495" s="444"/>
      <c r="S495" s="444"/>
      <c r="T495" s="444"/>
    </row>
    <row r="496" spans="16:20" ht="15">
      <c r="P496" s="447"/>
      <c r="Q496" s="444"/>
      <c r="R496" s="444"/>
      <c r="S496" s="444"/>
      <c r="T496" s="444"/>
    </row>
    <row r="497" spans="16:20" ht="15">
      <c r="P497" s="447"/>
      <c r="Q497" s="444"/>
      <c r="R497" s="444"/>
      <c r="S497" s="444"/>
      <c r="T497" s="444"/>
    </row>
    <row r="498" spans="16:20" ht="15">
      <c r="P498" s="447"/>
      <c r="Q498" s="444"/>
      <c r="R498" s="444"/>
      <c r="S498" s="444"/>
      <c r="T498" s="444"/>
    </row>
    <row r="499" spans="16:20" ht="15">
      <c r="P499" s="447"/>
      <c r="Q499" s="444"/>
      <c r="R499" s="444"/>
      <c r="S499" s="444"/>
      <c r="T499" s="444"/>
    </row>
    <row r="500" spans="16:20" ht="15">
      <c r="P500" s="447"/>
      <c r="Q500" s="444"/>
      <c r="R500" s="444"/>
      <c r="S500" s="444"/>
      <c r="T500" s="444"/>
    </row>
    <row r="501" spans="16:20" ht="15">
      <c r="P501" s="447"/>
      <c r="Q501" s="444"/>
      <c r="R501" s="444"/>
      <c r="S501" s="444"/>
      <c r="T501" s="444"/>
    </row>
    <row r="502" spans="16:20" ht="15">
      <c r="P502" s="447"/>
      <c r="Q502" s="444"/>
      <c r="R502" s="444"/>
      <c r="S502" s="444"/>
      <c r="T502" s="444"/>
    </row>
    <row r="503" spans="16:20" ht="15">
      <c r="P503" s="447"/>
      <c r="Q503" s="444"/>
      <c r="R503" s="444"/>
      <c r="S503" s="444"/>
      <c r="T503" s="444"/>
    </row>
    <row r="504" spans="16:20" ht="15">
      <c r="P504" s="447"/>
      <c r="Q504" s="444"/>
      <c r="R504" s="444"/>
      <c r="S504" s="444"/>
      <c r="T504" s="444"/>
    </row>
    <row r="505" spans="16:20" ht="15">
      <c r="P505" s="447"/>
      <c r="Q505" s="444"/>
      <c r="R505" s="444"/>
      <c r="S505" s="444"/>
      <c r="T505" s="444"/>
    </row>
    <row r="506" spans="16:20" ht="15">
      <c r="P506" s="447"/>
      <c r="Q506" s="444"/>
      <c r="R506" s="444"/>
      <c r="S506" s="444"/>
      <c r="T506" s="444"/>
    </row>
    <row r="507" spans="16:20" ht="15">
      <c r="P507" s="447"/>
      <c r="Q507" s="444"/>
      <c r="R507" s="444"/>
      <c r="S507" s="444"/>
      <c r="T507" s="444"/>
    </row>
    <row r="508" spans="16:20" ht="15">
      <c r="P508" s="447"/>
      <c r="Q508" s="444"/>
      <c r="R508" s="444"/>
      <c r="S508" s="444"/>
      <c r="T508" s="444"/>
    </row>
    <row r="509" spans="16:20" ht="15">
      <c r="P509" s="447"/>
      <c r="Q509" s="444"/>
      <c r="R509" s="444"/>
      <c r="S509" s="444"/>
      <c r="T509" s="444"/>
    </row>
    <row r="510" spans="16:20" ht="15">
      <c r="P510" s="447"/>
      <c r="Q510" s="444"/>
      <c r="R510" s="444"/>
      <c r="S510" s="444"/>
      <c r="T510" s="444"/>
    </row>
    <row r="511" spans="16:20" ht="15">
      <c r="P511" s="447"/>
      <c r="Q511" s="444"/>
      <c r="R511" s="444"/>
      <c r="S511" s="444"/>
      <c r="T511" s="444"/>
    </row>
    <row r="512" spans="16:20" ht="15">
      <c r="P512" s="447"/>
      <c r="Q512" s="444"/>
      <c r="R512" s="444"/>
      <c r="S512" s="444"/>
      <c r="T512" s="444"/>
    </row>
    <row r="513" spans="16:20" ht="15">
      <c r="P513" s="447"/>
      <c r="Q513" s="444"/>
      <c r="R513" s="444"/>
      <c r="S513" s="444"/>
      <c r="T513" s="444"/>
    </row>
    <row r="514" spans="16:20" ht="15">
      <c r="P514" s="447"/>
      <c r="Q514" s="444"/>
      <c r="R514" s="444"/>
      <c r="S514" s="444"/>
      <c r="T514" s="444"/>
    </row>
    <row r="515" spans="16:20" ht="15">
      <c r="P515" s="447"/>
      <c r="Q515" s="444"/>
      <c r="R515" s="444"/>
      <c r="S515" s="444"/>
      <c r="T515" s="444"/>
    </row>
    <row r="516" spans="16:20" ht="15">
      <c r="P516" s="447"/>
      <c r="Q516" s="444"/>
      <c r="R516" s="444"/>
      <c r="S516" s="444"/>
      <c r="T516" s="444"/>
    </row>
    <row r="517" spans="16:20" ht="15">
      <c r="P517" s="447"/>
      <c r="Q517" s="444"/>
      <c r="R517" s="444"/>
      <c r="S517" s="444"/>
      <c r="T517" s="444"/>
    </row>
    <row r="518" spans="16:20" ht="15">
      <c r="P518" s="447"/>
      <c r="Q518" s="444"/>
      <c r="R518" s="444"/>
      <c r="S518" s="444"/>
      <c r="T518" s="444"/>
    </row>
    <row r="519" spans="16:20" ht="15">
      <c r="P519" s="447"/>
      <c r="Q519" s="444"/>
      <c r="R519" s="444"/>
      <c r="S519" s="444"/>
      <c r="T519" s="444"/>
    </row>
    <row r="520" spans="16:20" ht="15">
      <c r="P520" s="447"/>
      <c r="Q520" s="444"/>
      <c r="R520" s="444"/>
      <c r="S520" s="444"/>
      <c r="T520" s="444"/>
    </row>
    <row r="521" spans="16:20" ht="15">
      <c r="P521" s="447"/>
      <c r="Q521" s="444"/>
      <c r="R521" s="444"/>
      <c r="S521" s="444"/>
      <c r="T521" s="444"/>
    </row>
    <row r="522" spans="16:20" ht="15">
      <c r="P522" s="447"/>
      <c r="Q522" s="444"/>
      <c r="R522" s="444"/>
      <c r="S522" s="444"/>
      <c r="T522" s="444"/>
    </row>
    <row r="523" spans="16:20" ht="15">
      <c r="P523" s="447"/>
      <c r="Q523" s="444"/>
      <c r="R523" s="444"/>
      <c r="S523" s="444"/>
      <c r="T523" s="444"/>
    </row>
    <row r="524" spans="16:20" ht="15">
      <c r="P524" s="447"/>
      <c r="Q524" s="444"/>
      <c r="R524" s="444"/>
      <c r="S524" s="444"/>
      <c r="T524" s="444"/>
    </row>
    <row r="525" spans="16:20" ht="15">
      <c r="P525" s="447"/>
      <c r="Q525" s="444"/>
      <c r="R525" s="444"/>
      <c r="S525" s="444"/>
      <c r="T525" s="444"/>
    </row>
    <row r="526" spans="16:20" ht="15">
      <c r="P526" s="447"/>
      <c r="Q526" s="444"/>
      <c r="R526" s="444"/>
      <c r="S526" s="444"/>
      <c r="T526" s="444"/>
    </row>
    <row r="527" spans="16:20" ht="15">
      <c r="P527" s="447"/>
      <c r="Q527" s="444"/>
      <c r="R527" s="444"/>
      <c r="S527" s="444"/>
      <c r="T527" s="444"/>
    </row>
    <row r="528" spans="16:20" ht="15">
      <c r="P528" s="447"/>
      <c r="Q528" s="444"/>
      <c r="R528" s="444"/>
      <c r="S528" s="444"/>
      <c r="T528" s="444"/>
    </row>
    <row r="529" spans="16:20" ht="15">
      <c r="P529" s="447"/>
      <c r="Q529" s="444"/>
      <c r="R529" s="444"/>
      <c r="S529" s="444"/>
      <c r="T529" s="444"/>
    </row>
    <row r="530" spans="16:20" ht="15">
      <c r="P530" s="447"/>
      <c r="Q530" s="444"/>
      <c r="R530" s="444"/>
      <c r="S530" s="444"/>
      <c r="T530" s="444"/>
    </row>
    <row r="531" spans="16:20" ht="15">
      <c r="P531" s="447"/>
      <c r="Q531" s="444"/>
      <c r="R531" s="444"/>
      <c r="S531" s="444"/>
      <c r="T531" s="444"/>
    </row>
    <row r="532" spans="16:20" ht="15">
      <c r="P532" s="447"/>
      <c r="Q532" s="444"/>
      <c r="R532" s="444"/>
      <c r="S532" s="444"/>
      <c r="T532" s="444"/>
    </row>
    <row r="533" spans="16:20" ht="15">
      <c r="P533" s="447"/>
      <c r="Q533" s="444"/>
      <c r="R533" s="444"/>
      <c r="S533" s="444"/>
      <c r="T533" s="444"/>
    </row>
    <row r="534" spans="16:20" ht="15">
      <c r="P534" s="447"/>
      <c r="Q534" s="444"/>
      <c r="R534" s="444"/>
      <c r="S534" s="444"/>
      <c r="T534" s="444"/>
    </row>
    <row r="535" spans="16:20" ht="15">
      <c r="P535" s="447"/>
      <c r="Q535" s="444"/>
      <c r="R535" s="444"/>
      <c r="S535" s="444"/>
      <c r="T535" s="444"/>
    </row>
    <row r="536" spans="16:20" ht="15">
      <c r="P536" s="447"/>
      <c r="Q536" s="444"/>
      <c r="R536" s="444"/>
      <c r="S536" s="444"/>
      <c r="T536" s="444"/>
    </row>
    <row r="537" spans="16:20" ht="15">
      <c r="P537" s="447"/>
      <c r="Q537" s="444"/>
      <c r="R537" s="444"/>
      <c r="S537" s="444"/>
      <c r="T537" s="444"/>
    </row>
    <row r="538" spans="16:20" ht="15">
      <c r="P538" s="447"/>
      <c r="Q538" s="444"/>
      <c r="R538" s="444"/>
      <c r="S538" s="444"/>
      <c r="T538" s="444"/>
    </row>
    <row r="539" spans="16:20" ht="15">
      <c r="P539" s="447"/>
      <c r="Q539" s="444"/>
      <c r="R539" s="444"/>
      <c r="S539" s="444"/>
      <c r="T539" s="444"/>
    </row>
    <row r="540" spans="16:20" ht="15">
      <c r="P540" s="447"/>
      <c r="Q540" s="444"/>
      <c r="R540" s="444"/>
      <c r="S540" s="444"/>
      <c r="T540" s="444"/>
    </row>
    <row r="541" spans="16:20" ht="15">
      <c r="P541" s="447"/>
      <c r="Q541" s="444"/>
      <c r="R541" s="444"/>
      <c r="S541" s="444"/>
      <c r="T541" s="444"/>
    </row>
    <row r="542" spans="16:20" ht="15">
      <c r="P542" s="447"/>
      <c r="Q542" s="444"/>
      <c r="R542" s="444"/>
      <c r="S542" s="444"/>
      <c r="T542" s="444"/>
    </row>
    <row r="543" spans="16:20" ht="15">
      <c r="P543" s="447"/>
      <c r="Q543" s="444"/>
      <c r="R543" s="444"/>
      <c r="S543" s="444"/>
      <c r="T543" s="444"/>
    </row>
    <row r="544" spans="16:20" ht="15">
      <c r="P544" s="447"/>
      <c r="Q544" s="444"/>
      <c r="R544" s="444"/>
      <c r="S544" s="444"/>
      <c r="T544" s="444"/>
    </row>
    <row r="545" spans="16:20" ht="15">
      <c r="P545" s="447"/>
      <c r="Q545" s="444"/>
      <c r="R545" s="444"/>
      <c r="S545" s="444"/>
      <c r="T545" s="444"/>
    </row>
    <row r="546" spans="16:20" ht="15">
      <c r="P546" s="447"/>
      <c r="Q546" s="444"/>
      <c r="R546" s="444"/>
      <c r="S546" s="444"/>
      <c r="T546" s="444"/>
    </row>
    <row r="547" spans="16:20" ht="15">
      <c r="P547" s="447"/>
      <c r="Q547" s="444"/>
      <c r="R547" s="444"/>
      <c r="S547" s="444"/>
      <c r="T547" s="444"/>
    </row>
    <row r="548" spans="16:20" ht="15">
      <c r="P548" s="447"/>
      <c r="Q548" s="444"/>
      <c r="R548" s="444"/>
      <c r="S548" s="444"/>
      <c r="T548" s="444"/>
    </row>
    <row r="549" spans="16:20" ht="15">
      <c r="P549" s="447"/>
      <c r="Q549" s="444"/>
      <c r="R549" s="444"/>
      <c r="S549" s="444"/>
      <c r="T549" s="444"/>
    </row>
    <row r="550" spans="16:20" ht="15">
      <c r="P550" s="447"/>
      <c r="Q550" s="444"/>
      <c r="R550" s="444"/>
      <c r="S550" s="444"/>
      <c r="T550" s="444"/>
    </row>
    <row r="551" spans="16:20" ht="15">
      <c r="P551" s="447"/>
      <c r="Q551" s="444"/>
      <c r="R551" s="444"/>
      <c r="S551" s="444"/>
      <c r="T551" s="444"/>
    </row>
    <row r="552" spans="16:20" ht="15">
      <c r="P552" s="447"/>
      <c r="Q552" s="444"/>
      <c r="R552" s="444"/>
      <c r="S552" s="444"/>
      <c r="T552" s="444"/>
    </row>
    <row r="553" spans="16:20" ht="15">
      <c r="P553" s="447"/>
      <c r="Q553" s="444"/>
      <c r="R553" s="444"/>
      <c r="S553" s="444"/>
      <c r="T553" s="444"/>
    </row>
    <row r="554" spans="16:20" ht="15">
      <c r="P554" s="447"/>
      <c r="Q554" s="444"/>
      <c r="R554" s="444"/>
      <c r="S554" s="444"/>
      <c r="T554" s="444"/>
    </row>
    <row r="555" spans="16:20" ht="15">
      <c r="P555" s="447"/>
      <c r="Q555" s="444"/>
      <c r="R555" s="444"/>
      <c r="S555" s="444"/>
      <c r="T555" s="444"/>
    </row>
    <row r="556" spans="16:20" ht="15">
      <c r="P556" s="447"/>
      <c r="Q556" s="444"/>
      <c r="R556" s="444"/>
      <c r="S556" s="444"/>
      <c r="T556" s="444"/>
    </row>
    <row r="557" spans="16:20" ht="15">
      <c r="P557" s="447"/>
      <c r="Q557" s="444"/>
      <c r="R557" s="444"/>
      <c r="S557" s="444"/>
      <c r="T557" s="444"/>
    </row>
    <row r="558" spans="16:20" ht="15">
      <c r="P558" s="447"/>
      <c r="Q558" s="444"/>
      <c r="R558" s="444"/>
      <c r="S558" s="444"/>
      <c r="T558" s="444"/>
    </row>
    <row r="559" spans="16:20" ht="15">
      <c r="P559" s="447"/>
      <c r="Q559" s="444"/>
      <c r="R559" s="444"/>
      <c r="S559" s="444"/>
      <c r="T559" s="444"/>
    </row>
    <row r="560" spans="16:20" ht="15">
      <c r="P560" s="447"/>
      <c r="Q560" s="444"/>
      <c r="R560" s="444"/>
      <c r="S560" s="444"/>
      <c r="T560" s="444"/>
    </row>
    <row r="561" spans="16:20" ht="15">
      <c r="P561" s="447"/>
      <c r="Q561" s="444"/>
      <c r="R561" s="444"/>
      <c r="S561" s="444"/>
      <c r="T561" s="444"/>
    </row>
    <row r="562" spans="16:20" ht="15">
      <c r="P562" s="447"/>
      <c r="Q562" s="444"/>
      <c r="R562" s="444"/>
      <c r="S562" s="444"/>
      <c r="T562" s="444"/>
    </row>
    <row r="563" spans="16:20" ht="15">
      <c r="P563" s="447"/>
      <c r="Q563" s="444"/>
      <c r="R563" s="444"/>
      <c r="S563" s="444"/>
      <c r="T563" s="444"/>
    </row>
    <row r="564" spans="16:20" ht="15">
      <c r="P564" s="447"/>
      <c r="Q564" s="444"/>
      <c r="R564" s="444"/>
      <c r="S564" s="444"/>
      <c r="T564" s="444"/>
    </row>
    <row r="565" spans="16:20" ht="15">
      <c r="P565" s="447"/>
      <c r="Q565" s="444"/>
      <c r="R565" s="444"/>
      <c r="S565" s="444"/>
      <c r="T565" s="444"/>
    </row>
    <row r="566" spans="16:20" ht="15">
      <c r="P566" s="447"/>
      <c r="Q566" s="444"/>
      <c r="R566" s="444"/>
      <c r="S566" s="444"/>
      <c r="T566" s="444"/>
    </row>
    <row r="567" spans="16:20" ht="15">
      <c r="P567" s="447"/>
      <c r="Q567" s="444"/>
      <c r="R567" s="444"/>
      <c r="S567" s="444"/>
      <c r="T567" s="444"/>
    </row>
    <row r="568" spans="16:20" ht="15">
      <c r="P568" s="447"/>
      <c r="Q568" s="444"/>
      <c r="R568" s="444"/>
      <c r="S568" s="444"/>
      <c r="T568" s="444"/>
    </row>
    <row r="569" spans="16:20" ht="15">
      <c r="P569" s="447"/>
      <c r="Q569" s="444"/>
      <c r="R569" s="444"/>
      <c r="S569" s="444"/>
      <c r="T569" s="444"/>
    </row>
    <row r="570" spans="16:20" ht="15">
      <c r="P570" s="447"/>
      <c r="Q570" s="444"/>
      <c r="R570" s="444"/>
      <c r="S570" s="444"/>
      <c r="T570" s="444"/>
    </row>
    <row r="571" spans="16:20" ht="15">
      <c r="P571" s="447"/>
      <c r="Q571" s="444"/>
      <c r="R571" s="444"/>
      <c r="S571" s="444"/>
      <c r="T571" s="444"/>
    </row>
    <row r="572" spans="16:20" ht="15">
      <c r="P572" s="447"/>
      <c r="Q572" s="444"/>
      <c r="R572" s="444"/>
      <c r="S572" s="444"/>
      <c r="T572" s="444"/>
    </row>
    <row r="573" spans="16:20" ht="15">
      <c r="P573" s="447"/>
      <c r="Q573" s="444"/>
      <c r="R573" s="444"/>
      <c r="S573" s="444"/>
      <c r="T573" s="444"/>
    </row>
    <row r="574" spans="16:20" ht="15">
      <c r="P574" s="447"/>
      <c r="Q574" s="444"/>
      <c r="R574" s="444"/>
      <c r="S574" s="444"/>
      <c r="T574" s="444"/>
    </row>
    <row r="575" spans="16:20" ht="15">
      <c r="P575" s="447"/>
      <c r="Q575" s="444"/>
      <c r="R575" s="444"/>
      <c r="S575" s="444"/>
      <c r="T575" s="444"/>
    </row>
    <row r="576" spans="16:20" ht="15">
      <c r="P576" s="447"/>
      <c r="Q576" s="444"/>
      <c r="R576" s="444"/>
      <c r="S576" s="444"/>
      <c r="T576" s="444"/>
    </row>
    <row r="577" spans="16:20" ht="15">
      <c r="P577" s="447"/>
      <c r="Q577" s="444"/>
      <c r="R577" s="444"/>
      <c r="S577" s="444"/>
      <c r="T577" s="444"/>
    </row>
    <row r="578" spans="16:20" ht="15">
      <c r="P578" s="447"/>
      <c r="Q578" s="444"/>
      <c r="R578" s="444"/>
      <c r="S578" s="444"/>
      <c r="T578" s="444"/>
    </row>
    <row r="579" spans="16:20" ht="15">
      <c r="P579" s="447"/>
      <c r="Q579" s="444"/>
      <c r="R579" s="444"/>
      <c r="S579" s="444"/>
      <c r="T579" s="444"/>
    </row>
    <row r="580" spans="16:20" ht="15">
      <c r="P580" s="447"/>
      <c r="Q580" s="444"/>
      <c r="R580" s="444"/>
      <c r="S580" s="444"/>
      <c r="T580" s="444"/>
    </row>
    <row r="581" spans="16:20" ht="15">
      <c r="P581" s="447"/>
      <c r="Q581" s="444"/>
      <c r="R581" s="444"/>
      <c r="S581" s="444"/>
      <c r="T581" s="444"/>
    </row>
    <row r="582" spans="16:20" ht="15">
      <c r="P582" s="447"/>
      <c r="Q582" s="444"/>
      <c r="R582" s="444"/>
      <c r="S582" s="444"/>
      <c r="T582" s="444"/>
    </row>
    <row r="583" spans="16:20" ht="15">
      <c r="P583" s="447"/>
      <c r="Q583" s="444"/>
      <c r="R583" s="444"/>
      <c r="S583" s="444"/>
      <c r="T583" s="444"/>
    </row>
    <row r="584" spans="16:20" ht="15">
      <c r="P584" s="447"/>
      <c r="Q584" s="444"/>
      <c r="R584" s="444"/>
      <c r="S584" s="444"/>
      <c r="T584" s="444"/>
    </row>
    <row r="585" spans="16:20" ht="15">
      <c r="P585" s="447"/>
      <c r="Q585" s="444"/>
      <c r="R585" s="444"/>
      <c r="S585" s="444"/>
      <c r="T585" s="444"/>
    </row>
    <row r="586" spans="16:20" ht="15">
      <c r="P586" s="447"/>
      <c r="Q586" s="444"/>
      <c r="R586" s="444"/>
      <c r="S586" s="444"/>
      <c r="T586" s="444"/>
    </row>
    <row r="587" spans="16:20" ht="15">
      <c r="P587" s="447"/>
      <c r="Q587" s="444"/>
      <c r="R587" s="444"/>
      <c r="S587" s="444"/>
      <c r="T587" s="444"/>
    </row>
    <row r="588" spans="16:20" ht="15">
      <c r="P588" s="447"/>
      <c r="Q588" s="444"/>
      <c r="R588" s="444"/>
      <c r="S588" s="444"/>
      <c r="T588" s="444"/>
    </row>
    <row r="589" spans="16:20" ht="15">
      <c r="P589" s="447"/>
      <c r="Q589" s="444"/>
      <c r="R589" s="444"/>
      <c r="S589" s="444"/>
      <c r="T589" s="444"/>
    </row>
    <row r="590" spans="16:20" ht="15">
      <c r="P590" s="447"/>
      <c r="Q590" s="444"/>
      <c r="R590" s="444"/>
      <c r="S590" s="444"/>
      <c r="T590" s="444"/>
    </row>
    <row r="591" spans="16:20" ht="15">
      <c r="P591" s="447"/>
      <c r="Q591" s="444"/>
      <c r="R591" s="444"/>
      <c r="S591" s="444"/>
      <c r="T591" s="444"/>
    </row>
    <row r="592" spans="16:20" ht="15">
      <c r="P592" s="447"/>
      <c r="Q592" s="444"/>
      <c r="R592" s="444"/>
      <c r="S592" s="444"/>
      <c r="T592" s="444"/>
    </row>
    <row r="593" spans="16:20" ht="15">
      <c r="P593" s="447"/>
      <c r="Q593" s="444"/>
      <c r="R593" s="444"/>
      <c r="S593" s="444"/>
      <c r="T593" s="444"/>
    </row>
    <row r="594" spans="16:20" ht="15">
      <c r="P594" s="447"/>
      <c r="Q594" s="444"/>
      <c r="R594" s="444"/>
      <c r="S594" s="444"/>
      <c r="T594" s="444"/>
    </row>
    <row r="595" spans="16:20" ht="15">
      <c r="P595" s="447"/>
      <c r="Q595" s="444"/>
      <c r="R595" s="444"/>
      <c r="S595" s="444"/>
      <c r="T595" s="444"/>
    </row>
    <row r="596" spans="16:20" ht="15">
      <c r="P596" s="447"/>
      <c r="Q596" s="444"/>
      <c r="R596" s="444"/>
      <c r="S596" s="444"/>
      <c r="T596" s="444"/>
    </row>
    <row r="597" spans="16:20" ht="15">
      <c r="P597" s="447"/>
      <c r="Q597" s="444"/>
      <c r="R597" s="444"/>
      <c r="S597" s="444"/>
      <c r="T597" s="444"/>
    </row>
    <row r="598" spans="16:20" ht="15">
      <c r="P598" s="447"/>
      <c r="Q598" s="444"/>
      <c r="R598" s="444"/>
      <c r="S598" s="444"/>
      <c r="T598" s="444"/>
    </row>
    <row r="599" spans="16:20" ht="15">
      <c r="P599" s="447"/>
      <c r="Q599" s="444"/>
      <c r="R599" s="444"/>
      <c r="S599" s="444"/>
      <c r="T599" s="444"/>
    </row>
    <row r="600" spans="16:20" ht="15">
      <c r="P600" s="447"/>
      <c r="Q600" s="444"/>
      <c r="R600" s="444"/>
      <c r="S600" s="444"/>
      <c r="T600" s="444"/>
    </row>
    <row r="601" spans="16:20" ht="15">
      <c r="P601" s="447"/>
      <c r="Q601" s="444"/>
      <c r="R601" s="444"/>
      <c r="S601" s="444"/>
      <c r="T601" s="444"/>
    </row>
    <row r="602" spans="16:20" ht="15">
      <c r="P602" s="447"/>
      <c r="Q602" s="444"/>
      <c r="R602" s="444"/>
      <c r="S602" s="444"/>
      <c r="T602" s="444"/>
    </row>
    <row r="603" spans="16:20" ht="15">
      <c r="P603" s="447"/>
      <c r="Q603" s="444"/>
      <c r="R603" s="444"/>
      <c r="S603" s="444"/>
      <c r="T603" s="444"/>
    </row>
    <row r="604" spans="16:20" ht="15">
      <c r="P604" s="447"/>
      <c r="Q604" s="444"/>
      <c r="R604" s="444"/>
      <c r="S604" s="444"/>
      <c r="T604" s="444"/>
    </row>
    <row r="605" spans="16:20" ht="15">
      <c r="P605" s="447"/>
      <c r="Q605" s="444"/>
      <c r="R605" s="444"/>
      <c r="S605" s="444"/>
      <c r="T605" s="444"/>
    </row>
    <row r="606" spans="16:20" ht="15">
      <c r="P606" s="447"/>
      <c r="Q606" s="444"/>
      <c r="R606" s="444"/>
      <c r="S606" s="444"/>
      <c r="T606" s="444"/>
    </row>
    <row r="607" spans="16:20" ht="15">
      <c r="P607" s="447"/>
      <c r="Q607" s="444"/>
      <c r="R607" s="444"/>
      <c r="S607" s="444"/>
      <c r="T607" s="444"/>
    </row>
    <row r="608" spans="16:20" ht="15">
      <c r="P608" s="447"/>
      <c r="Q608" s="444"/>
      <c r="R608" s="444"/>
      <c r="S608" s="444"/>
      <c r="T608" s="444"/>
    </row>
    <row r="609" spans="16:20" ht="15">
      <c r="P609" s="447"/>
      <c r="Q609" s="444"/>
      <c r="R609" s="444"/>
      <c r="S609" s="444"/>
      <c r="T609" s="444"/>
    </row>
    <row r="610" spans="16:20" ht="15">
      <c r="P610" s="447"/>
      <c r="Q610" s="444"/>
      <c r="R610" s="444"/>
      <c r="S610" s="444"/>
      <c r="T610" s="444"/>
    </row>
    <row r="611" spans="16:20" ht="15">
      <c r="P611" s="447"/>
      <c r="Q611" s="444"/>
      <c r="R611" s="444"/>
      <c r="S611" s="444"/>
      <c r="T611" s="444"/>
    </row>
    <row r="612" spans="16:20" ht="15">
      <c r="P612" s="447"/>
      <c r="Q612" s="444"/>
      <c r="R612" s="444"/>
      <c r="S612" s="444"/>
      <c r="T612" s="444"/>
    </row>
    <row r="613" spans="16:20" ht="15">
      <c r="P613" s="447"/>
      <c r="Q613" s="444"/>
      <c r="R613" s="444"/>
      <c r="S613" s="444"/>
      <c r="T613" s="444"/>
    </row>
    <row r="614" spans="16:20" ht="15">
      <c r="P614" s="447"/>
      <c r="Q614" s="444"/>
      <c r="R614" s="444"/>
      <c r="S614" s="444"/>
      <c r="T614" s="444"/>
    </row>
    <row r="615" spans="16:20" ht="15">
      <c r="P615" s="447"/>
      <c r="Q615" s="444"/>
      <c r="R615" s="444"/>
      <c r="S615" s="444"/>
      <c r="T615" s="444"/>
    </row>
    <row r="616" spans="16:20" ht="15">
      <c r="P616" s="447"/>
      <c r="Q616" s="444"/>
      <c r="R616" s="444"/>
      <c r="S616" s="444"/>
      <c r="T616" s="444"/>
    </row>
    <row r="617" spans="16:20" ht="15">
      <c r="P617" s="447"/>
      <c r="Q617" s="444"/>
      <c r="R617" s="444"/>
      <c r="S617" s="444"/>
      <c r="T617" s="444"/>
    </row>
    <row r="618" spans="16:20" ht="15">
      <c r="P618" s="447"/>
      <c r="Q618" s="444"/>
      <c r="R618" s="444"/>
      <c r="S618" s="444"/>
      <c r="T618" s="444"/>
    </row>
    <row r="619" spans="16:20" ht="15">
      <c r="P619" s="447"/>
      <c r="Q619" s="444"/>
      <c r="R619" s="444"/>
      <c r="S619" s="444"/>
      <c r="T619" s="444"/>
    </row>
    <row r="620" spans="16:20" ht="15">
      <c r="P620" s="447"/>
      <c r="Q620" s="444"/>
      <c r="R620" s="444"/>
      <c r="S620" s="444"/>
      <c r="T620" s="444"/>
    </row>
    <row r="621" spans="16:20" ht="15">
      <c r="P621" s="447"/>
      <c r="Q621" s="444"/>
      <c r="R621" s="444"/>
      <c r="S621" s="444"/>
      <c r="T621" s="444"/>
    </row>
    <row r="622" spans="16:20" ht="15">
      <c r="P622" s="447"/>
      <c r="Q622" s="444"/>
      <c r="R622" s="444"/>
      <c r="S622" s="444"/>
      <c r="T622" s="444"/>
    </row>
    <row r="623" spans="16:20" ht="15">
      <c r="P623" s="447"/>
      <c r="Q623" s="444"/>
      <c r="R623" s="444"/>
      <c r="S623" s="444"/>
      <c r="T623" s="444"/>
    </row>
    <row r="624" spans="16:20" ht="15">
      <c r="P624" s="447"/>
      <c r="Q624" s="444"/>
      <c r="R624" s="444"/>
      <c r="S624" s="444"/>
      <c r="T624" s="444"/>
    </row>
    <row r="625" spans="16:20" ht="15">
      <c r="P625" s="447"/>
      <c r="Q625" s="444"/>
      <c r="R625" s="444"/>
      <c r="S625" s="444"/>
      <c r="T625" s="444"/>
    </row>
    <row r="626" spans="16:20" ht="15">
      <c r="P626" s="447"/>
      <c r="Q626" s="444"/>
      <c r="R626" s="444"/>
      <c r="S626" s="444"/>
      <c r="T626" s="444"/>
    </row>
    <row r="627" spans="16:20" ht="15">
      <c r="P627" s="447"/>
      <c r="Q627" s="444"/>
      <c r="R627" s="444"/>
      <c r="S627" s="444"/>
      <c r="T627" s="444"/>
    </row>
    <row r="628" spans="16:20" ht="15">
      <c r="P628" s="447"/>
      <c r="Q628" s="444"/>
      <c r="R628" s="444"/>
      <c r="S628" s="444"/>
      <c r="T628" s="444"/>
    </row>
    <row r="629" spans="16:20" ht="15">
      <c r="P629" s="447"/>
      <c r="Q629" s="444"/>
      <c r="R629" s="444"/>
      <c r="S629" s="444"/>
      <c r="T629" s="444"/>
    </row>
    <row r="630" spans="16:20" ht="15">
      <c r="P630" s="447"/>
      <c r="Q630" s="444"/>
      <c r="R630" s="444"/>
      <c r="S630" s="444"/>
      <c r="T630" s="444"/>
    </row>
    <row r="631" spans="16:20" ht="15">
      <c r="P631" s="447"/>
      <c r="Q631" s="444"/>
      <c r="R631" s="444"/>
      <c r="S631" s="444"/>
      <c r="T631" s="444"/>
    </row>
    <row r="632" spans="16:20" ht="15">
      <c r="P632" s="447"/>
      <c r="Q632" s="444"/>
      <c r="R632" s="444"/>
      <c r="S632" s="444"/>
      <c r="T632" s="444"/>
    </row>
    <row r="633" spans="16:20" ht="15">
      <c r="P633" s="447"/>
      <c r="Q633" s="444"/>
      <c r="R633" s="444"/>
      <c r="S633" s="444"/>
      <c r="T633" s="444"/>
    </row>
    <row r="634" spans="16:20" ht="15">
      <c r="P634" s="447"/>
      <c r="Q634" s="444"/>
      <c r="R634" s="444"/>
      <c r="S634" s="444"/>
      <c r="T634" s="444"/>
    </row>
    <row r="635" spans="16:20" ht="15">
      <c r="P635" s="447"/>
      <c r="Q635" s="444"/>
      <c r="R635" s="444"/>
      <c r="S635" s="444"/>
      <c r="T635" s="444"/>
    </row>
    <row r="636" spans="16:20" ht="15">
      <c r="P636" s="447"/>
      <c r="Q636" s="444"/>
      <c r="R636" s="444"/>
      <c r="S636" s="444"/>
      <c r="T636" s="444"/>
    </row>
    <row r="637" spans="16:20" ht="15">
      <c r="P637" s="447"/>
      <c r="Q637" s="444"/>
      <c r="R637" s="444"/>
      <c r="S637" s="444"/>
      <c r="T637" s="444"/>
    </row>
    <row r="638" spans="16:20" ht="15">
      <c r="P638" s="447"/>
      <c r="Q638" s="444"/>
      <c r="R638" s="444"/>
      <c r="S638" s="444"/>
      <c r="T638" s="444"/>
    </row>
    <row r="639" spans="16:20" ht="15">
      <c r="P639" s="447"/>
      <c r="Q639" s="444"/>
      <c r="R639" s="444"/>
      <c r="S639" s="444"/>
      <c r="T639" s="444"/>
    </row>
    <row r="640" spans="16:20" ht="15">
      <c r="P640" s="447"/>
      <c r="Q640" s="444"/>
      <c r="R640" s="444"/>
      <c r="S640" s="444"/>
      <c r="T640" s="444"/>
    </row>
    <row r="641" spans="16:20" ht="15">
      <c r="P641" s="447"/>
      <c r="Q641" s="444"/>
      <c r="R641" s="444"/>
      <c r="S641" s="444"/>
      <c r="T641" s="444"/>
    </row>
    <row r="642" spans="16:20" ht="15">
      <c r="P642" s="447"/>
      <c r="Q642" s="444"/>
      <c r="R642" s="444"/>
      <c r="S642" s="444"/>
      <c r="T642" s="444"/>
    </row>
    <row r="643" spans="16:20" ht="15">
      <c r="P643" s="447"/>
      <c r="Q643" s="444"/>
      <c r="R643" s="444"/>
      <c r="S643" s="444"/>
      <c r="T643" s="444"/>
    </row>
    <row r="644" spans="16:20" ht="15">
      <c r="P644" s="447"/>
      <c r="Q644" s="444"/>
      <c r="R644" s="444"/>
      <c r="S644" s="444"/>
      <c r="T644" s="444"/>
    </row>
    <row r="645" spans="16:20" ht="15">
      <c r="P645" s="447"/>
      <c r="Q645" s="444"/>
      <c r="R645" s="444"/>
      <c r="S645" s="444"/>
      <c r="T645" s="444"/>
    </row>
    <row r="646" spans="16:20" ht="15">
      <c r="P646" s="447"/>
      <c r="Q646" s="444"/>
      <c r="R646" s="444"/>
      <c r="S646" s="444"/>
      <c r="T646" s="444"/>
    </row>
    <row r="647" spans="16:20" ht="15">
      <c r="P647" s="447"/>
      <c r="Q647" s="444"/>
      <c r="R647" s="444"/>
      <c r="S647" s="444"/>
      <c r="T647" s="444"/>
    </row>
    <row r="648" spans="16:20" ht="15">
      <c r="P648" s="447"/>
      <c r="Q648" s="444"/>
      <c r="R648" s="444"/>
      <c r="S648" s="444"/>
      <c r="T648" s="444"/>
    </row>
    <row r="649" spans="16:20" ht="15">
      <c r="P649" s="447"/>
      <c r="Q649" s="444"/>
      <c r="R649" s="444"/>
      <c r="S649" s="444"/>
      <c r="T649" s="444"/>
    </row>
    <row r="650" spans="16:20" ht="15">
      <c r="P650" s="447"/>
      <c r="Q650" s="444"/>
      <c r="R650" s="444"/>
      <c r="S650" s="444"/>
      <c r="T650" s="444"/>
    </row>
    <row r="651" spans="16:20" ht="15">
      <c r="P651" s="447"/>
      <c r="Q651" s="444"/>
      <c r="R651" s="444"/>
      <c r="S651" s="444"/>
      <c r="T651" s="444"/>
    </row>
    <row r="652" spans="16:20" ht="15">
      <c r="P652" s="447"/>
      <c r="Q652" s="444"/>
      <c r="R652" s="444"/>
      <c r="S652" s="444"/>
      <c r="T652" s="444"/>
    </row>
    <row r="653" spans="16:20" ht="15">
      <c r="P653" s="447"/>
      <c r="Q653" s="444"/>
      <c r="R653" s="444"/>
      <c r="S653" s="444"/>
      <c r="T653" s="444"/>
    </row>
    <row r="654" spans="16:20" ht="15">
      <c r="P654" s="447"/>
      <c r="Q654" s="444"/>
      <c r="R654" s="444"/>
      <c r="S654" s="444"/>
      <c r="T654" s="444"/>
    </row>
    <row r="655" spans="16:20" ht="15">
      <c r="P655" s="447"/>
      <c r="Q655" s="444"/>
      <c r="R655" s="444"/>
      <c r="S655" s="444"/>
      <c r="T655" s="444"/>
    </row>
    <row r="656" spans="16:20" ht="15">
      <c r="P656" s="447"/>
      <c r="Q656" s="444"/>
      <c r="R656" s="444"/>
      <c r="S656" s="444"/>
      <c r="T656" s="444"/>
    </row>
    <row r="657" spans="16:20" ht="15">
      <c r="P657" s="447"/>
      <c r="Q657" s="444"/>
      <c r="R657" s="444"/>
      <c r="S657" s="444"/>
      <c r="T657" s="444"/>
    </row>
    <row r="658" spans="16:20" ht="15">
      <c r="P658" s="447"/>
      <c r="Q658" s="444"/>
      <c r="R658" s="444"/>
      <c r="S658" s="444"/>
      <c r="T658" s="444"/>
    </row>
    <row r="659" spans="16:20" ht="15">
      <c r="P659" s="447"/>
      <c r="Q659" s="444"/>
      <c r="R659" s="444"/>
      <c r="S659" s="444"/>
      <c r="T659" s="444"/>
    </row>
    <row r="660" spans="16:20" ht="15">
      <c r="P660" s="447"/>
      <c r="Q660" s="444"/>
      <c r="R660" s="444"/>
      <c r="S660" s="444"/>
      <c r="T660" s="444"/>
    </row>
    <row r="661" spans="16:20" ht="15">
      <c r="P661" s="447"/>
      <c r="Q661" s="444"/>
      <c r="R661" s="444"/>
      <c r="S661" s="444"/>
      <c r="T661" s="444"/>
    </row>
    <row r="662" spans="16:20" ht="15">
      <c r="P662" s="447"/>
      <c r="Q662" s="444"/>
      <c r="R662" s="444"/>
      <c r="S662" s="444"/>
      <c r="T662" s="444"/>
    </row>
    <row r="663" spans="16:20" ht="15">
      <c r="P663" s="447"/>
      <c r="Q663" s="444"/>
      <c r="R663" s="444"/>
      <c r="S663" s="444"/>
      <c r="T663" s="444"/>
    </row>
    <row r="664" spans="16:20" ht="15">
      <c r="P664" s="447"/>
      <c r="Q664" s="444"/>
      <c r="R664" s="444"/>
      <c r="S664" s="444"/>
      <c r="T664" s="444"/>
    </row>
    <row r="665" spans="16:20" ht="15">
      <c r="P665" s="447"/>
      <c r="Q665" s="444"/>
      <c r="R665" s="444"/>
      <c r="S665" s="444"/>
      <c r="T665" s="444"/>
    </row>
    <row r="666" spans="16:20" ht="15">
      <c r="P666" s="447"/>
      <c r="Q666" s="444"/>
      <c r="R666" s="444"/>
      <c r="S666" s="444"/>
      <c r="T666" s="444"/>
    </row>
    <row r="667" spans="16:20" ht="15">
      <c r="P667" s="447"/>
      <c r="Q667" s="444"/>
      <c r="R667" s="444"/>
      <c r="S667" s="444"/>
      <c r="T667" s="444"/>
    </row>
    <row r="668" spans="16:20" ht="15">
      <c r="P668" s="447"/>
      <c r="Q668" s="444"/>
      <c r="R668" s="444"/>
      <c r="S668" s="444"/>
      <c r="T668" s="444"/>
    </row>
    <row r="669" spans="16:20" ht="15">
      <c r="P669" s="447"/>
      <c r="Q669" s="444"/>
      <c r="R669" s="444"/>
      <c r="S669" s="444"/>
      <c r="T669" s="444"/>
    </row>
    <row r="670" spans="16:20" ht="15">
      <c r="P670" s="447"/>
      <c r="Q670" s="444"/>
      <c r="R670" s="444"/>
      <c r="S670" s="444"/>
      <c r="T670" s="444"/>
    </row>
    <row r="671" spans="16:20" ht="15">
      <c r="P671" s="447"/>
      <c r="Q671" s="444"/>
      <c r="R671" s="444"/>
      <c r="S671" s="444"/>
      <c r="T671" s="444"/>
    </row>
    <row r="672" spans="16:20" ht="15">
      <c r="P672" s="447"/>
      <c r="Q672" s="444"/>
      <c r="R672" s="444"/>
      <c r="S672" s="444"/>
      <c r="T672" s="444"/>
    </row>
    <row r="673" spans="16:20" ht="15">
      <c r="P673" s="447"/>
      <c r="Q673" s="444"/>
      <c r="R673" s="444"/>
      <c r="S673" s="444"/>
      <c r="T673" s="444"/>
    </row>
    <row r="674" spans="16:20" ht="15">
      <c r="P674" s="447"/>
      <c r="Q674" s="444"/>
      <c r="R674" s="444"/>
      <c r="S674" s="444"/>
      <c r="T674" s="444"/>
    </row>
    <row r="675" spans="16:20" ht="15">
      <c r="P675" s="447"/>
      <c r="Q675" s="444"/>
      <c r="R675" s="444"/>
      <c r="S675" s="444"/>
      <c r="T675" s="444"/>
    </row>
    <row r="676" spans="16:20" ht="15">
      <c r="P676" s="447"/>
      <c r="Q676" s="444"/>
      <c r="R676" s="444"/>
      <c r="S676" s="444"/>
      <c r="T676" s="444"/>
    </row>
    <row r="677" spans="16:20" ht="15">
      <c r="P677" s="447"/>
      <c r="Q677" s="444"/>
      <c r="R677" s="444"/>
      <c r="S677" s="444"/>
      <c r="T677" s="444"/>
    </row>
    <row r="678" spans="16:20" ht="15">
      <c r="P678" s="447"/>
      <c r="Q678" s="444"/>
      <c r="R678" s="444"/>
      <c r="S678" s="444"/>
      <c r="T678" s="444"/>
    </row>
    <row r="679" spans="16:20" ht="15">
      <c r="P679" s="447"/>
      <c r="Q679" s="444"/>
      <c r="R679" s="444"/>
      <c r="S679" s="444"/>
      <c r="T679" s="444"/>
    </row>
    <row r="680" spans="16:20" ht="15">
      <c r="P680" s="447"/>
      <c r="Q680" s="444"/>
      <c r="R680" s="444"/>
      <c r="S680" s="444"/>
      <c r="T680" s="444"/>
    </row>
    <row r="681" spans="16:20" ht="15">
      <c r="P681" s="447"/>
      <c r="Q681" s="444"/>
      <c r="R681" s="444"/>
      <c r="S681" s="444"/>
      <c r="T681" s="444"/>
    </row>
    <row r="682" spans="16:20" ht="15">
      <c r="P682" s="447"/>
      <c r="Q682" s="444"/>
      <c r="R682" s="444"/>
      <c r="S682" s="444"/>
      <c r="T682" s="444"/>
    </row>
    <row r="683" spans="16:20" ht="15">
      <c r="P683" s="447"/>
      <c r="Q683" s="444"/>
      <c r="R683" s="444"/>
      <c r="S683" s="444"/>
      <c r="T683" s="444"/>
    </row>
    <row r="684" spans="16:20" ht="15">
      <c r="P684" s="447"/>
      <c r="Q684" s="444"/>
      <c r="R684" s="444"/>
      <c r="S684" s="444"/>
      <c r="T684" s="444"/>
    </row>
    <row r="685" spans="16:20" ht="15">
      <c r="P685" s="447"/>
      <c r="Q685" s="444"/>
      <c r="R685" s="444"/>
      <c r="S685" s="444"/>
      <c r="T685" s="444"/>
    </row>
    <row r="686" spans="16:20" ht="15">
      <c r="P686" s="447"/>
      <c r="Q686" s="444"/>
      <c r="R686" s="444"/>
      <c r="S686" s="444"/>
      <c r="T686" s="444"/>
    </row>
    <row r="687" spans="16:20" ht="15">
      <c r="P687" s="447"/>
      <c r="Q687" s="444"/>
      <c r="R687" s="444"/>
      <c r="S687" s="444"/>
      <c r="T687" s="444"/>
    </row>
    <row r="688" spans="16:20" ht="15">
      <c r="P688" s="447"/>
      <c r="Q688" s="444"/>
      <c r="R688" s="444"/>
      <c r="S688" s="444"/>
      <c r="T688" s="444"/>
    </row>
    <row r="689" spans="16:20" ht="15">
      <c r="P689" s="447"/>
      <c r="Q689" s="444"/>
      <c r="R689" s="444"/>
      <c r="S689" s="444"/>
      <c r="T689" s="444"/>
    </row>
    <row r="690" spans="16:20" ht="15">
      <c r="P690" s="447"/>
      <c r="Q690" s="444"/>
      <c r="R690" s="444"/>
      <c r="S690" s="444"/>
      <c r="T690" s="444"/>
    </row>
    <row r="691" spans="16:20" ht="15">
      <c r="P691" s="447"/>
      <c r="Q691" s="444"/>
      <c r="R691" s="444"/>
      <c r="S691" s="444"/>
      <c r="T691" s="444"/>
    </row>
    <row r="692" spans="16:20" ht="15">
      <c r="P692" s="447"/>
      <c r="Q692" s="444"/>
      <c r="R692" s="444"/>
      <c r="S692" s="444"/>
      <c r="T692" s="444"/>
    </row>
    <row r="693" spans="16:20" ht="15">
      <c r="P693" s="447"/>
      <c r="Q693" s="444"/>
      <c r="R693" s="444"/>
      <c r="S693" s="444"/>
      <c r="T693" s="444"/>
    </row>
    <row r="694" spans="16:20" ht="15">
      <c r="P694" s="447"/>
      <c r="Q694" s="444"/>
      <c r="R694" s="444"/>
      <c r="S694" s="444"/>
      <c r="T694" s="444"/>
    </row>
    <row r="695" spans="16:20" ht="15">
      <c r="P695" s="447"/>
      <c r="Q695" s="444"/>
      <c r="R695" s="444"/>
      <c r="S695" s="444"/>
      <c r="T695" s="444"/>
    </row>
    <row r="696" spans="16:20" ht="15">
      <c r="P696" s="447"/>
      <c r="Q696" s="444"/>
      <c r="R696" s="444"/>
      <c r="S696" s="444"/>
      <c r="T696" s="444"/>
    </row>
    <row r="697" spans="16:20" ht="15">
      <c r="P697" s="447"/>
      <c r="Q697" s="444"/>
      <c r="R697" s="444"/>
      <c r="S697" s="444"/>
      <c r="T697" s="444"/>
    </row>
    <row r="698" spans="16:20" ht="15">
      <c r="P698" s="447"/>
      <c r="Q698" s="444"/>
      <c r="R698" s="444"/>
      <c r="S698" s="444"/>
      <c r="T698" s="444"/>
    </row>
    <row r="699" spans="16:20" ht="15">
      <c r="P699" s="447"/>
      <c r="Q699" s="444"/>
      <c r="R699" s="444"/>
      <c r="S699" s="444"/>
      <c r="T699" s="444"/>
    </row>
    <row r="700" spans="16:20" ht="15">
      <c r="P700" s="447"/>
      <c r="Q700" s="444"/>
      <c r="R700" s="444"/>
      <c r="S700" s="444"/>
      <c r="T700" s="444"/>
    </row>
    <row r="701" spans="16:20" ht="15">
      <c r="P701" s="447"/>
      <c r="Q701" s="444"/>
      <c r="R701" s="444"/>
      <c r="S701" s="444"/>
      <c r="T701" s="444"/>
    </row>
    <row r="702" spans="16:20" ht="15">
      <c r="P702" s="447"/>
      <c r="Q702" s="444"/>
      <c r="R702" s="444"/>
      <c r="S702" s="444"/>
      <c r="T702" s="444"/>
    </row>
    <row r="703" spans="16:20" ht="15">
      <c r="P703" s="447"/>
      <c r="Q703" s="444"/>
      <c r="R703" s="444"/>
      <c r="S703" s="444"/>
      <c r="T703" s="444"/>
    </row>
    <row r="704" spans="16:20" ht="15">
      <c r="P704" s="447"/>
      <c r="Q704" s="444"/>
      <c r="R704" s="444"/>
      <c r="S704" s="444"/>
      <c r="T704" s="444"/>
    </row>
    <row r="705" spans="16:20" ht="15">
      <c r="P705" s="447"/>
      <c r="Q705" s="444"/>
      <c r="R705" s="444"/>
      <c r="S705" s="444"/>
      <c r="T705" s="444"/>
    </row>
    <row r="706" spans="16:20" ht="15">
      <c r="P706" s="447"/>
      <c r="Q706" s="444"/>
      <c r="R706" s="444"/>
      <c r="S706" s="444"/>
      <c r="T706" s="444"/>
    </row>
    <row r="707" spans="16:20" ht="15">
      <c r="P707" s="447"/>
      <c r="Q707" s="444"/>
      <c r="R707" s="444"/>
      <c r="S707" s="444"/>
      <c r="T707" s="444"/>
    </row>
    <row r="708" spans="16:20" ht="15">
      <c r="P708" s="447"/>
      <c r="Q708" s="444"/>
      <c r="R708" s="444"/>
      <c r="S708" s="444"/>
      <c r="T708" s="444"/>
    </row>
    <row r="709" spans="16:20" ht="15">
      <c r="P709" s="447"/>
      <c r="Q709" s="444"/>
      <c r="R709" s="444"/>
      <c r="S709" s="444"/>
      <c r="T709" s="444"/>
    </row>
    <row r="710" spans="16:20" ht="15">
      <c r="P710" s="447"/>
      <c r="Q710" s="444"/>
      <c r="R710" s="444"/>
      <c r="S710" s="444"/>
      <c r="T710" s="444"/>
    </row>
    <row r="711" spans="16:20" ht="15">
      <c r="P711" s="447"/>
      <c r="Q711" s="444"/>
      <c r="R711" s="444"/>
      <c r="S711" s="444"/>
      <c r="T711" s="444"/>
    </row>
    <row r="712" spans="16:20" ht="15">
      <c r="P712" s="447"/>
      <c r="Q712" s="444"/>
      <c r="R712" s="444"/>
      <c r="S712" s="444"/>
      <c r="T712" s="444"/>
    </row>
    <row r="713" spans="16:20" ht="15">
      <c r="P713" s="447"/>
      <c r="Q713" s="444"/>
      <c r="R713" s="444"/>
      <c r="S713" s="444"/>
      <c r="T713" s="444"/>
    </row>
    <row r="714" spans="16:20" ht="15">
      <c r="P714" s="447"/>
      <c r="Q714" s="444"/>
      <c r="R714" s="444"/>
      <c r="S714" s="444"/>
      <c r="T714" s="444"/>
    </row>
    <row r="715" spans="16:20" ht="15">
      <c r="P715" s="447"/>
      <c r="Q715" s="444"/>
      <c r="R715" s="444"/>
      <c r="S715" s="444"/>
      <c r="T715" s="444"/>
    </row>
    <row r="716" spans="16:20" ht="15">
      <c r="P716" s="447"/>
      <c r="Q716" s="444"/>
      <c r="R716" s="444"/>
      <c r="S716" s="444"/>
      <c r="T716" s="444"/>
    </row>
    <row r="717" spans="16:20" ht="15">
      <c r="P717" s="447"/>
      <c r="Q717" s="444"/>
      <c r="R717" s="444"/>
      <c r="S717" s="444"/>
      <c r="T717" s="444"/>
    </row>
    <row r="718" spans="16:20" ht="15">
      <c r="P718" s="447"/>
      <c r="Q718" s="444"/>
      <c r="R718" s="444"/>
      <c r="S718" s="444"/>
      <c r="T718" s="444"/>
    </row>
    <row r="719" spans="16:20" ht="15">
      <c r="P719" s="447"/>
      <c r="Q719" s="444"/>
      <c r="R719" s="444"/>
      <c r="S719" s="444"/>
      <c r="T719" s="444"/>
    </row>
    <row r="720" spans="16:20" ht="15">
      <c r="P720" s="447"/>
      <c r="Q720" s="444"/>
      <c r="R720" s="444"/>
      <c r="S720" s="444"/>
      <c r="T720" s="444"/>
    </row>
    <row r="721" spans="16:20" ht="15">
      <c r="P721" s="447"/>
      <c r="Q721" s="444"/>
      <c r="R721" s="444"/>
      <c r="S721" s="444"/>
      <c r="T721" s="444"/>
    </row>
    <row r="722" spans="16:20" ht="15">
      <c r="P722" s="447"/>
      <c r="Q722" s="444"/>
      <c r="R722" s="444"/>
      <c r="S722" s="444"/>
      <c r="T722" s="444"/>
    </row>
    <row r="723" spans="16:20" ht="15">
      <c r="P723" s="447"/>
      <c r="Q723" s="444"/>
      <c r="R723" s="444"/>
      <c r="S723" s="444"/>
      <c r="T723" s="444"/>
    </row>
    <row r="724" spans="16:20" ht="15">
      <c r="P724" s="447"/>
      <c r="Q724" s="444"/>
      <c r="R724" s="444"/>
      <c r="S724" s="444"/>
      <c r="T724" s="444"/>
    </row>
    <row r="725" spans="16:20" ht="15">
      <c r="P725" s="447"/>
      <c r="Q725" s="444"/>
      <c r="R725" s="444"/>
      <c r="S725" s="444"/>
      <c r="T725" s="444"/>
    </row>
    <row r="726" spans="16:20" ht="15">
      <c r="P726" s="447"/>
      <c r="Q726" s="444"/>
      <c r="R726" s="444"/>
      <c r="S726" s="444"/>
      <c r="T726" s="444"/>
    </row>
    <row r="727" spans="16:20" ht="15">
      <c r="P727" s="447"/>
      <c r="Q727" s="444"/>
      <c r="R727" s="444"/>
      <c r="S727" s="444"/>
      <c r="T727" s="444"/>
    </row>
    <row r="728" spans="16:20" ht="15">
      <c r="P728" s="447"/>
      <c r="Q728" s="444"/>
      <c r="R728" s="444"/>
      <c r="S728" s="444"/>
      <c r="T728" s="444"/>
    </row>
    <row r="729" spans="16:20" ht="15">
      <c r="P729" s="447"/>
      <c r="Q729" s="444"/>
      <c r="R729" s="444"/>
      <c r="S729" s="444"/>
      <c r="T729" s="444"/>
    </row>
    <row r="730" spans="16:20" ht="15">
      <c r="P730" s="447"/>
      <c r="Q730" s="444"/>
      <c r="R730" s="444"/>
      <c r="S730" s="444"/>
      <c r="T730" s="444"/>
    </row>
    <row r="731" spans="16:20" ht="15">
      <c r="P731" s="447"/>
      <c r="Q731" s="444"/>
      <c r="R731" s="444"/>
      <c r="S731" s="444"/>
      <c r="T731" s="444"/>
    </row>
    <row r="732" spans="16:20" ht="15">
      <c r="P732" s="447"/>
      <c r="Q732" s="444"/>
      <c r="R732" s="444"/>
      <c r="S732" s="444"/>
      <c r="T732" s="444"/>
    </row>
    <row r="733" spans="16:20" ht="15">
      <c r="P733" s="447"/>
      <c r="Q733" s="444"/>
      <c r="R733" s="444"/>
      <c r="S733" s="444"/>
      <c r="T733" s="444"/>
    </row>
    <row r="734" spans="16:20" ht="15">
      <c r="P734" s="447"/>
      <c r="Q734" s="444"/>
      <c r="R734" s="444"/>
      <c r="S734" s="444"/>
      <c r="T734" s="444"/>
    </row>
    <row r="735" spans="16:20" ht="15">
      <c r="P735" s="447"/>
      <c r="Q735" s="444"/>
      <c r="R735" s="444"/>
      <c r="S735" s="444"/>
      <c r="T735" s="444"/>
    </row>
    <row r="736" spans="16:20" ht="15">
      <c r="P736" s="447"/>
      <c r="Q736" s="444"/>
      <c r="R736" s="444"/>
      <c r="S736" s="444"/>
      <c r="T736" s="444"/>
    </row>
    <row r="737" spans="16:16" s="444" customFormat="1" ht="15">
      <c r="P737" s="447"/>
    </row>
    <row r="738" spans="16:16" s="444" customFormat="1" ht="15">
      <c r="P738" s="447"/>
    </row>
    <row r="739" spans="16:16" s="444" customFormat="1" ht="15">
      <c r="P739" s="447"/>
    </row>
    <row r="740" spans="16:16" s="444" customFormat="1" ht="15">
      <c r="P740" s="447"/>
    </row>
    <row r="741" spans="16:16" s="444" customFormat="1" ht="15">
      <c r="P741" s="447"/>
    </row>
    <row r="742" spans="16:16" s="444" customFormat="1" ht="15">
      <c r="P742" s="447"/>
    </row>
    <row r="743" spans="16:16" s="444" customFormat="1" ht="15">
      <c r="P743" s="447"/>
    </row>
    <row r="744" spans="16:16" s="444" customFormat="1" ht="15">
      <c r="P744" s="447"/>
    </row>
    <row r="745" spans="16:16" s="444" customFormat="1" ht="15">
      <c r="P745" s="447"/>
    </row>
    <row r="746" spans="16:16" s="444" customFormat="1" ht="15">
      <c r="P746" s="447"/>
    </row>
    <row r="747" spans="16:16" s="444" customFormat="1" ht="15">
      <c r="P747" s="447"/>
    </row>
    <row r="748" spans="16:16" s="444" customFormat="1" ht="15">
      <c r="P748" s="447"/>
    </row>
    <row r="749" spans="16:16" s="444" customFormat="1" ht="15">
      <c r="P749" s="447"/>
    </row>
    <row r="750" spans="16:16" s="444" customFormat="1" ht="15">
      <c r="P750" s="447"/>
    </row>
    <row r="751" spans="16:16" s="444" customFormat="1" ht="15">
      <c r="P751" s="447"/>
    </row>
    <row r="752" spans="16:16" s="444" customFormat="1" ht="15">
      <c r="P752" s="447"/>
    </row>
    <row r="753" spans="16:16" s="444" customFormat="1" ht="15">
      <c r="P753" s="447"/>
    </row>
    <row r="754" spans="16:16" s="444" customFormat="1" ht="15">
      <c r="P754" s="447"/>
    </row>
    <row r="755" spans="16:16" s="444" customFormat="1" ht="15">
      <c r="P755" s="447"/>
    </row>
    <row r="756" spans="16:16" s="444" customFormat="1" ht="15">
      <c r="P756" s="447"/>
    </row>
    <row r="757" spans="16:16" s="444" customFormat="1" ht="15">
      <c r="P757" s="447"/>
    </row>
    <row r="758" spans="16:16" s="444" customFormat="1" ht="15">
      <c r="P758" s="447"/>
    </row>
    <row r="759" spans="16:16" s="444" customFormat="1" ht="15">
      <c r="P759" s="447"/>
    </row>
    <row r="760" spans="16:16" s="444" customFormat="1" ht="15">
      <c r="P760" s="447"/>
    </row>
    <row r="761" spans="16:16" s="444" customFormat="1" ht="15">
      <c r="P761" s="447"/>
    </row>
    <row r="762" spans="16:16" s="444" customFormat="1" ht="15">
      <c r="P762" s="447"/>
    </row>
    <row r="763" spans="16:16" s="444" customFormat="1" ht="15">
      <c r="P763" s="447"/>
    </row>
    <row r="764" spans="16:16" s="444" customFormat="1" ht="15">
      <c r="P764" s="447"/>
    </row>
    <row r="765" spans="16:16" s="444" customFormat="1" ht="15">
      <c r="P765" s="447"/>
    </row>
    <row r="766" spans="16:16" s="444" customFormat="1" ht="15">
      <c r="P766" s="447"/>
    </row>
    <row r="767" spans="16:16" s="444" customFormat="1" ht="15">
      <c r="P767" s="447"/>
    </row>
    <row r="768" spans="16:16" s="444" customFormat="1" ht="15">
      <c r="P768" s="447"/>
    </row>
    <row r="769" spans="16:16" s="444" customFormat="1" ht="15">
      <c r="P769" s="447"/>
    </row>
    <row r="770" spans="16:16" s="444" customFormat="1" ht="15">
      <c r="P770" s="447"/>
    </row>
    <row r="771" spans="16:16" s="444" customFormat="1" ht="15">
      <c r="P771" s="447"/>
    </row>
    <row r="772" spans="16:16" s="444" customFormat="1" ht="15">
      <c r="P772" s="447"/>
    </row>
    <row r="773" spans="16:16" s="444" customFormat="1" ht="15">
      <c r="P773" s="447"/>
    </row>
    <row r="774" spans="16:16" s="444" customFormat="1" ht="15">
      <c r="P774" s="447"/>
    </row>
    <row r="775" spans="16:16" s="444" customFormat="1" ht="15">
      <c r="P775" s="447"/>
    </row>
    <row r="776" spans="16:16" s="444" customFormat="1" ht="15">
      <c r="P776" s="447"/>
    </row>
    <row r="777" spans="16:16" s="444" customFormat="1" ht="15">
      <c r="P777" s="447"/>
    </row>
    <row r="778" spans="16:16" s="444" customFormat="1" ht="15">
      <c r="P778" s="447"/>
    </row>
    <row r="779" spans="16:16" s="444" customFormat="1" ht="15">
      <c r="P779" s="447"/>
    </row>
    <row r="780" spans="16:16" s="444" customFormat="1" ht="15">
      <c r="P780" s="447"/>
    </row>
    <row r="781" spans="16:16" s="444" customFormat="1" ht="15">
      <c r="P781" s="447"/>
    </row>
    <row r="782" spans="16:16" s="444" customFormat="1" ht="15">
      <c r="P782" s="447"/>
    </row>
    <row r="783" spans="16:16" s="444" customFormat="1" ht="15">
      <c r="P783" s="447"/>
    </row>
    <row r="784" spans="16:16" s="444" customFormat="1" ht="15">
      <c r="P784" s="447"/>
    </row>
    <row r="785" spans="16:16" s="444" customFormat="1" ht="15">
      <c r="P785" s="447"/>
    </row>
    <row r="786" spans="16:16" s="444" customFormat="1" ht="15">
      <c r="P786" s="447"/>
    </row>
    <row r="787" spans="16:16" s="444" customFormat="1" ht="15">
      <c r="P787" s="447"/>
    </row>
    <row r="788" spans="16:16" s="444" customFormat="1" ht="15">
      <c r="P788" s="447"/>
    </row>
    <row r="789" spans="16:16" s="444" customFormat="1" ht="15">
      <c r="P789" s="447"/>
    </row>
    <row r="790" spans="16:16" s="444" customFormat="1" ht="15">
      <c r="P790" s="447"/>
    </row>
    <row r="791" spans="16:16" s="444" customFormat="1" ht="15">
      <c r="P791" s="447"/>
    </row>
    <row r="792" spans="16:16" s="444" customFormat="1" ht="15">
      <c r="P792" s="447"/>
    </row>
    <row r="793" spans="16:16" s="444" customFormat="1" ht="15">
      <c r="P793" s="447"/>
    </row>
    <row r="794" spans="16:16" s="444" customFormat="1" ht="15">
      <c r="P794" s="447"/>
    </row>
    <row r="795" spans="16:16" s="444" customFormat="1" ht="15">
      <c r="P795" s="447"/>
    </row>
    <row r="796" spans="16:16" s="444" customFormat="1" ht="15">
      <c r="P796" s="447"/>
    </row>
    <row r="797" spans="16:16" s="444" customFormat="1" ht="15">
      <c r="P797" s="447"/>
    </row>
    <row r="798" spans="16:16" s="444" customFormat="1" ht="15">
      <c r="P798" s="447"/>
    </row>
    <row r="799" spans="16:16" s="444" customFormat="1" ht="15">
      <c r="P799" s="447"/>
    </row>
    <row r="800" spans="16:16" s="444" customFormat="1" ht="15">
      <c r="P800" s="447"/>
    </row>
    <row r="801" spans="16:16" s="444" customFormat="1" ht="15">
      <c r="P801" s="447"/>
    </row>
    <row r="802" spans="16:16" s="444" customFormat="1" ht="15">
      <c r="P802" s="447"/>
    </row>
    <row r="803" spans="16:16" s="444" customFormat="1" ht="15">
      <c r="P803" s="447"/>
    </row>
    <row r="804" spans="16:16" s="444" customFormat="1" ht="15">
      <c r="P804" s="447"/>
    </row>
    <row r="805" spans="16:16" s="444" customFormat="1" ht="15">
      <c r="P805" s="447"/>
    </row>
    <row r="806" spans="16:16" s="444" customFormat="1" ht="15">
      <c r="P806" s="447"/>
    </row>
    <row r="807" spans="16:16" s="444" customFormat="1" ht="15">
      <c r="P807" s="447"/>
    </row>
    <row r="808" spans="16:16" s="444" customFormat="1" ht="15">
      <c r="P808" s="447"/>
    </row>
    <row r="809" spans="16:16" s="444" customFormat="1" ht="15">
      <c r="P809" s="447"/>
    </row>
    <row r="810" spans="16:16" s="444" customFormat="1" ht="15">
      <c r="P810" s="447"/>
    </row>
    <row r="811" spans="16:16" s="444" customFormat="1" ht="15">
      <c r="P811" s="447"/>
    </row>
    <row r="812" spans="16:16" s="444" customFormat="1" ht="15">
      <c r="P812" s="447"/>
    </row>
    <row r="813" spans="16:16" s="444" customFormat="1" ht="15">
      <c r="P813" s="447"/>
    </row>
    <row r="814" spans="16:16" s="444" customFormat="1" ht="15">
      <c r="P814" s="447"/>
    </row>
    <row r="815" spans="16:16" s="444" customFormat="1" ht="15">
      <c r="P815" s="447"/>
    </row>
    <row r="816" spans="16:16" s="444" customFormat="1" ht="15">
      <c r="P816" s="447"/>
    </row>
    <row r="817" spans="16:16" s="444" customFormat="1" ht="15">
      <c r="P817" s="447"/>
    </row>
    <row r="818" spans="16:16" s="444" customFormat="1" ht="15">
      <c r="P818" s="447"/>
    </row>
    <row r="819" spans="16:16" s="444" customFormat="1" ht="15">
      <c r="P819" s="447"/>
    </row>
    <row r="820" spans="16:16" s="444" customFormat="1" ht="15">
      <c r="P820" s="447"/>
    </row>
    <row r="821" spans="16:16" s="444" customFormat="1" ht="15">
      <c r="P821" s="447"/>
    </row>
    <row r="822" spans="16:16" s="444" customFormat="1" ht="15">
      <c r="P822" s="447"/>
    </row>
    <row r="823" spans="16:16" s="444" customFormat="1" ht="15">
      <c r="P823" s="447"/>
    </row>
    <row r="824" spans="16:16" s="444" customFormat="1" ht="15">
      <c r="P824" s="447"/>
    </row>
    <row r="825" spans="16:16" s="444" customFormat="1" ht="15">
      <c r="P825" s="447"/>
    </row>
    <row r="826" spans="16:16" s="444" customFormat="1" ht="15">
      <c r="P826" s="447"/>
    </row>
    <row r="827" spans="16:16" s="444" customFormat="1" ht="15">
      <c r="P827" s="447"/>
    </row>
    <row r="828" spans="16:16" s="444" customFormat="1" ht="15">
      <c r="P828" s="447"/>
    </row>
    <row r="829" spans="16:16" s="444" customFormat="1" ht="15">
      <c r="P829" s="447"/>
    </row>
    <row r="830" spans="16:16" s="444" customFormat="1" ht="15">
      <c r="P830" s="447"/>
    </row>
    <row r="831" spans="16:16" s="444" customFormat="1" ht="15">
      <c r="P831" s="447"/>
    </row>
    <row r="832" spans="16:16" s="444" customFormat="1" ht="15">
      <c r="P832" s="447"/>
    </row>
    <row r="833" spans="16:16" s="444" customFormat="1" ht="15">
      <c r="P833" s="447"/>
    </row>
    <row r="834" spans="16:16" s="444" customFormat="1" ht="15">
      <c r="P834" s="447"/>
    </row>
    <row r="835" spans="16:16" s="444" customFormat="1" ht="15">
      <c r="P835" s="447"/>
    </row>
    <row r="836" spans="16:16" s="444" customFormat="1" ht="15">
      <c r="P836" s="447"/>
    </row>
    <row r="837" spans="16:16" s="444" customFormat="1" ht="15">
      <c r="P837" s="447"/>
    </row>
    <row r="838" spans="16:16" s="444" customFormat="1" ht="15">
      <c r="P838" s="447"/>
    </row>
    <row r="839" spans="16:16" s="444" customFormat="1" ht="15">
      <c r="P839" s="447"/>
    </row>
    <row r="840" spans="16:16" s="444" customFormat="1" ht="15">
      <c r="P840" s="447"/>
    </row>
    <row r="841" spans="16:16" s="444" customFormat="1" ht="15">
      <c r="P841" s="447"/>
    </row>
    <row r="842" spans="16:16" s="444" customFormat="1" ht="15">
      <c r="P842" s="447"/>
    </row>
    <row r="843" spans="16:16" s="444" customFormat="1" ht="15">
      <c r="P843" s="447"/>
    </row>
    <row r="844" spans="16:16" s="444" customFormat="1" ht="15">
      <c r="P844" s="447"/>
    </row>
    <row r="845" spans="16:16" s="444" customFormat="1" ht="15">
      <c r="P845" s="447"/>
    </row>
    <row r="846" spans="16:16" s="444" customFormat="1" ht="15">
      <c r="P846" s="447"/>
    </row>
    <row r="847" spans="16:16" s="444" customFormat="1" ht="15">
      <c r="P847" s="447"/>
    </row>
    <row r="848" spans="16:16" s="444" customFormat="1" ht="15">
      <c r="P848" s="447"/>
    </row>
    <row r="849" spans="16:16" s="444" customFormat="1" ht="15">
      <c r="P849" s="447"/>
    </row>
    <row r="850" spans="16:16" s="444" customFormat="1" ht="15">
      <c r="P850" s="447"/>
    </row>
    <row r="851" spans="16:16" s="444" customFormat="1" ht="15">
      <c r="P851" s="447"/>
    </row>
    <row r="852" spans="16:16" s="444" customFormat="1" ht="15">
      <c r="P852" s="447"/>
    </row>
    <row r="853" spans="16:16" s="444" customFormat="1" ht="15">
      <c r="P853" s="447"/>
    </row>
    <row r="854" spans="16:16" s="444" customFormat="1" ht="15">
      <c r="P854" s="447"/>
    </row>
    <row r="855" spans="16:16" s="444" customFormat="1" ht="15">
      <c r="P855" s="447"/>
    </row>
    <row r="856" spans="16:16" s="444" customFormat="1" ht="15">
      <c r="P856" s="447"/>
    </row>
    <row r="857" spans="16:16" s="444" customFormat="1" ht="15">
      <c r="P857" s="447"/>
    </row>
    <row r="858" spans="16:16" s="444" customFormat="1" ht="15">
      <c r="P858" s="447"/>
    </row>
    <row r="859" spans="16:16" s="444" customFormat="1" ht="15">
      <c r="P859" s="447"/>
    </row>
    <row r="860" spans="16:16" s="444" customFormat="1" ht="15">
      <c r="P860" s="447"/>
    </row>
    <row r="861" spans="16:16" s="444" customFormat="1" ht="15">
      <c r="P861" s="447"/>
    </row>
    <row r="862" spans="16:16" s="444" customFormat="1" ht="15">
      <c r="P862" s="447"/>
    </row>
    <row r="863" spans="16:16" s="444" customFormat="1" ht="15">
      <c r="P863" s="447"/>
    </row>
    <row r="864" spans="16:16" s="444" customFormat="1" ht="15">
      <c r="P864" s="447"/>
    </row>
    <row r="865" spans="16:16" s="444" customFormat="1" ht="15">
      <c r="P865" s="447"/>
    </row>
    <row r="866" spans="16:16" s="444" customFormat="1" ht="15">
      <c r="P866" s="447"/>
    </row>
    <row r="867" spans="16:16" s="444" customFormat="1" ht="15">
      <c r="P867" s="447"/>
    </row>
    <row r="868" spans="16:16" s="444" customFormat="1" ht="15">
      <c r="P868" s="447"/>
    </row>
    <row r="869" spans="16:16" s="444" customFormat="1" ht="15">
      <c r="P869" s="447"/>
    </row>
    <row r="870" spans="16:16" s="444" customFormat="1" ht="15">
      <c r="P870" s="447"/>
    </row>
    <row r="871" spans="16:16" s="444" customFormat="1" ht="15">
      <c r="P871" s="447"/>
    </row>
    <row r="872" spans="16:16" s="444" customFormat="1" ht="15">
      <c r="P872" s="447"/>
    </row>
    <row r="873" spans="16:16" s="444" customFormat="1" ht="15">
      <c r="P873" s="447"/>
    </row>
    <row r="874" spans="16:16" s="444" customFormat="1" ht="15">
      <c r="P874" s="447"/>
    </row>
    <row r="875" spans="16:16" s="444" customFormat="1" ht="15">
      <c r="P875" s="447"/>
    </row>
    <row r="876" spans="16:16" s="444" customFormat="1" ht="15">
      <c r="P876" s="447"/>
    </row>
    <row r="877" spans="16:16" s="444" customFormat="1" ht="15">
      <c r="P877" s="447"/>
    </row>
    <row r="878" spans="16:16" s="444" customFormat="1" ht="15">
      <c r="P878" s="447"/>
    </row>
    <row r="879" spans="16:16" s="444" customFormat="1" ht="15">
      <c r="P879" s="447"/>
    </row>
    <row r="880" spans="16:16" s="444" customFormat="1" ht="15">
      <c r="P880" s="447"/>
    </row>
    <row r="881" spans="16:16" s="444" customFormat="1" ht="15">
      <c r="P881" s="447"/>
    </row>
    <row r="882" spans="16:16" s="444" customFormat="1" ht="15">
      <c r="P882" s="447"/>
    </row>
    <row r="883" spans="16:16" s="444" customFormat="1" ht="15">
      <c r="P883" s="447"/>
    </row>
    <row r="884" spans="16:16" s="444" customFormat="1" ht="15">
      <c r="P884" s="447"/>
    </row>
    <row r="885" spans="16:16" s="444" customFormat="1" ht="15">
      <c r="P885" s="447"/>
    </row>
    <row r="886" spans="16:16" s="444" customFormat="1" ht="15">
      <c r="P886" s="447"/>
    </row>
    <row r="887" spans="16:16" s="444" customFormat="1" ht="15">
      <c r="P887" s="447"/>
    </row>
    <row r="888" spans="16:16" s="444" customFormat="1" ht="15">
      <c r="P888" s="447"/>
    </row>
    <row r="889" spans="16:16" s="444" customFormat="1" ht="15">
      <c r="P889" s="447"/>
    </row>
    <row r="890" spans="16:16" s="444" customFormat="1" ht="15">
      <c r="P890" s="447"/>
    </row>
    <row r="891" spans="16:16" s="444" customFormat="1" ht="15">
      <c r="P891" s="447"/>
    </row>
    <row r="892" spans="16:16" s="444" customFormat="1" ht="15">
      <c r="P892" s="447"/>
    </row>
    <row r="893" spans="16:16" s="444" customFormat="1" ht="15">
      <c r="P893" s="447"/>
    </row>
    <row r="894" spans="16:16" s="444" customFormat="1" ht="15">
      <c r="P894" s="447"/>
    </row>
    <row r="895" spans="16:16" s="444" customFormat="1" ht="15">
      <c r="P895" s="447"/>
    </row>
    <row r="896" spans="16:16" s="444" customFormat="1" ht="15">
      <c r="P896" s="447"/>
    </row>
    <row r="897" spans="16:16" s="444" customFormat="1" ht="15">
      <c r="P897" s="447"/>
    </row>
    <row r="898" spans="16:16" s="444" customFormat="1" ht="15">
      <c r="P898" s="447"/>
    </row>
    <row r="899" spans="16:16" s="444" customFormat="1" ht="15">
      <c r="P899" s="447"/>
    </row>
    <row r="900" spans="16:16" s="444" customFormat="1" ht="15">
      <c r="P900" s="447"/>
    </row>
    <row r="901" spans="16:16" s="444" customFormat="1" ht="15">
      <c r="P901" s="447"/>
    </row>
    <row r="902" spans="16:16" s="444" customFormat="1" ht="15">
      <c r="P902" s="447"/>
    </row>
    <row r="903" spans="16:16" s="444" customFormat="1" ht="15">
      <c r="P903" s="447"/>
    </row>
    <row r="904" spans="16:16" s="444" customFormat="1" ht="15">
      <c r="P904" s="447"/>
    </row>
    <row r="905" spans="16:16" s="444" customFormat="1" ht="15">
      <c r="P905" s="447"/>
    </row>
    <row r="906" spans="16:16" s="444" customFormat="1" ht="15">
      <c r="P906" s="447"/>
    </row>
    <row r="907" spans="16:16" s="444" customFormat="1" ht="15">
      <c r="P907" s="447"/>
    </row>
    <row r="908" spans="16:16" s="444" customFormat="1" ht="15">
      <c r="P908" s="447"/>
    </row>
    <row r="909" spans="16:16" s="444" customFormat="1" ht="15">
      <c r="P909" s="447"/>
    </row>
    <row r="910" spans="16:16" s="444" customFormat="1" ht="15">
      <c r="P910" s="447"/>
    </row>
    <row r="911" spans="16:16" s="444" customFormat="1" ht="15">
      <c r="P911" s="447"/>
    </row>
    <row r="912" spans="16:16" s="444" customFormat="1" ht="15">
      <c r="P912" s="447"/>
    </row>
    <row r="913" spans="16:16" s="444" customFormat="1" ht="15">
      <c r="P913" s="447"/>
    </row>
    <row r="914" spans="16:16" s="444" customFormat="1" ht="15">
      <c r="P914" s="447"/>
    </row>
    <row r="915" spans="16:16" s="444" customFormat="1" ht="15">
      <c r="P915" s="447"/>
    </row>
    <row r="916" spans="16:16" s="444" customFormat="1" ht="15">
      <c r="P916" s="447"/>
    </row>
    <row r="917" spans="16:16" s="444" customFormat="1" ht="15">
      <c r="P917" s="447"/>
    </row>
    <row r="918" spans="16:16" s="444" customFormat="1" ht="15">
      <c r="P918" s="447"/>
    </row>
    <row r="919" spans="16:16" s="444" customFormat="1" ht="15">
      <c r="P919" s="447"/>
    </row>
    <row r="920" spans="16:16" s="444" customFormat="1" ht="15">
      <c r="P920" s="447"/>
    </row>
    <row r="921" spans="16:16" s="444" customFormat="1" ht="15">
      <c r="P921" s="447"/>
    </row>
    <row r="922" spans="16:16" s="444" customFormat="1" ht="15">
      <c r="P922" s="447"/>
    </row>
    <row r="923" spans="16:16" s="444" customFormat="1" ht="15">
      <c r="P923" s="447"/>
    </row>
    <row r="924" spans="16:16" s="444" customFormat="1" ht="15">
      <c r="P924" s="447"/>
    </row>
    <row r="925" spans="16:16" s="444" customFormat="1" ht="15">
      <c r="P925" s="447"/>
    </row>
    <row r="926" spans="16:16" s="444" customFormat="1" ht="15">
      <c r="P926" s="447"/>
    </row>
    <row r="927" spans="16:16" s="444" customFormat="1" ht="15">
      <c r="P927" s="447"/>
    </row>
    <row r="928" spans="16:16" s="444" customFormat="1" ht="15">
      <c r="P928" s="447"/>
    </row>
    <row r="929" spans="16:16" s="444" customFormat="1" ht="15">
      <c r="P929" s="447"/>
    </row>
    <row r="930" spans="16:16" s="444" customFormat="1" ht="15">
      <c r="P930" s="447"/>
    </row>
    <row r="931" spans="16:16" s="444" customFormat="1" ht="15">
      <c r="P931" s="447"/>
    </row>
    <row r="932" spans="16:16" s="444" customFormat="1" ht="15">
      <c r="P932" s="447"/>
    </row>
    <row r="933" spans="16:16" s="444" customFormat="1" ht="15">
      <c r="P933" s="447"/>
    </row>
    <row r="934" spans="16:16" s="444" customFormat="1" ht="15">
      <c r="P934" s="447"/>
    </row>
    <row r="935" spans="16:16" s="444" customFormat="1" ht="15">
      <c r="P935" s="447"/>
    </row>
    <row r="936" spans="16:16" s="444" customFormat="1" ht="15">
      <c r="P936" s="447"/>
    </row>
    <row r="937" spans="16:16" s="444" customFormat="1" ht="15">
      <c r="P937" s="447"/>
    </row>
    <row r="938" spans="16:16" s="444" customFormat="1" ht="15">
      <c r="P938" s="447"/>
    </row>
    <row r="939" spans="16:16" s="444" customFormat="1" ht="15">
      <c r="P939" s="447"/>
    </row>
    <row r="940" spans="16:16" s="444" customFormat="1" ht="15">
      <c r="P940" s="447"/>
    </row>
    <row r="941" spans="16:16" s="444" customFormat="1" ht="15">
      <c r="P941" s="447"/>
    </row>
    <row r="942" spans="16:16" s="444" customFormat="1" ht="15">
      <c r="P942" s="447"/>
    </row>
    <row r="943" spans="16:16" s="444" customFormat="1" ht="15">
      <c r="P943" s="447"/>
    </row>
    <row r="944" spans="16:16" s="444" customFormat="1" ht="15">
      <c r="P944" s="447"/>
    </row>
    <row r="945" spans="16:16" s="444" customFormat="1" ht="15">
      <c r="P945" s="447"/>
    </row>
    <row r="946" spans="16:16" s="444" customFormat="1" ht="15">
      <c r="P946" s="447"/>
    </row>
    <row r="947" spans="16:16" s="444" customFormat="1" ht="15">
      <c r="P947" s="447"/>
    </row>
    <row r="948" spans="16:16" s="444" customFormat="1" ht="15">
      <c r="P948" s="447"/>
    </row>
    <row r="949" spans="16:16" s="444" customFormat="1" ht="15">
      <c r="P949" s="447"/>
    </row>
    <row r="950" spans="16:16" s="444" customFormat="1" ht="15">
      <c r="P950" s="447"/>
    </row>
    <row r="951" spans="16:16" s="444" customFormat="1" ht="15">
      <c r="P951" s="447"/>
    </row>
    <row r="952" spans="16:16" s="444" customFormat="1" ht="15">
      <c r="P952" s="447"/>
    </row>
    <row r="953" spans="16:16" s="444" customFormat="1" ht="15">
      <c r="P953" s="447"/>
    </row>
    <row r="954" spans="16:16" s="444" customFormat="1" ht="15">
      <c r="P954" s="447"/>
    </row>
    <row r="955" spans="16:16" s="444" customFormat="1" ht="15">
      <c r="P955" s="447"/>
    </row>
    <row r="956" spans="16:16" s="444" customFormat="1" ht="15">
      <c r="P956" s="447"/>
    </row>
    <row r="957" spans="16:16" s="444" customFormat="1" ht="15">
      <c r="P957" s="447"/>
    </row>
    <row r="958" spans="16:16" s="444" customFormat="1" ht="15">
      <c r="P958" s="447"/>
    </row>
    <row r="959" spans="16:16" s="444" customFormat="1" ht="15">
      <c r="P959" s="447"/>
    </row>
    <row r="960" spans="16:16" s="444" customFormat="1" ht="15">
      <c r="P960" s="447"/>
    </row>
    <row r="961" spans="16:16" s="444" customFormat="1" ht="15">
      <c r="P961" s="447"/>
    </row>
    <row r="962" spans="16:16" s="444" customFormat="1" ht="15">
      <c r="P962" s="447"/>
    </row>
    <row r="963" spans="16:16" s="444" customFormat="1" ht="15">
      <c r="P963" s="447"/>
    </row>
    <row r="964" spans="16:16" s="444" customFormat="1" ht="15">
      <c r="P964" s="447"/>
    </row>
    <row r="965" spans="16:16" s="444" customFormat="1" ht="15">
      <c r="P965" s="447"/>
    </row>
    <row r="966" spans="16:16" s="444" customFormat="1" ht="15">
      <c r="P966" s="447"/>
    </row>
    <row r="967" spans="16:16" s="444" customFormat="1" ht="15">
      <c r="P967" s="447"/>
    </row>
    <row r="968" spans="16:16" s="444" customFormat="1" ht="15">
      <c r="P968" s="447"/>
    </row>
    <row r="969" spans="16:16" s="444" customFormat="1" ht="15">
      <c r="P969" s="447"/>
    </row>
    <row r="970" spans="16:16" s="444" customFormat="1" ht="15">
      <c r="P970" s="447"/>
    </row>
    <row r="971" spans="16:16" s="444" customFormat="1" ht="15">
      <c r="P971" s="447"/>
    </row>
    <row r="972" spans="16:16" s="444" customFormat="1" ht="15">
      <c r="P972" s="447"/>
    </row>
    <row r="973" spans="16:16" s="444" customFormat="1" ht="15">
      <c r="P973" s="447"/>
    </row>
    <row r="974" spans="16:16" s="444" customFormat="1" ht="15">
      <c r="P974" s="447"/>
    </row>
    <row r="975" spans="16:16" s="444" customFormat="1" ht="15">
      <c r="P975" s="447"/>
    </row>
    <row r="976" spans="16:16" s="444" customFormat="1" ht="15">
      <c r="P976" s="447"/>
    </row>
    <row r="977" spans="16:16" s="444" customFormat="1" ht="15">
      <c r="P977" s="447"/>
    </row>
    <row r="978" spans="16:16" s="444" customFormat="1" ht="15">
      <c r="P978" s="447"/>
    </row>
    <row r="979" spans="16:16" s="444" customFormat="1" ht="15">
      <c r="P979" s="447"/>
    </row>
    <row r="980" spans="16:16" s="444" customFormat="1" ht="15">
      <c r="P980" s="447"/>
    </row>
    <row r="981" spans="16:16" s="444" customFormat="1" ht="15">
      <c r="P981" s="447"/>
    </row>
    <row r="982" spans="16:16" s="444" customFormat="1" ht="15">
      <c r="P982" s="447"/>
    </row>
    <row r="983" spans="16:16" s="444" customFormat="1" ht="15">
      <c r="P983" s="447"/>
    </row>
    <row r="984" spans="16:16" s="444" customFormat="1" ht="15">
      <c r="P984" s="447"/>
    </row>
    <row r="985" spans="16:16" s="444" customFormat="1" ht="15">
      <c r="P985" s="447"/>
    </row>
    <row r="986" spans="16:16" s="444" customFormat="1" ht="15">
      <c r="P986" s="447"/>
    </row>
    <row r="987" spans="16:16" s="444" customFormat="1" ht="15">
      <c r="P987" s="447"/>
    </row>
    <row r="988" spans="16:16" s="444" customFormat="1" ht="15">
      <c r="P988" s="447"/>
    </row>
    <row r="989" spans="16:16" s="444" customFormat="1" ht="15">
      <c r="P989" s="447"/>
    </row>
    <row r="990" spans="16:16" s="444" customFormat="1" ht="15">
      <c r="P990" s="447"/>
    </row>
    <row r="991" spans="16:16" s="444" customFormat="1" ht="15">
      <c r="P991" s="447"/>
    </row>
    <row r="992" spans="16:16" s="444" customFormat="1" ht="15">
      <c r="P992" s="447"/>
    </row>
    <row r="993" spans="16:16" s="444" customFormat="1" ht="15">
      <c r="P993" s="447"/>
    </row>
    <row r="994" spans="16:16" s="444" customFormat="1" ht="15">
      <c r="P994" s="447"/>
    </row>
    <row r="995" spans="16:16" s="444" customFormat="1" ht="15">
      <c r="P995" s="447"/>
    </row>
    <row r="996" spans="16:16" s="444" customFormat="1" ht="15">
      <c r="P996" s="447"/>
    </row>
    <row r="997" spans="16:16" s="444" customFormat="1" ht="15">
      <c r="P997" s="447"/>
    </row>
    <row r="998" spans="16:16" s="444" customFormat="1" ht="15">
      <c r="P998" s="447"/>
    </row>
    <row r="999" spans="16:16" s="444" customFormat="1" ht="15">
      <c r="P999" s="447"/>
    </row>
    <row r="1000" spans="16:16" s="444" customFormat="1" ht="15">
      <c r="P1000" s="447"/>
    </row>
    <row r="1001" spans="16:16" s="444" customFormat="1" ht="15">
      <c r="P1001" s="447"/>
    </row>
    <row r="1002" spans="16:16" s="444" customFormat="1" ht="15">
      <c r="P1002" s="447"/>
    </row>
    <row r="1003" spans="16:16" s="444" customFormat="1" ht="15">
      <c r="P1003" s="447"/>
    </row>
    <row r="1004" spans="16:16" s="444" customFormat="1" ht="15">
      <c r="P1004" s="447"/>
    </row>
    <row r="1005" spans="16:16" s="444" customFormat="1" ht="15">
      <c r="P1005" s="447"/>
    </row>
    <row r="1006" spans="16:16" s="444" customFormat="1" ht="15">
      <c r="P1006" s="447"/>
    </row>
    <row r="1007" spans="16:16" s="444" customFormat="1" ht="15">
      <c r="P1007" s="447"/>
    </row>
    <row r="1008" spans="16:16" s="444" customFormat="1" ht="15">
      <c r="P1008" s="447"/>
    </row>
    <row r="1009" spans="16:16" s="444" customFormat="1" ht="15">
      <c r="P1009" s="447"/>
    </row>
    <row r="1010" spans="16:16" s="444" customFormat="1" ht="15">
      <c r="P1010" s="447"/>
    </row>
    <row r="1011" spans="16:16" s="444" customFormat="1" ht="15">
      <c r="P1011" s="447"/>
    </row>
    <row r="1012" spans="16:16" s="444" customFormat="1" ht="15">
      <c r="P1012" s="447"/>
    </row>
    <row r="1013" spans="16:16" s="444" customFormat="1" ht="15">
      <c r="P1013" s="447"/>
    </row>
    <row r="1014" spans="16:16" s="444" customFormat="1" ht="15">
      <c r="P1014" s="447"/>
    </row>
    <row r="1015" spans="16:16" s="444" customFormat="1" ht="15">
      <c r="P1015" s="447"/>
    </row>
    <row r="1016" spans="16:16" s="444" customFormat="1" ht="15">
      <c r="P1016" s="447"/>
    </row>
    <row r="1017" spans="16:16" s="444" customFormat="1" ht="15">
      <c r="P1017" s="447"/>
    </row>
    <row r="1018" spans="16:16" s="444" customFormat="1" ht="15">
      <c r="P1018" s="447"/>
    </row>
    <row r="1019" spans="16:16" s="444" customFormat="1" ht="15">
      <c r="P1019" s="447"/>
    </row>
    <row r="1020" spans="16:16" s="444" customFormat="1" ht="15">
      <c r="P1020" s="447"/>
    </row>
    <row r="1021" spans="16:16" s="444" customFormat="1" ht="15">
      <c r="P1021" s="447"/>
    </row>
    <row r="1022" spans="16:16" s="444" customFormat="1" ht="15">
      <c r="P1022" s="447"/>
    </row>
    <row r="1023" spans="16:16" s="444" customFormat="1" ht="15">
      <c r="P1023" s="447"/>
    </row>
    <row r="1024" spans="16:16" s="444" customFormat="1" ht="15">
      <c r="P1024" s="447"/>
    </row>
    <row r="1025" spans="16:16" s="444" customFormat="1" ht="15">
      <c r="P1025" s="447"/>
    </row>
    <row r="1026" spans="16:16" s="444" customFormat="1" ht="15">
      <c r="P1026" s="447"/>
    </row>
    <row r="1027" spans="16:16" s="444" customFormat="1" ht="15">
      <c r="P1027" s="447"/>
    </row>
    <row r="1028" spans="16:16" s="444" customFormat="1" ht="15">
      <c r="P1028" s="447"/>
    </row>
    <row r="1029" spans="16:16" s="444" customFormat="1" ht="15">
      <c r="P1029" s="447"/>
    </row>
    <row r="1030" spans="16:16" s="444" customFormat="1" ht="15">
      <c r="P1030" s="447"/>
    </row>
    <row r="1031" spans="16:16" s="444" customFormat="1" ht="15">
      <c r="P1031" s="447"/>
    </row>
    <row r="1032" spans="16:16" s="444" customFormat="1" ht="15">
      <c r="P1032" s="447"/>
    </row>
    <row r="1033" spans="16:16" s="444" customFormat="1" ht="15">
      <c r="P1033" s="447"/>
    </row>
    <row r="1034" spans="16:16" s="444" customFormat="1" ht="15">
      <c r="P1034" s="447"/>
    </row>
    <row r="1035" spans="16:16" s="444" customFormat="1" ht="15">
      <c r="P1035" s="447"/>
    </row>
    <row r="1036" spans="16:16" s="444" customFormat="1" ht="15">
      <c r="P1036" s="447"/>
    </row>
    <row r="1037" spans="16:16" s="444" customFormat="1" ht="15">
      <c r="P1037" s="447"/>
    </row>
    <row r="1038" spans="16:16" s="444" customFormat="1" ht="15">
      <c r="P1038" s="447"/>
    </row>
    <row r="1039" spans="16:16" s="444" customFormat="1" ht="15">
      <c r="P1039" s="447"/>
    </row>
    <row r="1040" spans="16:16" s="444" customFormat="1" ht="15">
      <c r="P1040" s="447"/>
    </row>
    <row r="1041" spans="16:16" s="444" customFormat="1" ht="15">
      <c r="P1041" s="447"/>
    </row>
    <row r="1042" spans="16:16" s="444" customFormat="1" ht="15">
      <c r="P1042" s="447"/>
    </row>
    <row r="1043" spans="16:16" s="444" customFormat="1" ht="15">
      <c r="P1043" s="447"/>
    </row>
    <row r="1044" spans="16:16" s="444" customFormat="1" ht="15">
      <c r="P1044" s="447"/>
    </row>
    <row r="1045" spans="16:16" s="444" customFormat="1" ht="15">
      <c r="P1045" s="447"/>
    </row>
    <row r="1046" spans="16:16" s="444" customFormat="1" ht="15">
      <c r="P1046" s="447"/>
    </row>
    <row r="1047" spans="16:16" s="444" customFormat="1" ht="15">
      <c r="P1047" s="447"/>
    </row>
    <row r="1048" spans="16:16" s="444" customFormat="1" ht="15">
      <c r="P1048" s="447"/>
    </row>
    <row r="1049" spans="16:16" s="444" customFormat="1" ht="15">
      <c r="P1049" s="447"/>
    </row>
    <row r="1050" spans="16:16" s="444" customFormat="1" ht="15">
      <c r="P1050" s="447"/>
    </row>
    <row r="1051" spans="16:16" s="444" customFormat="1" ht="15">
      <c r="P1051" s="447"/>
    </row>
    <row r="1052" spans="16:16" s="444" customFormat="1" ht="15">
      <c r="P1052" s="447"/>
    </row>
    <row r="1053" spans="16:16" s="444" customFormat="1" ht="15">
      <c r="P1053" s="447"/>
    </row>
    <row r="1054" spans="16:16" s="444" customFormat="1" ht="15">
      <c r="P1054" s="447"/>
    </row>
    <row r="1055" spans="16:16" s="444" customFormat="1" ht="15">
      <c r="P1055" s="447"/>
    </row>
    <row r="1056" spans="16:16" s="444" customFormat="1" ht="15">
      <c r="P1056" s="447"/>
    </row>
    <row r="1057" spans="16:16" s="444" customFormat="1" ht="15">
      <c r="P1057" s="447"/>
    </row>
    <row r="1058" spans="16:16" s="444" customFormat="1" ht="15">
      <c r="P1058" s="447"/>
    </row>
    <row r="1059" spans="16:16" s="444" customFormat="1" ht="15">
      <c r="P1059" s="447"/>
    </row>
    <row r="1060" spans="16:16" s="444" customFormat="1" ht="15">
      <c r="P1060" s="447"/>
    </row>
    <row r="1061" spans="16:16" s="444" customFormat="1" ht="15">
      <c r="P1061" s="447"/>
    </row>
    <row r="1062" spans="16:16" s="444" customFormat="1" ht="15">
      <c r="P1062" s="447"/>
    </row>
    <row r="1063" spans="16:16" s="444" customFormat="1" ht="15">
      <c r="P1063" s="447"/>
    </row>
    <row r="1064" spans="16:16" s="444" customFormat="1" ht="15">
      <c r="P1064" s="447"/>
    </row>
    <row r="1065" spans="16:16" s="444" customFormat="1" ht="15">
      <c r="P1065" s="447"/>
    </row>
    <row r="1066" spans="16:16" s="444" customFormat="1" ht="15">
      <c r="P1066" s="447"/>
    </row>
    <row r="1067" spans="16:16" s="444" customFormat="1" ht="15">
      <c r="P1067" s="447"/>
    </row>
    <row r="1068" spans="16:16" s="444" customFormat="1" ht="15">
      <c r="P1068" s="447"/>
    </row>
    <row r="1069" spans="16:16" s="444" customFormat="1" ht="15">
      <c r="P1069" s="447"/>
    </row>
    <row r="1070" spans="16:16" s="444" customFormat="1" ht="15">
      <c r="P1070" s="447"/>
    </row>
    <row r="1071" spans="16:16" s="444" customFormat="1" ht="15">
      <c r="P1071" s="447"/>
    </row>
    <row r="1072" spans="16:16" s="444" customFormat="1" ht="15">
      <c r="P1072" s="447"/>
    </row>
    <row r="1073" spans="16:16" s="444" customFormat="1" ht="15">
      <c r="P1073" s="447"/>
    </row>
    <row r="1074" spans="16:16" s="444" customFormat="1" ht="15">
      <c r="P1074" s="447"/>
    </row>
    <row r="1075" spans="16:16" s="444" customFormat="1" ht="15">
      <c r="P1075" s="447"/>
    </row>
    <row r="1076" spans="16:16" s="444" customFormat="1" ht="15">
      <c r="P1076" s="447"/>
    </row>
    <row r="1077" spans="16:16" s="444" customFormat="1" ht="15">
      <c r="P1077" s="447"/>
    </row>
    <row r="1078" spans="16:16" s="444" customFormat="1" ht="15">
      <c r="P1078" s="447"/>
    </row>
    <row r="1079" spans="16:16" s="444" customFormat="1" ht="15">
      <c r="P1079" s="447"/>
    </row>
    <row r="1080" spans="16:16" s="444" customFormat="1" ht="15">
      <c r="P1080" s="447"/>
    </row>
    <row r="1081" spans="16:16" s="444" customFormat="1" ht="15">
      <c r="P1081" s="447"/>
    </row>
    <row r="1082" spans="16:16" s="444" customFormat="1" ht="15">
      <c r="P1082" s="447"/>
    </row>
    <row r="1083" spans="16:16" s="444" customFormat="1" ht="15">
      <c r="P1083" s="447"/>
    </row>
    <row r="1084" spans="16:16" s="444" customFormat="1" ht="15">
      <c r="P1084" s="447"/>
    </row>
    <row r="1085" spans="16:16" s="444" customFormat="1" ht="15">
      <c r="P1085" s="447"/>
    </row>
    <row r="1086" spans="16:16" s="444" customFormat="1" ht="15">
      <c r="P1086" s="447"/>
    </row>
    <row r="1087" spans="16:16" s="444" customFormat="1" ht="15">
      <c r="P1087" s="447"/>
    </row>
    <row r="1088" spans="16:16" s="444" customFormat="1" ht="15">
      <c r="P1088" s="447"/>
    </row>
    <row r="1089" spans="16:16" s="444" customFormat="1" ht="15">
      <c r="P1089" s="447"/>
    </row>
    <row r="1090" spans="16:16" s="444" customFormat="1" ht="15">
      <c r="P1090" s="447"/>
    </row>
    <row r="1091" spans="16:16" s="444" customFormat="1" ht="15">
      <c r="P1091" s="447"/>
    </row>
    <row r="1092" spans="16:16" s="444" customFormat="1" ht="15">
      <c r="P1092" s="447"/>
    </row>
    <row r="1093" spans="16:16" s="444" customFormat="1" ht="15">
      <c r="P1093" s="447"/>
    </row>
    <row r="1094" spans="16:16" s="444" customFormat="1" ht="15">
      <c r="P1094" s="447"/>
    </row>
    <row r="1095" spans="16:16" s="444" customFormat="1" ht="15">
      <c r="P1095" s="447"/>
    </row>
    <row r="1096" spans="16:16" s="444" customFormat="1" ht="15">
      <c r="P1096" s="447"/>
    </row>
    <row r="1097" spans="16:16" s="444" customFormat="1" ht="15">
      <c r="P1097" s="447"/>
    </row>
    <row r="1098" spans="16:16" s="444" customFormat="1" ht="15">
      <c r="P1098" s="447"/>
    </row>
    <row r="1099" spans="16:16" s="444" customFormat="1" ht="15">
      <c r="P1099" s="447"/>
    </row>
    <row r="1100" spans="16:16" s="444" customFormat="1" ht="15">
      <c r="P1100" s="447"/>
    </row>
    <row r="1101" spans="16:16" s="444" customFormat="1" ht="15">
      <c r="P1101" s="447"/>
    </row>
    <row r="1102" spans="16:16" s="444" customFormat="1" ht="15">
      <c r="P1102" s="447"/>
    </row>
    <row r="1103" spans="16:16" s="444" customFormat="1" ht="15">
      <c r="P1103" s="447"/>
    </row>
    <row r="1104" spans="16:16" s="444" customFormat="1" ht="15">
      <c r="P1104" s="447"/>
    </row>
    <row r="1105" spans="16:16" s="444" customFormat="1" ht="15">
      <c r="P1105" s="447"/>
    </row>
    <row r="1106" spans="16:16" s="444" customFormat="1" ht="15">
      <c r="P1106" s="447"/>
    </row>
    <row r="1107" spans="16:16" s="444" customFormat="1" ht="15">
      <c r="P1107" s="447"/>
    </row>
    <row r="1108" spans="16:16" s="444" customFormat="1" ht="15">
      <c r="P1108" s="447"/>
    </row>
    <row r="1109" spans="16:16" s="444" customFormat="1" ht="15">
      <c r="P1109" s="447"/>
    </row>
    <row r="1110" spans="16:16" s="444" customFormat="1" ht="15">
      <c r="P1110" s="447"/>
    </row>
    <row r="1111" spans="16:16" s="444" customFormat="1" ht="15">
      <c r="P1111" s="447"/>
    </row>
    <row r="1112" spans="16:16" s="444" customFormat="1" ht="15">
      <c r="P1112" s="447"/>
    </row>
    <row r="1113" spans="16:16" s="444" customFormat="1" ht="15">
      <c r="P1113" s="447"/>
    </row>
    <row r="1114" spans="16:16" s="444" customFormat="1" ht="15">
      <c r="P1114" s="447"/>
    </row>
    <row r="1115" spans="16:16" s="444" customFormat="1" ht="15">
      <c r="P1115" s="447"/>
    </row>
    <row r="1116" spans="16:16" s="444" customFormat="1" ht="15">
      <c r="P1116" s="447"/>
    </row>
    <row r="1117" spans="16:16" s="444" customFormat="1" ht="15">
      <c r="P1117" s="447"/>
    </row>
    <row r="1118" spans="16:16" s="444" customFormat="1" ht="15">
      <c r="P1118" s="447"/>
    </row>
    <row r="1119" spans="16:16" s="444" customFormat="1" ht="15">
      <c r="P1119" s="447"/>
    </row>
    <row r="1120" spans="16:16" s="444" customFormat="1" ht="15">
      <c r="P1120" s="447"/>
    </row>
    <row r="1121" spans="16:16" s="444" customFormat="1" ht="15">
      <c r="P1121" s="447"/>
    </row>
    <row r="1122" spans="16:16" s="444" customFormat="1" ht="15">
      <c r="P1122" s="447"/>
    </row>
    <row r="1123" spans="16:16" s="444" customFormat="1" ht="15">
      <c r="P1123" s="447"/>
    </row>
    <row r="1124" spans="16:16" s="444" customFormat="1" ht="15">
      <c r="P1124" s="447"/>
    </row>
    <row r="1125" spans="16:16" s="444" customFormat="1" ht="15">
      <c r="P1125" s="447"/>
    </row>
    <row r="1126" spans="16:16" s="444" customFormat="1" ht="15">
      <c r="P1126" s="447"/>
    </row>
    <row r="1127" spans="16:16" s="444" customFormat="1" ht="15">
      <c r="P1127" s="447"/>
    </row>
    <row r="1128" spans="16:16" s="444" customFormat="1" ht="15">
      <c r="P1128" s="447"/>
    </row>
    <row r="1129" spans="16:16" s="444" customFormat="1" ht="15">
      <c r="P1129" s="447"/>
    </row>
    <row r="1130" spans="16:16" s="444" customFormat="1" ht="15">
      <c r="P1130" s="447"/>
    </row>
    <row r="1131" spans="16:16" s="444" customFormat="1" ht="15">
      <c r="P1131" s="447"/>
    </row>
    <row r="1132" spans="16:16" s="444" customFormat="1" ht="15">
      <c r="P1132" s="447"/>
    </row>
    <row r="1133" spans="16:16" s="444" customFormat="1" ht="15">
      <c r="P1133" s="447"/>
    </row>
    <row r="1134" spans="16:16" s="444" customFormat="1" ht="15">
      <c r="P1134" s="447"/>
    </row>
    <row r="1135" spans="16:16" s="444" customFormat="1" ht="15">
      <c r="P1135" s="447"/>
    </row>
    <row r="1136" spans="16:16" s="444" customFormat="1" ht="15">
      <c r="P1136" s="447"/>
    </row>
    <row r="1137" spans="16:20" s="444" customFormat="1" ht="15">
      <c r="P1137" s="447"/>
    </row>
    <row r="1138" spans="16:20" s="444" customFormat="1" ht="15">
      <c r="P1138" s="447"/>
    </row>
    <row r="1139" spans="16:20" s="444" customFormat="1" ht="15">
      <c r="P1139" s="447"/>
    </row>
    <row r="1140" spans="16:20" s="444" customFormat="1" ht="15">
      <c r="P1140" s="447"/>
    </row>
    <row r="1141" spans="16:20" s="444" customFormat="1" ht="15">
      <c r="P1141" s="447"/>
    </row>
    <row r="1142" spans="16:20" s="444" customFormat="1" ht="15">
      <c r="P1142" s="447"/>
    </row>
    <row r="1143" spans="16:20" s="444" customFormat="1" ht="15">
      <c r="P1143" s="447"/>
    </row>
    <row r="1144" spans="16:20" s="444" customFormat="1" ht="15">
      <c r="P1144" s="447"/>
    </row>
    <row r="1145" spans="16:20" s="444" customFormat="1" ht="15">
      <c r="P1145" s="447"/>
    </row>
    <row r="1146" spans="16:20" s="444" customFormat="1" ht="15">
      <c r="P1146" s="447"/>
    </row>
    <row r="1147" spans="16:20" s="444" customFormat="1" ht="15">
      <c r="P1147" s="447"/>
    </row>
    <row r="1148" spans="16:20" s="444" customFormat="1" ht="15">
      <c r="P1148" s="447"/>
    </row>
    <row r="1149" spans="16:20" s="444" customFormat="1" ht="15">
      <c r="P1149" s="447"/>
    </row>
    <row r="1150" spans="16:20" s="444" customFormat="1" ht="15">
      <c r="P1150" s="447"/>
    </row>
    <row r="1151" spans="16:20">
      <c r="Q1151" s="444"/>
      <c r="R1151" s="444"/>
      <c r="S1151" s="444"/>
      <c r="T1151" s="444"/>
    </row>
    <row r="1152" spans="16:20">
      <c r="Q1152" s="444"/>
      <c r="R1152" s="444"/>
      <c r="S1152" s="444"/>
      <c r="T1152" s="444"/>
    </row>
    <row r="1153" spans="17:20">
      <c r="Q1153" s="444"/>
      <c r="R1153" s="444"/>
      <c r="S1153" s="444"/>
      <c r="T1153" s="444"/>
    </row>
    <row r="1154" spans="17:20">
      <c r="Q1154" s="444"/>
      <c r="R1154" s="444"/>
      <c r="S1154" s="444"/>
      <c r="T1154" s="444"/>
    </row>
    <row r="1155" spans="17:20">
      <c r="Q1155" s="444"/>
      <c r="R1155" s="444"/>
      <c r="S1155" s="444"/>
      <c r="T1155" s="444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>
    <tabColor rgb="FF002060"/>
  </sheetPr>
  <dimension ref="A1:T1150"/>
  <sheetViews>
    <sheetView workbookViewId="0">
      <selection activeCell="C6" sqref="C6"/>
    </sheetView>
  </sheetViews>
  <sheetFormatPr defaultRowHeight="12.75"/>
  <cols>
    <col min="1" max="4" width="9.140625" style="443"/>
    <col min="5" max="6" width="5.140625" style="458" customWidth="1"/>
    <col min="7" max="7" width="6" style="458" customWidth="1"/>
    <col min="8" max="14" width="5.140625" style="458" customWidth="1"/>
    <col min="15" max="15" width="9.140625" style="443"/>
    <col min="16" max="16" width="9.140625" style="497"/>
    <col min="17" max="20" width="9.140625" style="473"/>
    <col min="21" max="16384" width="9.140625" style="497"/>
  </cols>
  <sheetData>
    <row r="1" spans="1:20" s="443" customFormat="1" ht="23.25">
      <c r="A1" s="495" t="s">
        <v>522</v>
      </c>
      <c r="E1" s="458"/>
      <c r="F1" s="458"/>
      <c r="G1" s="458"/>
      <c r="H1" s="458"/>
      <c r="I1" s="458"/>
      <c r="J1" s="458"/>
      <c r="K1" s="458"/>
      <c r="L1" s="458"/>
      <c r="M1" s="458"/>
      <c r="N1" s="458"/>
      <c r="Q1" s="496" t="s">
        <v>417</v>
      </c>
      <c r="R1" s="496" t="s">
        <v>524</v>
      </c>
      <c r="S1" s="496" t="s">
        <v>525</v>
      </c>
      <c r="T1" s="496" t="s">
        <v>526</v>
      </c>
    </row>
    <row r="2" spans="1:20" ht="15">
      <c r="B2" s="445" t="s">
        <v>421</v>
      </c>
      <c r="C2" s="445"/>
      <c r="D2" s="445"/>
      <c r="F2" s="446" t="s">
        <v>422</v>
      </c>
      <c r="G2" s="446" t="s">
        <v>423</v>
      </c>
      <c r="P2" s="447"/>
      <c r="Q2" s="447" t="s">
        <v>456</v>
      </c>
      <c r="R2" s="447" t="s">
        <v>457</v>
      </c>
      <c r="S2" s="447" t="s">
        <v>425</v>
      </c>
      <c r="T2" s="447" t="s">
        <v>460</v>
      </c>
    </row>
    <row r="3" spans="1:20" ht="15">
      <c r="B3" s="443" t="s">
        <v>426</v>
      </c>
      <c r="C3" s="448">
        <v>3.5008273438823068</v>
      </c>
      <c r="D3" s="449" t="s">
        <v>427</v>
      </c>
      <c r="F3" s="446">
        <f>MIN(XX_value)</f>
        <v>3</v>
      </c>
      <c r="G3" s="446">
        <f>MAX(XX_value)</f>
        <v>100</v>
      </c>
      <c r="P3" s="447"/>
      <c r="Q3" s="450">
        <v>3</v>
      </c>
      <c r="R3" s="450">
        <v>0.4</v>
      </c>
      <c r="S3" s="450">
        <v>0</v>
      </c>
      <c r="T3" s="450">
        <v>0.81</v>
      </c>
    </row>
    <row r="4" spans="1:20" ht="15">
      <c r="B4" s="443" t="s">
        <v>430</v>
      </c>
      <c r="C4" s="448">
        <v>1.0629800000000103</v>
      </c>
      <c r="D4" s="449" t="s">
        <v>427</v>
      </c>
      <c r="F4" s="446">
        <f>MIN(YY_value)</f>
        <v>0.4</v>
      </c>
      <c r="G4" s="446">
        <f>MAX(YY_value)</f>
        <v>100</v>
      </c>
      <c r="P4" s="447"/>
      <c r="Q4" s="450">
        <v>3</v>
      </c>
      <c r="R4" s="450">
        <v>0.4</v>
      </c>
      <c r="S4" s="450">
        <v>300</v>
      </c>
      <c r="T4" s="450">
        <v>0.81</v>
      </c>
    </row>
    <row r="5" spans="1:20" ht="15">
      <c r="B5" s="443" t="s">
        <v>390</v>
      </c>
      <c r="C5" s="448">
        <v>541.56762934883636</v>
      </c>
      <c r="D5" s="449" t="s">
        <v>427</v>
      </c>
      <c r="F5" s="446">
        <f>MIN(ZZ_value)</f>
        <v>0</v>
      </c>
      <c r="G5" s="446">
        <f>MAX(ZZ_value)</f>
        <v>10000</v>
      </c>
      <c r="P5" s="447"/>
      <c r="Q5" s="450">
        <v>3</v>
      </c>
      <c r="R5" s="450">
        <v>0.4</v>
      </c>
      <c r="S5" s="450">
        <v>300.01</v>
      </c>
      <c r="T5" s="450">
        <v>1</v>
      </c>
    </row>
    <row r="6" spans="1:20" ht="15">
      <c r="G6" s="446"/>
      <c r="P6" s="447"/>
      <c r="Q6" s="450">
        <v>3</v>
      </c>
      <c r="R6" s="450">
        <v>0.4</v>
      </c>
      <c r="S6" s="450">
        <v>600</v>
      </c>
      <c r="T6" s="450">
        <v>1</v>
      </c>
    </row>
    <row r="7" spans="1:20" ht="15">
      <c r="B7" s="445" t="s">
        <v>424</v>
      </c>
      <c r="C7" s="445"/>
      <c r="D7" s="445"/>
      <c r="P7" s="447"/>
      <c r="Q7" s="450">
        <v>3</v>
      </c>
      <c r="R7" s="450">
        <v>0.4</v>
      </c>
      <c r="S7" s="450">
        <v>600.01</v>
      </c>
      <c r="T7" s="450">
        <v>1</v>
      </c>
    </row>
    <row r="8" spans="1:20" ht="15">
      <c r="B8" s="443" t="s">
        <v>461</v>
      </c>
      <c r="C8" s="468">
        <f>SUMPRODUCT(D37:D44,D46:D53)</f>
        <v>0.9999999999999859</v>
      </c>
      <c r="D8" s="449" t="s">
        <v>427</v>
      </c>
      <c r="P8" s="447"/>
      <c r="Q8" s="450">
        <v>3</v>
      </c>
      <c r="R8" s="450">
        <v>0.4</v>
      </c>
      <c r="S8" s="450">
        <v>10000</v>
      </c>
      <c r="T8" s="450">
        <v>1</v>
      </c>
    </row>
    <row r="9" spans="1:20" ht="15">
      <c r="P9" s="447"/>
      <c r="Q9" s="450">
        <v>3</v>
      </c>
      <c r="R9" s="450">
        <v>0.8</v>
      </c>
      <c r="S9" s="450">
        <v>0</v>
      </c>
      <c r="T9" s="450">
        <v>0.79</v>
      </c>
    </row>
    <row r="10" spans="1:20" ht="15">
      <c r="B10" s="445" t="s">
        <v>431</v>
      </c>
      <c r="C10" s="445"/>
      <c r="D10" s="445"/>
      <c r="F10" s="446"/>
      <c r="P10" s="447"/>
      <c r="Q10" s="450">
        <v>3</v>
      </c>
      <c r="R10" s="450">
        <v>0.8</v>
      </c>
      <c r="S10" s="450">
        <v>300</v>
      </c>
      <c r="T10" s="450">
        <v>0.79</v>
      </c>
    </row>
    <row r="11" spans="1:20" ht="15">
      <c r="B11" s="443" t="s">
        <v>433</v>
      </c>
      <c r="C11" s="450">
        <f>INDEX(XX_value,MATCH(XX,XX_value,1))</f>
        <v>3.5</v>
      </c>
      <c r="D11" s="449" t="s">
        <v>427</v>
      </c>
      <c r="F11" s="446"/>
      <c r="P11" s="447"/>
      <c r="Q11" s="450">
        <v>3</v>
      </c>
      <c r="R11" s="450">
        <v>0.8</v>
      </c>
      <c r="S11" s="450">
        <v>300.01</v>
      </c>
      <c r="T11" s="450">
        <v>1</v>
      </c>
    </row>
    <row r="12" spans="1:20" ht="15">
      <c r="B12" s="443" t="s">
        <v>434</v>
      </c>
      <c r="C12" s="450">
        <f>INDEX(XX_value,MATCH(XX,XX_value,1)+1)</f>
        <v>4.49</v>
      </c>
      <c r="D12" s="449" t="s">
        <v>427</v>
      </c>
      <c r="F12" s="446"/>
      <c r="P12" s="447"/>
      <c r="Q12" s="450">
        <v>3</v>
      </c>
      <c r="R12" s="450">
        <v>0.8</v>
      </c>
      <c r="S12" s="450">
        <v>600</v>
      </c>
      <c r="T12" s="450">
        <v>1</v>
      </c>
    </row>
    <row r="13" spans="1:20" ht="15">
      <c r="B13" s="443" t="s">
        <v>435</v>
      </c>
      <c r="C13" s="450">
        <f>INDEX(YY_value,MATCH(YY,YY_value,1))</f>
        <v>0.8</v>
      </c>
      <c r="D13" s="449" t="s">
        <v>427</v>
      </c>
      <c r="F13" s="446"/>
      <c r="P13" s="447"/>
      <c r="Q13" s="450">
        <v>3</v>
      </c>
      <c r="R13" s="450">
        <v>0.8</v>
      </c>
      <c r="S13" s="450">
        <v>600.01</v>
      </c>
      <c r="T13" s="450">
        <v>1</v>
      </c>
    </row>
    <row r="14" spans="1:20" ht="15">
      <c r="B14" s="443" t="s">
        <v>436</v>
      </c>
      <c r="C14" s="450">
        <f>INDEX(YY_value,MATCH(YY,YY_value,1)+1)</f>
        <v>1.2</v>
      </c>
      <c r="D14" s="449" t="s">
        <v>427</v>
      </c>
      <c r="F14" s="446"/>
      <c r="P14" s="447"/>
      <c r="Q14" s="450">
        <v>3</v>
      </c>
      <c r="R14" s="450">
        <v>0.8</v>
      </c>
      <c r="S14" s="450">
        <v>10000</v>
      </c>
      <c r="T14" s="450">
        <v>1</v>
      </c>
    </row>
    <row r="15" spans="1:20" ht="15">
      <c r="B15" s="443" t="s">
        <v>462</v>
      </c>
      <c r="C15" s="450">
        <f>INDEX(ZZ_value,MATCH(ZZ,ZZ_value,1))</f>
        <v>300.01</v>
      </c>
      <c r="D15" s="449" t="s">
        <v>427</v>
      </c>
      <c r="P15" s="447"/>
      <c r="Q15" s="450">
        <v>3</v>
      </c>
      <c r="R15" s="450">
        <v>1.2</v>
      </c>
      <c r="S15" s="450">
        <v>0</v>
      </c>
      <c r="T15" s="450">
        <v>0.77</v>
      </c>
    </row>
    <row r="16" spans="1:20" ht="15">
      <c r="B16" s="443" t="s">
        <v>463</v>
      </c>
      <c r="C16" s="450">
        <f>INDEX(ZZ_value,MATCH(ZZ,ZZ_value,1)+1)</f>
        <v>600</v>
      </c>
      <c r="D16" s="449" t="s">
        <v>427</v>
      </c>
      <c r="F16" s="446" t="s">
        <v>432</v>
      </c>
      <c r="P16" s="447"/>
      <c r="Q16" s="450">
        <v>3</v>
      </c>
      <c r="R16" s="450">
        <v>1.2</v>
      </c>
      <c r="S16" s="450">
        <v>300</v>
      </c>
      <c r="T16" s="450">
        <v>0.77</v>
      </c>
    </row>
    <row r="17" spans="2:20" s="497" customFormat="1" ht="15">
      <c r="B17" s="443" t="s">
        <v>464</v>
      </c>
      <c r="C17" s="469">
        <f t="shared" ref="C17" si="0">INDEX(TT_value,F17,0)</f>
        <v>1</v>
      </c>
      <c r="D17" s="449" t="s">
        <v>427</v>
      </c>
      <c r="E17" s="458"/>
      <c r="F17" s="446">
        <f t="array" ref="F17">MATCH(1,(XX_value=xx_1)*(YY_value=yy_1)*(ZZ_value=zz_1),0)</f>
        <v>119</v>
      </c>
      <c r="G17" s="458"/>
      <c r="H17" s="458"/>
      <c r="I17" s="458"/>
      <c r="J17" s="458"/>
      <c r="K17" s="458"/>
      <c r="L17" s="458"/>
      <c r="M17" s="458"/>
      <c r="N17" s="458"/>
      <c r="O17" s="443"/>
      <c r="P17" s="447"/>
      <c r="Q17" s="450">
        <v>3</v>
      </c>
      <c r="R17" s="450">
        <v>1.2</v>
      </c>
      <c r="S17" s="450">
        <v>300.01</v>
      </c>
      <c r="T17" s="450">
        <v>1</v>
      </c>
    </row>
    <row r="18" spans="2:20" s="497" customFormat="1" ht="15">
      <c r="B18" s="443" t="s">
        <v>465</v>
      </c>
      <c r="C18" s="469">
        <f t="shared" ref="C18" si="1">INDEX(TT_value,F18,0)</f>
        <v>1</v>
      </c>
      <c r="D18" s="449" t="s">
        <v>427</v>
      </c>
      <c r="E18" s="458"/>
      <c r="F18" s="446">
        <f t="array" ref="F18">MATCH(1,(XX_value=xx_2)*(YY_value=yy_1)*(ZZ_value=zz_1),0)</f>
        <v>173</v>
      </c>
      <c r="G18" s="458"/>
      <c r="H18" s="458"/>
      <c r="I18" s="458"/>
      <c r="J18" s="458"/>
      <c r="K18" s="458"/>
      <c r="L18" s="458"/>
      <c r="M18" s="458"/>
      <c r="N18" s="458"/>
      <c r="O18" s="443"/>
      <c r="P18" s="447"/>
      <c r="Q18" s="450">
        <v>3</v>
      </c>
      <c r="R18" s="450">
        <v>1.2</v>
      </c>
      <c r="S18" s="450">
        <v>600</v>
      </c>
      <c r="T18" s="450">
        <v>1</v>
      </c>
    </row>
    <row r="19" spans="2:20" s="497" customFormat="1" ht="15">
      <c r="B19" s="443" t="s">
        <v>466</v>
      </c>
      <c r="C19" s="469">
        <f t="shared" ref="C19" si="2">INDEX(TT_value,F19,0)</f>
        <v>1</v>
      </c>
      <c r="D19" s="449" t="s">
        <v>427</v>
      </c>
      <c r="E19" s="458"/>
      <c r="F19" s="446">
        <f t="array" ref="F19">MATCH(1,(XX_value=xx_1)*(YY_value=yy_2)*(ZZ_value=zz_1),0)</f>
        <v>125</v>
      </c>
      <c r="G19" s="458"/>
      <c r="H19" s="458"/>
      <c r="I19" s="458"/>
      <c r="J19" s="458"/>
      <c r="K19" s="458"/>
      <c r="L19" s="458"/>
      <c r="M19" s="458"/>
      <c r="N19" s="458"/>
      <c r="O19" s="443"/>
      <c r="P19" s="447"/>
      <c r="Q19" s="450">
        <v>3</v>
      </c>
      <c r="R19" s="450">
        <v>1.2</v>
      </c>
      <c r="S19" s="450">
        <v>600.01</v>
      </c>
      <c r="T19" s="450">
        <v>1</v>
      </c>
    </row>
    <row r="20" spans="2:20" s="497" customFormat="1" ht="15">
      <c r="B20" s="443" t="s">
        <v>467</v>
      </c>
      <c r="C20" s="469">
        <f t="shared" ref="C20" si="3">INDEX(TT_value,F20,0)</f>
        <v>1</v>
      </c>
      <c r="D20" s="449" t="s">
        <v>427</v>
      </c>
      <c r="E20" s="458"/>
      <c r="F20" s="446">
        <f t="array" ref="F20">MATCH(1,(XX_value=xx_2)*(YY_value=yy_2)*(ZZ_value=zz_1),0)</f>
        <v>179</v>
      </c>
      <c r="G20" s="458"/>
      <c r="H20" s="458"/>
      <c r="I20" s="458"/>
      <c r="J20" s="458"/>
      <c r="K20" s="458"/>
      <c r="L20" s="458"/>
      <c r="M20" s="458"/>
      <c r="N20" s="458"/>
      <c r="O20" s="443"/>
      <c r="P20" s="447"/>
      <c r="Q20" s="450">
        <v>3</v>
      </c>
      <c r="R20" s="450">
        <v>1.2</v>
      </c>
      <c r="S20" s="450">
        <v>10000</v>
      </c>
      <c r="T20" s="450">
        <v>1</v>
      </c>
    </row>
    <row r="21" spans="2:20" s="497" customFormat="1" ht="15">
      <c r="B21" s="443" t="s">
        <v>468</v>
      </c>
      <c r="C21" s="469">
        <f t="shared" ref="C21" si="4">INDEX(TT_value,F21,0)</f>
        <v>1</v>
      </c>
      <c r="D21" s="449" t="s">
        <v>427</v>
      </c>
      <c r="E21" s="458"/>
      <c r="F21" s="446">
        <f t="array" ref="F21">MATCH(1,(XX_value=xx_1)*(YY_value=yy_1)*(ZZ_value=zz_2),0)</f>
        <v>120</v>
      </c>
      <c r="G21" s="458"/>
      <c r="H21" s="458"/>
      <c r="I21" s="458"/>
      <c r="J21" s="458"/>
      <c r="K21" s="458"/>
      <c r="L21" s="458"/>
      <c r="M21" s="458"/>
      <c r="N21" s="458"/>
      <c r="O21" s="443"/>
      <c r="P21" s="447"/>
      <c r="Q21" s="450">
        <v>3</v>
      </c>
      <c r="R21" s="450">
        <v>1.6</v>
      </c>
      <c r="S21" s="450">
        <v>0</v>
      </c>
      <c r="T21" s="450">
        <v>0.76</v>
      </c>
    </row>
    <row r="22" spans="2:20" s="497" customFormat="1" ht="15">
      <c r="B22" s="443" t="s">
        <v>469</v>
      </c>
      <c r="C22" s="469">
        <f t="shared" ref="C22" si="5">INDEX(TT_value,F22,0)</f>
        <v>1</v>
      </c>
      <c r="D22" s="449" t="s">
        <v>427</v>
      </c>
      <c r="E22" s="458"/>
      <c r="F22" s="446">
        <f t="array" ref="F22">MATCH(1,(XX_value=xx_2)*(YY_value=yy_1)*(ZZ_value=zz_2),0)</f>
        <v>174</v>
      </c>
      <c r="G22" s="458"/>
      <c r="H22" s="458"/>
      <c r="I22" s="458"/>
      <c r="J22" s="458"/>
      <c r="K22" s="458"/>
      <c r="L22" s="458"/>
      <c r="M22" s="458"/>
      <c r="N22" s="458"/>
      <c r="O22" s="443"/>
      <c r="P22" s="447"/>
      <c r="Q22" s="450">
        <v>3</v>
      </c>
      <c r="R22" s="450">
        <v>1.6</v>
      </c>
      <c r="S22" s="450">
        <v>300</v>
      </c>
      <c r="T22" s="450">
        <v>0.76</v>
      </c>
    </row>
    <row r="23" spans="2:20" s="497" customFormat="1" ht="15">
      <c r="B23" s="443" t="s">
        <v>470</v>
      </c>
      <c r="C23" s="469">
        <f t="shared" ref="C23" si="6">INDEX(TT_value,F23,0)</f>
        <v>1</v>
      </c>
      <c r="D23" s="449" t="s">
        <v>427</v>
      </c>
      <c r="E23" s="458"/>
      <c r="F23" s="446">
        <f t="array" ref="F23">MATCH(1,(XX_value=xx_1)*(YY_value=yy_2)*(ZZ_value=zz_2),0)</f>
        <v>126</v>
      </c>
      <c r="G23" s="458"/>
      <c r="H23" s="458"/>
      <c r="I23" s="458"/>
      <c r="J23" s="458"/>
      <c r="K23" s="458"/>
      <c r="L23" s="458"/>
      <c r="M23" s="458"/>
      <c r="N23" s="458"/>
      <c r="O23" s="443"/>
      <c r="P23" s="447"/>
      <c r="Q23" s="450">
        <v>3</v>
      </c>
      <c r="R23" s="450">
        <v>1.6</v>
      </c>
      <c r="S23" s="450">
        <v>300.01</v>
      </c>
      <c r="T23" s="450">
        <v>1</v>
      </c>
    </row>
    <row r="24" spans="2:20" s="497" customFormat="1" ht="15">
      <c r="B24" s="443" t="s">
        <v>471</v>
      </c>
      <c r="C24" s="469">
        <f t="shared" ref="C24" si="7">INDEX(TT_value,F24,0)</f>
        <v>1</v>
      </c>
      <c r="D24" s="449" t="s">
        <v>427</v>
      </c>
      <c r="E24" s="458"/>
      <c r="F24" s="446">
        <f t="array" ref="F24">MATCH(1,(XX_value=xx_2)*(YY_value=yy_2)*(ZZ_value=zz_2),0)</f>
        <v>180</v>
      </c>
      <c r="G24" s="458"/>
      <c r="H24" s="458"/>
      <c r="I24" s="458"/>
      <c r="J24" s="458"/>
      <c r="K24" s="458"/>
      <c r="L24" s="458"/>
      <c r="M24" s="458"/>
      <c r="N24" s="458"/>
      <c r="O24" s="443"/>
      <c r="P24" s="447"/>
      <c r="Q24" s="450">
        <v>3</v>
      </c>
      <c r="R24" s="450">
        <v>1.6</v>
      </c>
      <c r="S24" s="450">
        <v>600</v>
      </c>
      <c r="T24" s="450">
        <v>1</v>
      </c>
    </row>
    <row r="25" spans="2:20" s="497" customFormat="1" ht="15">
      <c r="B25" s="443"/>
      <c r="C25" s="443"/>
      <c r="D25" s="449"/>
      <c r="E25" s="458"/>
      <c r="F25" s="458"/>
      <c r="G25" s="458"/>
      <c r="H25" s="458"/>
      <c r="I25" s="458"/>
      <c r="J25" s="458"/>
      <c r="K25" s="458"/>
      <c r="L25" s="458"/>
      <c r="M25" s="458"/>
      <c r="N25" s="458"/>
      <c r="O25" s="443"/>
      <c r="P25" s="447"/>
      <c r="Q25" s="450">
        <v>3</v>
      </c>
      <c r="R25" s="450">
        <v>1.6</v>
      </c>
      <c r="S25" s="450">
        <v>600.01</v>
      </c>
      <c r="T25" s="450">
        <v>1</v>
      </c>
    </row>
    <row r="26" spans="2:20" s="497" customFormat="1" ht="15">
      <c r="B26" s="445" t="s">
        <v>441</v>
      </c>
      <c r="C26" s="445"/>
      <c r="D26" s="445"/>
      <c r="E26" s="445"/>
      <c r="F26" s="445"/>
      <c r="G26" s="445"/>
      <c r="H26" s="445"/>
      <c r="I26" s="445"/>
      <c r="J26" s="445"/>
      <c r="K26" s="445"/>
      <c r="L26" s="445"/>
      <c r="M26" s="445"/>
      <c r="N26" s="445"/>
      <c r="O26" s="443"/>
      <c r="P26" s="447"/>
      <c r="Q26" s="450">
        <v>3</v>
      </c>
      <c r="R26" s="450">
        <v>1.6</v>
      </c>
      <c r="S26" s="450">
        <v>10000</v>
      </c>
      <c r="T26" s="450">
        <v>1</v>
      </c>
    </row>
    <row r="27" spans="2:20" s="497" customFormat="1" ht="15">
      <c r="B27" s="443"/>
      <c r="C27" s="443"/>
      <c r="D27" s="443"/>
      <c r="E27" s="458"/>
      <c r="F27" s="458"/>
      <c r="G27" s="458"/>
      <c r="H27" s="458"/>
      <c r="I27" s="458"/>
      <c r="J27" s="458"/>
      <c r="K27" s="458"/>
      <c r="L27" s="458"/>
      <c r="M27" s="458"/>
      <c r="N27" s="458"/>
      <c r="O27" s="443"/>
      <c r="P27" s="447"/>
      <c r="Q27" s="450">
        <v>3</v>
      </c>
      <c r="R27" s="450">
        <v>2.4</v>
      </c>
      <c r="S27" s="450">
        <v>0</v>
      </c>
      <c r="T27" s="450">
        <v>0.75</v>
      </c>
    </row>
    <row r="28" spans="2:20" s="497" customFormat="1" ht="15">
      <c r="B28" s="453" t="s">
        <v>442</v>
      </c>
      <c r="C28" s="443"/>
      <c r="D28" s="443"/>
      <c r="E28" s="453">
        <v>1</v>
      </c>
      <c r="F28" s="458">
        <f>xx_1</f>
        <v>3.5</v>
      </c>
      <c r="G28" s="458">
        <f>yy_1</f>
        <v>0.8</v>
      </c>
      <c r="H28" s="458">
        <f>zz_1</f>
        <v>300.01</v>
      </c>
      <c r="I28" s="458">
        <f>F28*G28</f>
        <v>2.8000000000000003</v>
      </c>
      <c r="J28" s="458">
        <f>F28*H28</f>
        <v>1050.0349999999999</v>
      </c>
      <c r="K28" s="458">
        <f>G28*H28</f>
        <v>240.00800000000001</v>
      </c>
      <c r="L28" s="470">
        <f>F28*G28*H28</f>
        <v>840.02800000000002</v>
      </c>
      <c r="M28" s="471" t="s">
        <v>443</v>
      </c>
      <c r="N28" s="472">
        <f t="shared" ref="N28" si="8">f_111</f>
        <v>1</v>
      </c>
      <c r="O28" s="443"/>
      <c r="P28" s="447"/>
      <c r="Q28" s="450">
        <v>3</v>
      </c>
      <c r="R28" s="450">
        <v>2.4</v>
      </c>
      <c r="S28" s="450">
        <v>300</v>
      </c>
      <c r="T28" s="450">
        <v>0.75</v>
      </c>
    </row>
    <row r="29" spans="2:20" s="497" customFormat="1" ht="15">
      <c r="B29" s="453" t="s">
        <v>444</v>
      </c>
      <c r="C29" s="443"/>
      <c r="D29" s="443"/>
      <c r="E29" s="453">
        <v>1</v>
      </c>
      <c r="F29" s="458">
        <f>xx_2</f>
        <v>4.49</v>
      </c>
      <c r="G29" s="458">
        <f>yy_1</f>
        <v>0.8</v>
      </c>
      <c r="H29" s="458">
        <f>zz_1</f>
        <v>300.01</v>
      </c>
      <c r="I29" s="458">
        <f t="shared" ref="I29:I35" si="9">F29*G29</f>
        <v>3.5920000000000005</v>
      </c>
      <c r="J29" s="458">
        <f t="shared" ref="J29:J35" si="10">F29*H29</f>
        <v>1347.0449000000001</v>
      </c>
      <c r="K29" s="458">
        <f t="shared" ref="K29:K35" si="11">G29*H29</f>
        <v>240.00800000000001</v>
      </c>
      <c r="L29" s="470">
        <f t="shared" ref="L29:L35" si="12">F29*G29*H29</f>
        <v>1077.6359200000002</v>
      </c>
      <c r="M29" s="458"/>
      <c r="N29" s="472">
        <f>f_211</f>
        <v>1</v>
      </c>
      <c r="O29" s="443"/>
      <c r="P29" s="447"/>
      <c r="Q29" s="450">
        <v>3</v>
      </c>
      <c r="R29" s="450">
        <v>2.4</v>
      </c>
      <c r="S29" s="450">
        <v>300.01</v>
      </c>
      <c r="T29" s="450">
        <v>0.99</v>
      </c>
    </row>
    <row r="30" spans="2:20" s="497" customFormat="1" ht="15">
      <c r="B30" s="453" t="s">
        <v>445</v>
      </c>
      <c r="C30" s="443"/>
      <c r="D30" s="443"/>
      <c r="E30" s="453">
        <v>1</v>
      </c>
      <c r="F30" s="458">
        <f>xx_1</f>
        <v>3.5</v>
      </c>
      <c r="G30" s="458">
        <f>yy_2</f>
        <v>1.2</v>
      </c>
      <c r="H30" s="458">
        <f>zz_1</f>
        <v>300.01</v>
      </c>
      <c r="I30" s="458">
        <f t="shared" si="9"/>
        <v>4.2</v>
      </c>
      <c r="J30" s="458">
        <f t="shared" si="10"/>
        <v>1050.0349999999999</v>
      </c>
      <c r="K30" s="458">
        <f t="shared" si="11"/>
        <v>360.012</v>
      </c>
      <c r="L30" s="470">
        <f t="shared" si="12"/>
        <v>1260.0419999999999</v>
      </c>
      <c r="M30" s="458"/>
      <c r="N30" s="472">
        <f>f_121</f>
        <v>1</v>
      </c>
      <c r="O30" s="443"/>
      <c r="P30" s="447"/>
      <c r="Q30" s="450">
        <v>3</v>
      </c>
      <c r="R30" s="450">
        <v>2.4</v>
      </c>
      <c r="S30" s="450">
        <v>600</v>
      </c>
      <c r="T30" s="450">
        <v>0.99</v>
      </c>
    </row>
    <row r="31" spans="2:20" s="497" customFormat="1" ht="15">
      <c r="B31" s="453" t="s">
        <v>448</v>
      </c>
      <c r="C31" s="443" t="s">
        <v>446</v>
      </c>
      <c r="D31" s="443"/>
      <c r="E31" s="453">
        <v>1</v>
      </c>
      <c r="F31" s="458">
        <f>xx_2</f>
        <v>4.49</v>
      </c>
      <c r="G31" s="458">
        <f>yy_2</f>
        <v>1.2</v>
      </c>
      <c r="H31" s="458">
        <f>zz_1</f>
        <v>300.01</v>
      </c>
      <c r="I31" s="458">
        <f t="shared" si="9"/>
        <v>5.3879999999999999</v>
      </c>
      <c r="J31" s="458">
        <f t="shared" si="10"/>
        <v>1347.0449000000001</v>
      </c>
      <c r="K31" s="458">
        <f t="shared" si="11"/>
        <v>360.012</v>
      </c>
      <c r="L31" s="470">
        <f t="shared" si="12"/>
        <v>1616.45388</v>
      </c>
      <c r="M31" s="458" t="s">
        <v>447</v>
      </c>
      <c r="N31" s="472">
        <f>f_221</f>
        <v>1</v>
      </c>
      <c r="O31" s="443"/>
      <c r="P31" s="447"/>
      <c r="Q31" s="450">
        <v>3</v>
      </c>
      <c r="R31" s="450">
        <v>2.4</v>
      </c>
      <c r="S31" s="450">
        <v>600.01</v>
      </c>
      <c r="T31" s="450">
        <v>1</v>
      </c>
    </row>
    <row r="32" spans="2:20" s="497" customFormat="1" ht="15">
      <c r="B32" s="453" t="s">
        <v>472</v>
      </c>
      <c r="C32" s="443"/>
      <c r="D32" s="443"/>
      <c r="E32" s="453">
        <v>1</v>
      </c>
      <c r="F32" s="458">
        <f>xx_1</f>
        <v>3.5</v>
      </c>
      <c r="G32" s="458">
        <f>yy_1</f>
        <v>0.8</v>
      </c>
      <c r="H32" s="458">
        <f>zz_2</f>
        <v>600</v>
      </c>
      <c r="I32" s="458">
        <f t="shared" si="9"/>
        <v>2.8000000000000003</v>
      </c>
      <c r="J32" s="458">
        <f t="shared" si="10"/>
        <v>2100</v>
      </c>
      <c r="K32" s="458">
        <f t="shared" si="11"/>
        <v>480</v>
      </c>
      <c r="L32" s="470">
        <f t="shared" si="12"/>
        <v>1680.0000000000002</v>
      </c>
      <c r="M32" s="458"/>
      <c r="N32" s="472">
        <f>f_112</f>
        <v>1</v>
      </c>
      <c r="O32" s="443"/>
      <c r="P32" s="447"/>
      <c r="Q32" s="450">
        <v>3</v>
      </c>
      <c r="R32" s="450">
        <v>2.4</v>
      </c>
      <c r="S32" s="450">
        <v>10000</v>
      </c>
      <c r="T32" s="450">
        <v>1</v>
      </c>
    </row>
    <row r="33" spans="2:20" s="497" customFormat="1" ht="15">
      <c r="B33" s="453" t="s">
        <v>473</v>
      </c>
      <c r="C33" s="443"/>
      <c r="D33" s="443"/>
      <c r="E33" s="453">
        <v>1</v>
      </c>
      <c r="F33" s="458">
        <f>xx_2</f>
        <v>4.49</v>
      </c>
      <c r="G33" s="458">
        <f>yy_1</f>
        <v>0.8</v>
      </c>
      <c r="H33" s="458">
        <f>zz_2</f>
        <v>600</v>
      </c>
      <c r="I33" s="458">
        <f t="shared" si="9"/>
        <v>3.5920000000000005</v>
      </c>
      <c r="J33" s="458">
        <f t="shared" si="10"/>
        <v>2694</v>
      </c>
      <c r="K33" s="458">
        <f t="shared" si="11"/>
        <v>480</v>
      </c>
      <c r="L33" s="470">
        <f t="shared" si="12"/>
        <v>2155.2000000000003</v>
      </c>
      <c r="M33" s="458"/>
      <c r="N33" s="472">
        <f>f_212</f>
        <v>1</v>
      </c>
      <c r="O33" s="443"/>
      <c r="P33" s="447"/>
      <c r="Q33" s="450">
        <v>3</v>
      </c>
      <c r="R33" s="450">
        <v>3.2</v>
      </c>
      <c r="S33" s="450">
        <v>0</v>
      </c>
      <c r="T33" s="450">
        <v>0.75</v>
      </c>
    </row>
    <row r="34" spans="2:20" s="497" customFormat="1" ht="15">
      <c r="B34" s="453" t="s">
        <v>474</v>
      </c>
      <c r="C34" s="443"/>
      <c r="D34" s="443"/>
      <c r="E34" s="453">
        <v>1</v>
      </c>
      <c r="F34" s="458">
        <f>xx_1</f>
        <v>3.5</v>
      </c>
      <c r="G34" s="458">
        <f>yy_2</f>
        <v>1.2</v>
      </c>
      <c r="H34" s="458">
        <f>zz_2</f>
        <v>600</v>
      </c>
      <c r="I34" s="458">
        <f t="shared" si="9"/>
        <v>4.2</v>
      </c>
      <c r="J34" s="458">
        <f t="shared" si="10"/>
        <v>2100</v>
      </c>
      <c r="K34" s="458">
        <f t="shared" si="11"/>
        <v>720</v>
      </c>
      <c r="L34" s="470">
        <f t="shared" si="12"/>
        <v>2520</v>
      </c>
      <c r="M34" s="458"/>
      <c r="N34" s="472">
        <f>f_122</f>
        <v>1</v>
      </c>
      <c r="O34" s="443"/>
      <c r="P34" s="447"/>
      <c r="Q34" s="450">
        <v>3</v>
      </c>
      <c r="R34" s="450">
        <v>3.2</v>
      </c>
      <c r="S34" s="450">
        <v>300</v>
      </c>
      <c r="T34" s="450">
        <v>0.75</v>
      </c>
    </row>
    <row r="35" spans="2:20" s="497" customFormat="1" ht="15">
      <c r="B35" s="453" t="s">
        <v>475</v>
      </c>
      <c r="C35" s="443"/>
      <c r="D35" s="443"/>
      <c r="E35" s="453">
        <v>1</v>
      </c>
      <c r="F35" s="458">
        <f>xx_2</f>
        <v>4.49</v>
      </c>
      <c r="G35" s="458">
        <f>yy_2</f>
        <v>1.2</v>
      </c>
      <c r="H35" s="458">
        <f>zz_2</f>
        <v>600</v>
      </c>
      <c r="I35" s="458">
        <f t="shared" si="9"/>
        <v>5.3879999999999999</v>
      </c>
      <c r="J35" s="458">
        <f t="shared" si="10"/>
        <v>2694</v>
      </c>
      <c r="K35" s="458">
        <f t="shared" si="11"/>
        <v>720</v>
      </c>
      <c r="L35" s="470">
        <f t="shared" si="12"/>
        <v>3232.7999999999997</v>
      </c>
      <c r="M35" s="458"/>
      <c r="N35" s="472">
        <f>f_222</f>
        <v>1</v>
      </c>
      <c r="O35" s="443"/>
      <c r="P35" s="447"/>
      <c r="Q35" s="450">
        <v>3</v>
      </c>
      <c r="R35" s="450">
        <v>3.2</v>
      </c>
      <c r="S35" s="450">
        <v>300.01</v>
      </c>
      <c r="T35" s="450">
        <v>0.97</v>
      </c>
    </row>
    <row r="36" spans="2:20" s="497" customFormat="1" ht="15">
      <c r="B36" s="443"/>
      <c r="C36" s="443"/>
      <c r="D36" s="443"/>
      <c r="E36" s="458"/>
      <c r="F36" s="458"/>
      <c r="G36" s="458"/>
      <c r="H36" s="458"/>
      <c r="I36" s="458"/>
      <c r="J36" s="458"/>
      <c r="K36" s="458"/>
      <c r="L36" s="458"/>
      <c r="M36" s="458"/>
      <c r="N36" s="458"/>
      <c r="O36" s="443"/>
      <c r="P36" s="447"/>
      <c r="Q36" s="450">
        <v>3</v>
      </c>
      <c r="R36" s="450">
        <v>3.2</v>
      </c>
      <c r="S36" s="450">
        <v>600</v>
      </c>
      <c r="T36" s="450">
        <v>0.97</v>
      </c>
    </row>
    <row r="37" spans="2:20" s="497" customFormat="1" ht="15">
      <c r="B37" s="453" t="s">
        <v>442</v>
      </c>
      <c r="C37" s="443"/>
      <c r="D37" s="453">
        <f t="array" ref="D37:D44">MMULT(MINVERSE(E28:L35),N28:N35)</f>
        <v>0.99999999999998401</v>
      </c>
      <c r="E37" s="458"/>
      <c r="F37" s="458"/>
      <c r="G37" s="458"/>
      <c r="H37" s="458"/>
      <c r="I37" s="458"/>
      <c r="J37" s="458"/>
      <c r="K37" s="458"/>
      <c r="L37" s="458"/>
      <c r="M37" s="458"/>
      <c r="N37" s="458"/>
      <c r="O37" s="443"/>
      <c r="P37" s="447"/>
      <c r="Q37" s="450">
        <v>3</v>
      </c>
      <c r="R37" s="450">
        <v>3.2</v>
      </c>
      <c r="S37" s="450">
        <v>600.01</v>
      </c>
      <c r="T37" s="450">
        <v>1</v>
      </c>
    </row>
    <row r="38" spans="2:20" s="497" customFormat="1" ht="15">
      <c r="B38" s="453" t="s">
        <v>444</v>
      </c>
      <c r="C38" s="443"/>
      <c r="D38" s="453">
        <v>0</v>
      </c>
      <c r="E38" s="458"/>
      <c r="F38" s="458"/>
      <c r="G38" s="458"/>
      <c r="H38" s="458"/>
      <c r="I38" s="458"/>
      <c r="J38" s="458"/>
      <c r="K38" s="458"/>
      <c r="L38" s="458"/>
      <c r="M38" s="458"/>
      <c r="N38" s="458"/>
      <c r="O38" s="443"/>
      <c r="P38" s="447"/>
      <c r="Q38" s="450">
        <v>3</v>
      </c>
      <c r="R38" s="450">
        <v>3.2</v>
      </c>
      <c r="S38" s="450">
        <v>10000</v>
      </c>
      <c r="T38" s="450">
        <v>1</v>
      </c>
    </row>
    <row r="39" spans="2:20" s="497" customFormat="1" ht="15">
      <c r="B39" s="453" t="s">
        <v>445</v>
      </c>
      <c r="C39" s="443"/>
      <c r="D39" s="453">
        <v>0</v>
      </c>
      <c r="E39" s="458"/>
      <c r="F39" s="458"/>
      <c r="G39" s="458"/>
      <c r="H39" s="458"/>
      <c r="I39" s="458"/>
      <c r="J39" s="458"/>
      <c r="K39" s="458"/>
      <c r="L39" s="458"/>
      <c r="M39" s="458"/>
      <c r="N39" s="458"/>
      <c r="O39" s="443"/>
      <c r="P39" s="447"/>
      <c r="Q39" s="450">
        <v>3</v>
      </c>
      <c r="R39" s="450">
        <v>4.8</v>
      </c>
      <c r="S39" s="450">
        <v>0</v>
      </c>
      <c r="T39" s="450">
        <v>0.75</v>
      </c>
    </row>
    <row r="40" spans="2:20" s="497" customFormat="1" ht="15">
      <c r="B40" s="453" t="s">
        <v>448</v>
      </c>
      <c r="C40" s="443" t="s">
        <v>446</v>
      </c>
      <c r="D40" s="453">
        <v>3.4694469519536142E-18</v>
      </c>
      <c r="E40" s="458"/>
      <c r="F40" s="458"/>
      <c r="G40" s="458"/>
      <c r="H40" s="458"/>
      <c r="I40" s="458"/>
      <c r="J40" s="458"/>
      <c r="K40" s="458"/>
      <c r="L40" s="458"/>
      <c r="M40" s="458"/>
      <c r="N40" s="458"/>
      <c r="O40" s="443"/>
      <c r="P40" s="447"/>
      <c r="Q40" s="450">
        <v>3</v>
      </c>
      <c r="R40" s="450">
        <v>4.8</v>
      </c>
      <c r="S40" s="450">
        <v>300</v>
      </c>
      <c r="T40" s="450">
        <v>0.75</v>
      </c>
    </row>
    <row r="41" spans="2:20" s="497" customFormat="1" ht="15">
      <c r="B41" s="453" t="s">
        <v>472</v>
      </c>
      <c r="C41" s="443"/>
      <c r="D41" s="453">
        <v>0</v>
      </c>
      <c r="E41" s="458"/>
      <c r="F41" s="458"/>
      <c r="G41" s="458"/>
      <c r="H41" s="458"/>
      <c r="I41" s="458"/>
      <c r="J41" s="458"/>
      <c r="K41" s="458"/>
      <c r="L41" s="458"/>
      <c r="M41" s="458"/>
      <c r="N41" s="458"/>
      <c r="O41" s="443"/>
      <c r="P41" s="447"/>
      <c r="Q41" s="450">
        <v>3</v>
      </c>
      <c r="R41" s="450">
        <v>4.8</v>
      </c>
      <c r="S41" s="450">
        <v>300.01</v>
      </c>
      <c r="T41" s="450">
        <v>0.95</v>
      </c>
    </row>
    <row r="42" spans="2:20" s="497" customFormat="1" ht="15">
      <c r="B42" s="453" t="s">
        <v>473</v>
      </c>
      <c r="C42" s="443"/>
      <c r="D42" s="453">
        <v>0</v>
      </c>
      <c r="E42" s="458"/>
      <c r="F42" s="458"/>
      <c r="G42" s="458"/>
      <c r="H42" s="458"/>
      <c r="I42" s="458"/>
      <c r="J42" s="458"/>
      <c r="K42" s="458"/>
      <c r="L42" s="458"/>
      <c r="M42" s="458"/>
      <c r="N42" s="458"/>
      <c r="O42" s="443"/>
      <c r="P42" s="447"/>
      <c r="Q42" s="450">
        <v>3</v>
      </c>
      <c r="R42" s="450">
        <v>4.8</v>
      </c>
      <c r="S42" s="450">
        <v>600</v>
      </c>
      <c r="T42" s="450">
        <v>0.95</v>
      </c>
    </row>
    <row r="43" spans="2:20" s="497" customFormat="1" ht="15">
      <c r="B43" s="453" t="s">
        <v>474</v>
      </c>
      <c r="C43" s="443"/>
      <c r="D43" s="453">
        <v>0</v>
      </c>
      <c r="E43" s="458"/>
      <c r="F43" s="458"/>
      <c r="G43" s="458"/>
      <c r="H43" s="458"/>
      <c r="I43" s="458"/>
      <c r="J43" s="458"/>
      <c r="K43" s="458"/>
      <c r="L43" s="458"/>
      <c r="M43" s="458"/>
      <c r="N43" s="458"/>
      <c r="O43" s="443"/>
      <c r="P43" s="447"/>
      <c r="Q43" s="450">
        <v>3</v>
      </c>
      <c r="R43" s="450">
        <v>4.8</v>
      </c>
      <c r="S43" s="450">
        <v>600.01</v>
      </c>
      <c r="T43" s="450">
        <v>0.97</v>
      </c>
    </row>
    <row r="44" spans="2:20" s="497" customFormat="1" ht="15">
      <c r="B44" s="453" t="s">
        <v>475</v>
      </c>
      <c r="C44" s="443"/>
      <c r="D44" s="453">
        <v>0</v>
      </c>
      <c r="E44" s="458"/>
      <c r="F44" s="458"/>
      <c r="G44" s="458"/>
      <c r="H44" s="458"/>
      <c r="I44" s="458"/>
      <c r="J44" s="458"/>
      <c r="K44" s="458"/>
      <c r="L44" s="458"/>
      <c r="M44" s="458"/>
      <c r="N44" s="458"/>
      <c r="O44" s="443"/>
      <c r="P44" s="447"/>
      <c r="Q44" s="450">
        <v>3</v>
      </c>
      <c r="R44" s="450">
        <v>4.8</v>
      </c>
      <c r="S44" s="450">
        <v>10000</v>
      </c>
      <c r="T44" s="450">
        <v>0.97</v>
      </c>
    </row>
    <row r="45" spans="2:20" s="497" customFormat="1" ht="15">
      <c r="B45" s="443"/>
      <c r="C45" s="443"/>
      <c r="D45" s="443"/>
      <c r="E45" s="458"/>
      <c r="F45" s="458"/>
      <c r="G45" s="458"/>
      <c r="H45" s="458"/>
      <c r="I45" s="458"/>
      <c r="J45" s="458"/>
      <c r="K45" s="458"/>
      <c r="L45" s="458"/>
      <c r="M45" s="458"/>
      <c r="N45" s="458"/>
      <c r="O45" s="443"/>
      <c r="P45" s="447"/>
      <c r="Q45" s="450">
        <v>3</v>
      </c>
      <c r="R45" s="450">
        <v>6.4</v>
      </c>
      <c r="S45" s="450">
        <v>0</v>
      </c>
      <c r="T45" s="450">
        <v>0.75</v>
      </c>
    </row>
    <row r="46" spans="2:20" s="497" customFormat="1" ht="15">
      <c r="B46" s="453">
        <v>1</v>
      </c>
      <c r="C46" s="443"/>
      <c r="D46" s="453">
        <v>1</v>
      </c>
      <c r="E46" s="458"/>
      <c r="F46" s="458"/>
      <c r="G46" s="458"/>
      <c r="H46" s="458"/>
      <c r="I46" s="458"/>
      <c r="J46" s="458"/>
      <c r="K46" s="458"/>
      <c r="L46" s="458"/>
      <c r="M46" s="458"/>
      <c r="N46" s="458"/>
      <c r="O46" s="443"/>
      <c r="P46" s="447"/>
      <c r="Q46" s="450">
        <v>3</v>
      </c>
      <c r="R46" s="450">
        <v>6.4</v>
      </c>
      <c r="S46" s="450">
        <v>300</v>
      </c>
      <c r="T46" s="450">
        <v>0.75</v>
      </c>
    </row>
    <row r="47" spans="2:20" s="497" customFormat="1" ht="15">
      <c r="B47" s="453" t="s">
        <v>426</v>
      </c>
      <c r="C47" s="443"/>
      <c r="D47" s="453">
        <f>C3</f>
        <v>3.5008273438823068</v>
      </c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43"/>
      <c r="P47" s="447"/>
      <c r="Q47" s="450">
        <v>3</v>
      </c>
      <c r="R47" s="450">
        <v>6.4</v>
      </c>
      <c r="S47" s="450">
        <v>300.01</v>
      </c>
      <c r="T47" s="450">
        <v>0.94</v>
      </c>
    </row>
    <row r="48" spans="2:20" s="497" customFormat="1" ht="15">
      <c r="B48" s="453" t="s">
        <v>430</v>
      </c>
      <c r="C48" s="443"/>
      <c r="D48" s="453">
        <f>C4</f>
        <v>1.0629800000000103</v>
      </c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43"/>
      <c r="P48" s="447"/>
      <c r="Q48" s="450">
        <v>3</v>
      </c>
      <c r="R48" s="450">
        <v>6.4</v>
      </c>
      <c r="S48" s="450">
        <v>600</v>
      </c>
      <c r="T48" s="450">
        <v>0.94</v>
      </c>
    </row>
    <row r="49" spans="2:20" s="497" customFormat="1" ht="15">
      <c r="B49" s="453" t="s">
        <v>390</v>
      </c>
      <c r="C49" s="443" t="s">
        <v>446</v>
      </c>
      <c r="D49" s="453">
        <f>C5</f>
        <v>541.56762934883636</v>
      </c>
      <c r="E49" s="458"/>
      <c r="F49" s="458"/>
      <c r="G49" s="458"/>
      <c r="H49" s="458"/>
      <c r="I49" s="458"/>
      <c r="J49" s="458"/>
      <c r="K49" s="458"/>
      <c r="L49" s="458"/>
      <c r="M49" s="458"/>
      <c r="N49" s="458"/>
      <c r="O49" s="443"/>
      <c r="P49" s="447"/>
      <c r="Q49" s="450">
        <v>3</v>
      </c>
      <c r="R49" s="450">
        <v>6.4</v>
      </c>
      <c r="S49" s="450">
        <v>600.01</v>
      </c>
      <c r="T49" s="450">
        <v>0.95</v>
      </c>
    </row>
    <row r="50" spans="2:20" s="497" customFormat="1" ht="15">
      <c r="B50" s="453" t="s">
        <v>449</v>
      </c>
      <c r="C50" s="443"/>
      <c r="D50" s="453">
        <f>D47*D48</f>
        <v>3.7213094500000503</v>
      </c>
      <c r="E50" s="458"/>
      <c r="F50" s="458"/>
      <c r="G50" s="458"/>
      <c r="H50" s="458"/>
      <c r="I50" s="458"/>
      <c r="J50" s="458"/>
      <c r="K50" s="458"/>
      <c r="L50" s="458"/>
      <c r="M50" s="458"/>
      <c r="N50" s="458"/>
      <c r="O50" s="443"/>
      <c r="P50" s="447"/>
      <c r="Q50" s="450">
        <v>3</v>
      </c>
      <c r="R50" s="450">
        <v>6.4</v>
      </c>
      <c r="S50" s="450">
        <v>10000</v>
      </c>
      <c r="T50" s="450">
        <v>0.95</v>
      </c>
    </row>
    <row r="51" spans="2:20" s="497" customFormat="1" ht="15">
      <c r="B51" s="453" t="s">
        <v>476</v>
      </c>
      <c r="C51" s="443"/>
      <c r="D51" s="453">
        <f>D47*D49</f>
        <v>1895.9347653859245</v>
      </c>
      <c r="E51" s="458"/>
      <c r="F51" s="458"/>
      <c r="G51" s="458"/>
      <c r="H51" s="458"/>
      <c r="I51" s="458"/>
      <c r="J51" s="458"/>
      <c r="K51" s="458"/>
      <c r="L51" s="458"/>
      <c r="M51" s="458"/>
      <c r="N51" s="458"/>
      <c r="O51" s="443"/>
      <c r="P51" s="447"/>
      <c r="Q51" s="450">
        <v>3</v>
      </c>
      <c r="R51" s="450">
        <v>100</v>
      </c>
      <c r="S51" s="450">
        <v>0</v>
      </c>
      <c r="T51" s="450">
        <v>0.75</v>
      </c>
    </row>
    <row r="52" spans="2:20" s="497" customFormat="1" ht="15">
      <c r="B52" s="453" t="s">
        <v>477</v>
      </c>
      <c r="C52" s="443"/>
      <c r="D52" s="453">
        <f>D48*D49</f>
        <v>575.6755586452316</v>
      </c>
      <c r="E52" s="458"/>
      <c r="F52" s="458"/>
      <c r="G52" s="458"/>
      <c r="H52" s="458"/>
      <c r="I52" s="458"/>
      <c r="J52" s="458"/>
      <c r="K52" s="458"/>
      <c r="L52" s="458"/>
      <c r="M52" s="458"/>
      <c r="N52" s="458"/>
      <c r="O52" s="443"/>
      <c r="P52" s="447"/>
      <c r="Q52" s="450">
        <v>3</v>
      </c>
      <c r="R52" s="450">
        <v>100</v>
      </c>
      <c r="S52" s="450">
        <v>300</v>
      </c>
      <c r="T52" s="450">
        <v>0.75</v>
      </c>
    </row>
    <row r="53" spans="2:20" s="497" customFormat="1" ht="15">
      <c r="B53" s="453" t="s">
        <v>478</v>
      </c>
      <c r="C53" s="443"/>
      <c r="D53" s="453">
        <f>D47*D48*D49</f>
        <v>2015.3407369099493</v>
      </c>
      <c r="E53" s="458"/>
      <c r="F53" s="458"/>
      <c r="G53" s="458"/>
      <c r="H53" s="458"/>
      <c r="I53" s="458"/>
      <c r="J53" s="458"/>
      <c r="K53" s="458"/>
      <c r="L53" s="458"/>
      <c r="M53" s="458"/>
      <c r="N53" s="458"/>
      <c r="O53" s="443"/>
      <c r="P53" s="447"/>
      <c r="Q53" s="450">
        <v>3</v>
      </c>
      <c r="R53" s="450">
        <v>100</v>
      </c>
      <c r="S53" s="450">
        <v>300.01</v>
      </c>
      <c r="T53" s="450">
        <v>0.94</v>
      </c>
    </row>
    <row r="54" spans="2:20" s="497" customFormat="1" ht="15">
      <c r="B54" s="443"/>
      <c r="C54" s="443"/>
      <c r="D54" s="443"/>
      <c r="E54" s="458"/>
      <c r="F54" s="458"/>
      <c r="G54" s="458"/>
      <c r="H54" s="458"/>
      <c r="I54" s="458"/>
      <c r="J54" s="458"/>
      <c r="K54" s="458"/>
      <c r="L54" s="458"/>
      <c r="M54" s="458"/>
      <c r="N54" s="458"/>
      <c r="O54" s="443"/>
      <c r="P54" s="447"/>
      <c r="Q54" s="450">
        <v>3</v>
      </c>
      <c r="R54" s="450">
        <v>100</v>
      </c>
      <c r="S54" s="450">
        <v>600</v>
      </c>
      <c r="T54" s="450">
        <v>0.94</v>
      </c>
    </row>
    <row r="55" spans="2:20" s="497" customFormat="1" ht="15">
      <c r="B55" s="445" t="s">
        <v>450</v>
      </c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  <c r="N55" s="445"/>
      <c r="O55" s="443"/>
      <c r="P55" s="447"/>
      <c r="Q55" s="450">
        <v>3</v>
      </c>
      <c r="R55" s="450">
        <v>100</v>
      </c>
      <c r="S55" s="450">
        <v>600.01</v>
      </c>
      <c r="T55" s="450">
        <v>0.95</v>
      </c>
    </row>
    <row r="56" spans="2:20" s="497" customFormat="1" ht="15">
      <c r="B56" s="443"/>
      <c r="C56" s="443"/>
      <c r="D56" s="443"/>
      <c r="E56" s="458"/>
      <c r="F56" s="458"/>
      <c r="G56" s="458"/>
      <c r="H56" s="458"/>
      <c r="I56" s="458"/>
      <c r="J56" s="458"/>
      <c r="K56" s="458"/>
      <c r="L56" s="458"/>
      <c r="M56" s="458"/>
      <c r="N56" s="458"/>
      <c r="O56" s="443"/>
      <c r="P56" s="447"/>
      <c r="Q56" s="450">
        <v>3</v>
      </c>
      <c r="R56" s="450">
        <v>100</v>
      </c>
      <c r="S56" s="450">
        <v>10000</v>
      </c>
      <c r="T56" s="450">
        <v>0.95</v>
      </c>
    </row>
    <row r="57" spans="2:20" s="497" customFormat="1" ht="15">
      <c r="B57" s="443"/>
      <c r="C57" s="443"/>
      <c r="D57" s="443"/>
      <c r="E57" s="458"/>
      <c r="F57" s="458"/>
      <c r="G57" s="458"/>
      <c r="H57" s="458"/>
      <c r="I57" s="458"/>
      <c r="J57" s="458"/>
      <c r="K57" s="458"/>
      <c r="L57" s="458"/>
      <c r="M57" s="458"/>
      <c r="N57" s="458"/>
      <c r="O57" s="443"/>
      <c r="P57" s="447"/>
      <c r="Q57" s="450">
        <v>3.49</v>
      </c>
      <c r="R57" s="450">
        <v>0.4</v>
      </c>
      <c r="S57" s="450">
        <v>0</v>
      </c>
      <c r="T57" s="450">
        <v>0.81</v>
      </c>
    </row>
    <row r="58" spans="2:20" s="497" customFormat="1" ht="15">
      <c r="B58" s="443"/>
      <c r="C58" s="443"/>
      <c r="D58" s="443"/>
      <c r="E58" s="458"/>
      <c r="F58" s="458"/>
      <c r="G58" s="458"/>
      <c r="H58" s="458"/>
      <c r="I58" s="458"/>
      <c r="J58" s="458"/>
      <c r="K58" s="458"/>
      <c r="L58" s="458"/>
      <c r="M58" s="458"/>
      <c r="N58" s="458"/>
      <c r="O58" s="443"/>
      <c r="P58" s="447"/>
      <c r="Q58" s="450">
        <v>3.49</v>
      </c>
      <c r="R58" s="450">
        <v>0.4</v>
      </c>
      <c r="S58" s="450">
        <v>300</v>
      </c>
      <c r="T58" s="450">
        <v>0.81</v>
      </c>
    </row>
    <row r="59" spans="2:20" s="497" customFormat="1" ht="15">
      <c r="B59" s="443"/>
      <c r="C59" s="443"/>
      <c r="D59" s="443"/>
      <c r="E59" s="458"/>
      <c r="F59" s="458"/>
      <c r="G59" s="458"/>
      <c r="H59" s="458"/>
      <c r="I59" s="458"/>
      <c r="J59" s="458"/>
      <c r="K59" s="458"/>
      <c r="L59" s="458"/>
      <c r="M59" s="458"/>
      <c r="N59" s="458"/>
      <c r="O59" s="443"/>
      <c r="P59" s="447"/>
      <c r="Q59" s="450">
        <v>3.49</v>
      </c>
      <c r="R59" s="450">
        <v>0.4</v>
      </c>
      <c r="S59" s="450">
        <v>300.01</v>
      </c>
      <c r="T59" s="450">
        <v>1</v>
      </c>
    </row>
    <row r="60" spans="2:20" s="497" customFormat="1" ht="15">
      <c r="B60" s="443"/>
      <c r="C60" s="443"/>
      <c r="D60" s="443"/>
      <c r="E60" s="458"/>
      <c r="F60" s="458"/>
      <c r="G60" s="458"/>
      <c r="H60" s="458"/>
      <c r="I60" s="458"/>
      <c r="J60" s="458"/>
      <c r="K60" s="458"/>
      <c r="L60" s="458"/>
      <c r="M60" s="458"/>
      <c r="N60" s="458"/>
      <c r="O60" s="443"/>
      <c r="P60" s="447"/>
      <c r="Q60" s="450">
        <v>3.49</v>
      </c>
      <c r="R60" s="450">
        <v>0.4</v>
      </c>
      <c r="S60" s="450">
        <v>600</v>
      </c>
      <c r="T60" s="450">
        <v>1</v>
      </c>
    </row>
    <row r="61" spans="2:20" s="497" customFormat="1" ht="15">
      <c r="B61" s="443"/>
      <c r="C61" s="443"/>
      <c r="D61" s="443"/>
      <c r="E61" s="458"/>
      <c r="F61" s="458"/>
      <c r="G61" s="458"/>
      <c r="H61" s="458"/>
      <c r="I61" s="458"/>
      <c r="J61" s="458"/>
      <c r="K61" s="458"/>
      <c r="L61" s="458"/>
      <c r="M61" s="458"/>
      <c r="N61" s="458"/>
      <c r="O61" s="443"/>
      <c r="P61" s="447"/>
      <c r="Q61" s="450">
        <v>3.49</v>
      </c>
      <c r="R61" s="450">
        <v>0.4</v>
      </c>
      <c r="S61" s="450">
        <v>600.01</v>
      </c>
      <c r="T61" s="450">
        <v>1</v>
      </c>
    </row>
    <row r="62" spans="2:20" s="497" customFormat="1" ht="15">
      <c r="B62" s="443"/>
      <c r="C62" s="443"/>
      <c r="D62" s="443"/>
      <c r="E62" s="458"/>
      <c r="F62" s="458"/>
      <c r="G62" s="458"/>
      <c r="H62" s="458"/>
      <c r="I62" s="458"/>
      <c r="J62" s="458"/>
      <c r="K62" s="458"/>
      <c r="L62" s="458"/>
      <c r="M62" s="458"/>
      <c r="N62" s="458"/>
      <c r="O62" s="443"/>
      <c r="P62" s="447"/>
      <c r="Q62" s="450">
        <v>3.49</v>
      </c>
      <c r="R62" s="450">
        <v>0.4</v>
      </c>
      <c r="S62" s="450">
        <v>10000</v>
      </c>
      <c r="T62" s="450">
        <v>1</v>
      </c>
    </row>
    <row r="63" spans="2:20" s="497" customFormat="1" ht="15">
      <c r="B63" s="443"/>
      <c r="C63" s="443"/>
      <c r="D63" s="443"/>
      <c r="E63" s="458"/>
      <c r="F63" s="458"/>
      <c r="G63" s="458"/>
      <c r="H63" s="458"/>
      <c r="I63" s="458"/>
      <c r="J63" s="458"/>
      <c r="K63" s="458"/>
      <c r="L63" s="458"/>
      <c r="M63" s="458"/>
      <c r="N63" s="458"/>
      <c r="O63" s="443"/>
      <c r="P63" s="447"/>
      <c r="Q63" s="450">
        <v>3.49</v>
      </c>
      <c r="R63" s="450">
        <v>0.8</v>
      </c>
      <c r="S63" s="450">
        <v>0</v>
      </c>
      <c r="T63" s="450">
        <v>0.79</v>
      </c>
    </row>
    <row r="64" spans="2:20" s="497" customFormat="1" ht="15">
      <c r="B64" s="443"/>
      <c r="C64" s="443"/>
      <c r="D64" s="443"/>
      <c r="E64" s="458"/>
      <c r="F64" s="458"/>
      <c r="G64" s="458"/>
      <c r="H64" s="458"/>
      <c r="I64" s="458"/>
      <c r="J64" s="458"/>
      <c r="K64" s="458"/>
      <c r="L64" s="458"/>
      <c r="M64" s="458"/>
      <c r="N64" s="458"/>
      <c r="O64" s="443"/>
      <c r="P64" s="447"/>
      <c r="Q64" s="450">
        <v>3.49</v>
      </c>
      <c r="R64" s="450">
        <v>0.8</v>
      </c>
      <c r="S64" s="450">
        <v>300</v>
      </c>
      <c r="T64" s="450">
        <v>0.79</v>
      </c>
    </row>
    <row r="65" spans="16:20" s="497" customFormat="1" ht="15">
      <c r="P65" s="447"/>
      <c r="Q65" s="450">
        <v>3.49</v>
      </c>
      <c r="R65" s="450">
        <v>0.8</v>
      </c>
      <c r="S65" s="450">
        <v>300.01</v>
      </c>
      <c r="T65" s="450">
        <v>1</v>
      </c>
    </row>
    <row r="66" spans="16:20" s="497" customFormat="1" ht="15">
      <c r="P66" s="447"/>
      <c r="Q66" s="450">
        <v>3.49</v>
      </c>
      <c r="R66" s="450">
        <v>0.8</v>
      </c>
      <c r="S66" s="450">
        <v>600</v>
      </c>
      <c r="T66" s="450">
        <v>1</v>
      </c>
    </row>
    <row r="67" spans="16:20" s="497" customFormat="1" ht="15">
      <c r="P67" s="447"/>
      <c r="Q67" s="450">
        <v>3.49</v>
      </c>
      <c r="R67" s="450">
        <v>0.8</v>
      </c>
      <c r="S67" s="450">
        <v>600.01</v>
      </c>
      <c r="T67" s="450">
        <v>1</v>
      </c>
    </row>
    <row r="68" spans="16:20" s="497" customFormat="1" ht="15">
      <c r="P68" s="447"/>
      <c r="Q68" s="450">
        <v>3.49</v>
      </c>
      <c r="R68" s="450">
        <v>0.8</v>
      </c>
      <c r="S68" s="450">
        <v>10000</v>
      </c>
      <c r="T68" s="450">
        <v>1</v>
      </c>
    </row>
    <row r="69" spans="16:20" s="497" customFormat="1" ht="15">
      <c r="P69" s="447"/>
      <c r="Q69" s="450">
        <v>3.49</v>
      </c>
      <c r="R69" s="450">
        <v>1.2</v>
      </c>
      <c r="S69" s="450">
        <v>0</v>
      </c>
      <c r="T69" s="450">
        <v>0.77</v>
      </c>
    </row>
    <row r="70" spans="16:20" s="497" customFormat="1" ht="15">
      <c r="P70" s="447"/>
      <c r="Q70" s="450">
        <v>3.49</v>
      </c>
      <c r="R70" s="450">
        <v>1.2</v>
      </c>
      <c r="S70" s="450">
        <v>300</v>
      </c>
      <c r="T70" s="450">
        <v>0.77</v>
      </c>
    </row>
    <row r="71" spans="16:20" s="497" customFormat="1" ht="15">
      <c r="P71" s="447"/>
      <c r="Q71" s="450">
        <v>3.49</v>
      </c>
      <c r="R71" s="450">
        <v>1.2</v>
      </c>
      <c r="S71" s="450">
        <v>300.01</v>
      </c>
      <c r="T71" s="450">
        <v>1</v>
      </c>
    </row>
    <row r="72" spans="16:20" s="497" customFormat="1" ht="15">
      <c r="P72" s="447"/>
      <c r="Q72" s="450">
        <v>3.49</v>
      </c>
      <c r="R72" s="450">
        <v>1.2</v>
      </c>
      <c r="S72" s="450">
        <v>600</v>
      </c>
      <c r="T72" s="450">
        <v>1</v>
      </c>
    </row>
    <row r="73" spans="16:20" s="497" customFormat="1" ht="15">
      <c r="P73" s="447"/>
      <c r="Q73" s="450">
        <v>3.49</v>
      </c>
      <c r="R73" s="450">
        <v>1.2</v>
      </c>
      <c r="S73" s="450">
        <v>600.01</v>
      </c>
      <c r="T73" s="450">
        <v>1</v>
      </c>
    </row>
    <row r="74" spans="16:20" s="497" customFormat="1" ht="15">
      <c r="P74" s="447"/>
      <c r="Q74" s="450">
        <v>3.49</v>
      </c>
      <c r="R74" s="450">
        <v>1.2</v>
      </c>
      <c r="S74" s="450">
        <v>10000</v>
      </c>
      <c r="T74" s="450">
        <v>1</v>
      </c>
    </row>
    <row r="75" spans="16:20" s="497" customFormat="1" ht="15">
      <c r="P75" s="447"/>
      <c r="Q75" s="450">
        <v>3.49</v>
      </c>
      <c r="R75" s="450">
        <v>1.6</v>
      </c>
      <c r="S75" s="450">
        <v>0</v>
      </c>
      <c r="T75" s="450">
        <v>0.76</v>
      </c>
    </row>
    <row r="76" spans="16:20" s="497" customFormat="1" ht="15">
      <c r="P76" s="447"/>
      <c r="Q76" s="450">
        <v>3.49</v>
      </c>
      <c r="R76" s="450">
        <v>1.6</v>
      </c>
      <c r="S76" s="450">
        <v>300</v>
      </c>
      <c r="T76" s="450">
        <v>0.76</v>
      </c>
    </row>
    <row r="77" spans="16:20" s="497" customFormat="1" ht="15">
      <c r="P77" s="447"/>
      <c r="Q77" s="450">
        <v>3.49</v>
      </c>
      <c r="R77" s="450">
        <v>1.6</v>
      </c>
      <c r="S77" s="450">
        <v>300.01</v>
      </c>
      <c r="T77" s="450">
        <v>1</v>
      </c>
    </row>
    <row r="78" spans="16:20" s="497" customFormat="1" ht="15">
      <c r="P78" s="447"/>
      <c r="Q78" s="450">
        <v>3.49</v>
      </c>
      <c r="R78" s="450">
        <v>1.6</v>
      </c>
      <c r="S78" s="450">
        <v>600</v>
      </c>
      <c r="T78" s="450">
        <v>1</v>
      </c>
    </row>
    <row r="79" spans="16:20" s="497" customFormat="1" ht="15">
      <c r="P79" s="447"/>
      <c r="Q79" s="450">
        <v>3.49</v>
      </c>
      <c r="R79" s="450">
        <v>1.6</v>
      </c>
      <c r="S79" s="450">
        <v>600.01</v>
      </c>
      <c r="T79" s="450">
        <v>1</v>
      </c>
    </row>
    <row r="80" spans="16:20" s="497" customFormat="1" ht="15">
      <c r="P80" s="447"/>
      <c r="Q80" s="450">
        <v>3.49</v>
      </c>
      <c r="R80" s="450">
        <v>1.6</v>
      </c>
      <c r="S80" s="450">
        <v>10000</v>
      </c>
      <c r="T80" s="450">
        <v>1</v>
      </c>
    </row>
    <row r="81" spans="16:20" s="497" customFormat="1" ht="15">
      <c r="P81" s="447"/>
      <c r="Q81" s="450">
        <v>3.49</v>
      </c>
      <c r="R81" s="450">
        <v>2.4</v>
      </c>
      <c r="S81" s="450">
        <v>0</v>
      </c>
      <c r="T81" s="450">
        <v>0.75</v>
      </c>
    </row>
    <row r="82" spans="16:20" s="497" customFormat="1" ht="15">
      <c r="P82" s="447"/>
      <c r="Q82" s="450">
        <v>3.49</v>
      </c>
      <c r="R82" s="450">
        <v>2.4</v>
      </c>
      <c r="S82" s="450">
        <v>300</v>
      </c>
      <c r="T82" s="450">
        <v>0.75</v>
      </c>
    </row>
    <row r="83" spans="16:20" s="497" customFormat="1" ht="15">
      <c r="P83" s="447"/>
      <c r="Q83" s="450">
        <v>3.49</v>
      </c>
      <c r="R83" s="450">
        <v>2.4</v>
      </c>
      <c r="S83" s="450">
        <v>300.01</v>
      </c>
      <c r="T83" s="450">
        <v>0.99</v>
      </c>
    </row>
    <row r="84" spans="16:20" s="497" customFormat="1" ht="15">
      <c r="P84" s="447"/>
      <c r="Q84" s="450">
        <v>3.49</v>
      </c>
      <c r="R84" s="450">
        <v>2.4</v>
      </c>
      <c r="S84" s="450">
        <v>600</v>
      </c>
      <c r="T84" s="450">
        <v>0.99</v>
      </c>
    </row>
    <row r="85" spans="16:20" s="497" customFormat="1" ht="15">
      <c r="P85" s="447"/>
      <c r="Q85" s="450">
        <v>3.49</v>
      </c>
      <c r="R85" s="450">
        <v>2.4</v>
      </c>
      <c r="S85" s="450">
        <v>600.01</v>
      </c>
      <c r="T85" s="450">
        <v>1</v>
      </c>
    </row>
    <row r="86" spans="16:20" s="497" customFormat="1" ht="15">
      <c r="P86" s="447"/>
      <c r="Q86" s="450">
        <v>3.49</v>
      </c>
      <c r="R86" s="450">
        <v>2.4</v>
      </c>
      <c r="S86" s="450">
        <v>10000</v>
      </c>
      <c r="T86" s="450">
        <v>1</v>
      </c>
    </row>
    <row r="87" spans="16:20" s="497" customFormat="1" ht="15">
      <c r="P87" s="447"/>
      <c r="Q87" s="450">
        <v>3.49</v>
      </c>
      <c r="R87" s="450">
        <v>3.2</v>
      </c>
      <c r="S87" s="450">
        <v>0</v>
      </c>
      <c r="T87" s="450">
        <v>0.75</v>
      </c>
    </row>
    <row r="88" spans="16:20" s="497" customFormat="1" ht="15">
      <c r="P88" s="447"/>
      <c r="Q88" s="450">
        <v>3.49</v>
      </c>
      <c r="R88" s="450">
        <v>3.2</v>
      </c>
      <c r="S88" s="450">
        <v>300</v>
      </c>
      <c r="T88" s="450">
        <v>0.75</v>
      </c>
    </row>
    <row r="89" spans="16:20" s="497" customFormat="1" ht="15">
      <c r="P89" s="447"/>
      <c r="Q89" s="450">
        <v>3.49</v>
      </c>
      <c r="R89" s="450">
        <v>3.2</v>
      </c>
      <c r="S89" s="450">
        <v>300.01</v>
      </c>
      <c r="T89" s="450">
        <v>0.97</v>
      </c>
    </row>
    <row r="90" spans="16:20" s="497" customFormat="1" ht="15">
      <c r="P90" s="447"/>
      <c r="Q90" s="450">
        <v>3.49</v>
      </c>
      <c r="R90" s="450">
        <v>3.2</v>
      </c>
      <c r="S90" s="450">
        <v>600</v>
      </c>
      <c r="T90" s="450">
        <v>0.97</v>
      </c>
    </row>
    <row r="91" spans="16:20" s="497" customFormat="1" ht="15">
      <c r="P91" s="447"/>
      <c r="Q91" s="450">
        <v>3.49</v>
      </c>
      <c r="R91" s="450">
        <v>3.2</v>
      </c>
      <c r="S91" s="450">
        <v>600.01</v>
      </c>
      <c r="T91" s="450">
        <v>1</v>
      </c>
    </row>
    <row r="92" spans="16:20" s="497" customFormat="1" ht="15">
      <c r="P92" s="447"/>
      <c r="Q92" s="450">
        <v>3.49</v>
      </c>
      <c r="R92" s="450">
        <v>3.2</v>
      </c>
      <c r="S92" s="450">
        <v>10000</v>
      </c>
      <c r="T92" s="450">
        <v>1</v>
      </c>
    </row>
    <row r="93" spans="16:20" s="497" customFormat="1" ht="15">
      <c r="P93" s="447"/>
      <c r="Q93" s="450">
        <v>3.49</v>
      </c>
      <c r="R93" s="450">
        <v>4.8</v>
      </c>
      <c r="S93" s="450">
        <v>0</v>
      </c>
      <c r="T93" s="450">
        <v>0.75</v>
      </c>
    </row>
    <row r="94" spans="16:20" s="497" customFormat="1" ht="15">
      <c r="P94" s="447"/>
      <c r="Q94" s="450">
        <v>3.49</v>
      </c>
      <c r="R94" s="450">
        <v>4.8</v>
      </c>
      <c r="S94" s="450">
        <v>300</v>
      </c>
      <c r="T94" s="450">
        <v>0.75</v>
      </c>
    </row>
    <row r="95" spans="16:20" s="497" customFormat="1" ht="15">
      <c r="P95" s="447"/>
      <c r="Q95" s="450">
        <v>3.49</v>
      </c>
      <c r="R95" s="450">
        <v>4.8</v>
      </c>
      <c r="S95" s="450">
        <v>300.01</v>
      </c>
      <c r="T95" s="450">
        <v>0.95</v>
      </c>
    </row>
    <row r="96" spans="16:20" s="497" customFormat="1" ht="15">
      <c r="P96" s="447"/>
      <c r="Q96" s="450">
        <v>3.49</v>
      </c>
      <c r="R96" s="450">
        <v>4.8</v>
      </c>
      <c r="S96" s="450">
        <v>600</v>
      </c>
      <c r="T96" s="450">
        <v>0.95</v>
      </c>
    </row>
    <row r="97" spans="16:20" s="497" customFormat="1" ht="15">
      <c r="P97" s="447"/>
      <c r="Q97" s="450">
        <v>3.49</v>
      </c>
      <c r="R97" s="450">
        <v>4.8</v>
      </c>
      <c r="S97" s="450">
        <v>600.01</v>
      </c>
      <c r="T97" s="450">
        <v>0.97</v>
      </c>
    </row>
    <row r="98" spans="16:20" s="497" customFormat="1" ht="15">
      <c r="P98" s="447"/>
      <c r="Q98" s="450">
        <v>3.49</v>
      </c>
      <c r="R98" s="450">
        <v>4.8</v>
      </c>
      <c r="S98" s="450">
        <v>10000</v>
      </c>
      <c r="T98" s="450">
        <v>0.97</v>
      </c>
    </row>
    <row r="99" spans="16:20" s="497" customFormat="1" ht="15">
      <c r="P99" s="447"/>
      <c r="Q99" s="450">
        <v>3.49</v>
      </c>
      <c r="R99" s="450">
        <v>6.4</v>
      </c>
      <c r="S99" s="450">
        <v>0</v>
      </c>
      <c r="T99" s="450">
        <v>0.75</v>
      </c>
    </row>
    <row r="100" spans="16:20" s="497" customFormat="1" ht="15">
      <c r="P100" s="447"/>
      <c r="Q100" s="450">
        <v>3.49</v>
      </c>
      <c r="R100" s="450">
        <v>6.4</v>
      </c>
      <c r="S100" s="450">
        <v>300</v>
      </c>
      <c r="T100" s="450">
        <v>0.75</v>
      </c>
    </row>
    <row r="101" spans="16:20" s="497" customFormat="1" ht="15">
      <c r="P101" s="447"/>
      <c r="Q101" s="450">
        <v>3.49</v>
      </c>
      <c r="R101" s="450">
        <v>6.4</v>
      </c>
      <c r="S101" s="450">
        <v>300.01</v>
      </c>
      <c r="T101" s="450">
        <v>0.94</v>
      </c>
    </row>
    <row r="102" spans="16:20" s="497" customFormat="1" ht="15">
      <c r="P102" s="447"/>
      <c r="Q102" s="450">
        <v>3.49</v>
      </c>
      <c r="R102" s="450">
        <v>6.4</v>
      </c>
      <c r="S102" s="450">
        <v>600</v>
      </c>
      <c r="T102" s="450">
        <v>0.94</v>
      </c>
    </row>
    <row r="103" spans="16:20" s="497" customFormat="1" ht="15">
      <c r="P103" s="447"/>
      <c r="Q103" s="450">
        <v>3.49</v>
      </c>
      <c r="R103" s="450">
        <v>6.4</v>
      </c>
      <c r="S103" s="450">
        <v>600.01</v>
      </c>
      <c r="T103" s="450">
        <v>0.95</v>
      </c>
    </row>
    <row r="104" spans="16:20" s="497" customFormat="1" ht="15">
      <c r="P104" s="447"/>
      <c r="Q104" s="450">
        <v>3.49</v>
      </c>
      <c r="R104" s="450">
        <v>6.4</v>
      </c>
      <c r="S104" s="450">
        <v>10000</v>
      </c>
      <c r="T104" s="450">
        <v>0.95</v>
      </c>
    </row>
    <row r="105" spans="16:20" s="497" customFormat="1" ht="15">
      <c r="P105" s="447"/>
      <c r="Q105" s="450">
        <v>3.49</v>
      </c>
      <c r="R105" s="450">
        <v>100</v>
      </c>
      <c r="S105" s="450">
        <v>0</v>
      </c>
      <c r="T105" s="450">
        <v>0.75</v>
      </c>
    </row>
    <row r="106" spans="16:20" s="497" customFormat="1" ht="15">
      <c r="P106" s="447"/>
      <c r="Q106" s="450">
        <v>3.49</v>
      </c>
      <c r="R106" s="450">
        <v>100</v>
      </c>
      <c r="S106" s="450">
        <v>300</v>
      </c>
      <c r="T106" s="450">
        <v>0.75</v>
      </c>
    </row>
    <row r="107" spans="16:20" s="497" customFormat="1" ht="15">
      <c r="P107" s="447"/>
      <c r="Q107" s="450">
        <v>3.49</v>
      </c>
      <c r="R107" s="450">
        <v>100</v>
      </c>
      <c r="S107" s="450">
        <v>300.01</v>
      </c>
      <c r="T107" s="450">
        <v>0.94</v>
      </c>
    </row>
    <row r="108" spans="16:20" s="497" customFormat="1" ht="15">
      <c r="P108" s="447"/>
      <c r="Q108" s="450">
        <v>3.49</v>
      </c>
      <c r="R108" s="450">
        <v>100</v>
      </c>
      <c r="S108" s="450">
        <v>600</v>
      </c>
      <c r="T108" s="450">
        <v>0.94</v>
      </c>
    </row>
    <row r="109" spans="16:20" s="497" customFormat="1" ht="15">
      <c r="P109" s="447"/>
      <c r="Q109" s="450">
        <v>3.49</v>
      </c>
      <c r="R109" s="450">
        <v>100</v>
      </c>
      <c r="S109" s="450">
        <v>600.01</v>
      </c>
      <c r="T109" s="450">
        <v>0.95</v>
      </c>
    </row>
    <row r="110" spans="16:20" s="497" customFormat="1" ht="15">
      <c r="P110" s="447"/>
      <c r="Q110" s="450">
        <v>3.49</v>
      </c>
      <c r="R110" s="450">
        <v>100</v>
      </c>
      <c r="S110" s="450">
        <v>10000</v>
      </c>
      <c r="T110" s="450">
        <v>0.95</v>
      </c>
    </row>
    <row r="111" spans="16:20" s="497" customFormat="1" ht="15">
      <c r="P111" s="447"/>
      <c r="Q111" s="450">
        <v>3.5</v>
      </c>
      <c r="R111" s="450">
        <v>0.4</v>
      </c>
      <c r="S111" s="450">
        <v>0</v>
      </c>
      <c r="T111" s="450">
        <v>0.79</v>
      </c>
    </row>
    <row r="112" spans="16:20" s="497" customFormat="1" ht="15">
      <c r="P112" s="447"/>
      <c r="Q112" s="450">
        <v>3.5</v>
      </c>
      <c r="R112" s="450">
        <v>0.4</v>
      </c>
      <c r="S112" s="450">
        <v>300</v>
      </c>
      <c r="T112" s="450">
        <v>0.79</v>
      </c>
    </row>
    <row r="113" spans="16:20" s="497" customFormat="1" ht="15">
      <c r="P113" s="447"/>
      <c r="Q113" s="450">
        <v>3.5</v>
      </c>
      <c r="R113" s="450">
        <v>0.4</v>
      </c>
      <c r="S113" s="450">
        <v>300.01</v>
      </c>
      <c r="T113" s="450">
        <v>1</v>
      </c>
    </row>
    <row r="114" spans="16:20" s="497" customFormat="1" ht="15">
      <c r="P114" s="447"/>
      <c r="Q114" s="450">
        <v>3.5</v>
      </c>
      <c r="R114" s="450">
        <v>0.4</v>
      </c>
      <c r="S114" s="450">
        <v>600</v>
      </c>
      <c r="T114" s="450">
        <v>1</v>
      </c>
    </row>
    <row r="115" spans="16:20" s="497" customFormat="1" ht="15">
      <c r="P115" s="447"/>
      <c r="Q115" s="450">
        <v>3.5</v>
      </c>
      <c r="R115" s="450">
        <v>0.4</v>
      </c>
      <c r="S115" s="450">
        <v>600.01</v>
      </c>
      <c r="T115" s="450">
        <v>1</v>
      </c>
    </row>
    <row r="116" spans="16:20" s="497" customFormat="1" ht="15">
      <c r="P116" s="447"/>
      <c r="Q116" s="450">
        <v>3.5</v>
      </c>
      <c r="R116" s="450">
        <v>0.4</v>
      </c>
      <c r="S116" s="450">
        <v>10000</v>
      </c>
      <c r="T116" s="450">
        <v>1</v>
      </c>
    </row>
    <row r="117" spans="16:20" s="497" customFormat="1" ht="15">
      <c r="P117" s="447"/>
      <c r="Q117" s="450">
        <v>3.5</v>
      </c>
      <c r="R117" s="450">
        <v>0.8</v>
      </c>
      <c r="S117" s="450">
        <v>0</v>
      </c>
      <c r="T117" s="450">
        <v>0.76</v>
      </c>
    </row>
    <row r="118" spans="16:20" s="497" customFormat="1" ht="15">
      <c r="P118" s="447"/>
      <c r="Q118" s="450">
        <v>3.5</v>
      </c>
      <c r="R118" s="450">
        <v>0.8</v>
      </c>
      <c r="S118" s="450">
        <v>300</v>
      </c>
      <c r="T118" s="450">
        <v>0.76</v>
      </c>
    </row>
    <row r="119" spans="16:20" s="497" customFormat="1" ht="15">
      <c r="P119" s="447"/>
      <c r="Q119" s="450">
        <v>3.5</v>
      </c>
      <c r="R119" s="450">
        <v>0.8</v>
      </c>
      <c r="S119" s="450">
        <v>300.01</v>
      </c>
      <c r="T119" s="450">
        <v>1</v>
      </c>
    </row>
    <row r="120" spans="16:20" s="497" customFormat="1" ht="15">
      <c r="P120" s="447"/>
      <c r="Q120" s="450">
        <v>3.5</v>
      </c>
      <c r="R120" s="450">
        <v>0.8</v>
      </c>
      <c r="S120" s="450">
        <v>600</v>
      </c>
      <c r="T120" s="450">
        <v>1</v>
      </c>
    </row>
    <row r="121" spans="16:20" s="497" customFormat="1" ht="15">
      <c r="P121" s="447"/>
      <c r="Q121" s="450">
        <v>3.5</v>
      </c>
      <c r="R121" s="450">
        <v>0.8</v>
      </c>
      <c r="S121" s="450">
        <v>600.01</v>
      </c>
      <c r="T121" s="450">
        <v>1</v>
      </c>
    </row>
    <row r="122" spans="16:20" s="497" customFormat="1" ht="15">
      <c r="P122" s="447"/>
      <c r="Q122" s="450">
        <v>3.5</v>
      </c>
      <c r="R122" s="450">
        <v>0.8</v>
      </c>
      <c r="S122" s="450">
        <v>10000</v>
      </c>
      <c r="T122" s="450">
        <v>1</v>
      </c>
    </row>
    <row r="123" spans="16:20" s="497" customFormat="1" ht="15">
      <c r="P123" s="447"/>
      <c r="Q123" s="450">
        <v>3.5</v>
      </c>
      <c r="R123" s="450">
        <v>1.2</v>
      </c>
      <c r="S123" s="450">
        <v>0</v>
      </c>
      <c r="T123" s="450">
        <v>0.72</v>
      </c>
    </row>
    <row r="124" spans="16:20" s="497" customFormat="1" ht="15">
      <c r="P124" s="447"/>
      <c r="Q124" s="450">
        <v>3.5</v>
      </c>
      <c r="R124" s="450">
        <v>1.2</v>
      </c>
      <c r="S124" s="450">
        <v>300</v>
      </c>
      <c r="T124" s="450">
        <v>0.72</v>
      </c>
    </row>
    <row r="125" spans="16:20" s="497" customFormat="1" ht="15">
      <c r="P125" s="447"/>
      <c r="Q125" s="450">
        <v>3.5</v>
      </c>
      <c r="R125" s="450">
        <v>1.2</v>
      </c>
      <c r="S125" s="450">
        <v>300.01</v>
      </c>
      <c r="T125" s="450">
        <v>1</v>
      </c>
    </row>
    <row r="126" spans="16:20" s="497" customFormat="1" ht="15">
      <c r="P126" s="447"/>
      <c r="Q126" s="450">
        <v>3.5</v>
      </c>
      <c r="R126" s="450">
        <v>1.2</v>
      </c>
      <c r="S126" s="450">
        <v>600</v>
      </c>
      <c r="T126" s="450">
        <v>1</v>
      </c>
    </row>
    <row r="127" spans="16:20" s="497" customFormat="1" ht="15">
      <c r="P127" s="447"/>
      <c r="Q127" s="450">
        <v>3.5</v>
      </c>
      <c r="R127" s="450">
        <v>1.2</v>
      </c>
      <c r="S127" s="450">
        <v>600.01</v>
      </c>
      <c r="T127" s="450">
        <v>1</v>
      </c>
    </row>
    <row r="128" spans="16:20" s="497" customFormat="1" ht="15">
      <c r="P128" s="447"/>
      <c r="Q128" s="450">
        <v>3.5</v>
      </c>
      <c r="R128" s="450">
        <v>1.2</v>
      </c>
      <c r="S128" s="450">
        <v>10000</v>
      </c>
      <c r="T128" s="450">
        <v>1</v>
      </c>
    </row>
    <row r="129" spans="16:20" s="497" customFormat="1" ht="15">
      <c r="P129" s="447"/>
      <c r="Q129" s="450">
        <v>3.5</v>
      </c>
      <c r="R129" s="450">
        <v>1.6</v>
      </c>
      <c r="S129" s="450">
        <v>0</v>
      </c>
      <c r="T129" s="450">
        <v>0.69</v>
      </c>
    </row>
    <row r="130" spans="16:20" s="497" customFormat="1" ht="15">
      <c r="P130" s="447"/>
      <c r="Q130" s="450">
        <v>3.5</v>
      </c>
      <c r="R130" s="450">
        <v>1.6</v>
      </c>
      <c r="S130" s="450">
        <v>300</v>
      </c>
      <c r="T130" s="450">
        <v>0.69</v>
      </c>
    </row>
    <row r="131" spans="16:20" s="497" customFormat="1" ht="15">
      <c r="P131" s="447"/>
      <c r="Q131" s="450">
        <v>3.5</v>
      </c>
      <c r="R131" s="450">
        <v>1.6</v>
      </c>
      <c r="S131" s="450">
        <v>300.01</v>
      </c>
      <c r="T131" s="450">
        <v>0.93</v>
      </c>
    </row>
    <row r="132" spans="16:20" s="497" customFormat="1" ht="15">
      <c r="P132" s="447"/>
      <c r="Q132" s="450">
        <v>3.5</v>
      </c>
      <c r="R132" s="450">
        <v>1.6</v>
      </c>
      <c r="S132" s="450">
        <v>600</v>
      </c>
      <c r="T132" s="450">
        <v>0.93</v>
      </c>
    </row>
    <row r="133" spans="16:20" s="497" customFormat="1" ht="15">
      <c r="P133" s="447"/>
      <c r="Q133" s="450">
        <v>3.5</v>
      </c>
      <c r="R133" s="450">
        <v>1.6</v>
      </c>
      <c r="S133" s="450">
        <v>600.01</v>
      </c>
      <c r="T133" s="450">
        <v>1</v>
      </c>
    </row>
    <row r="134" spans="16:20" s="497" customFormat="1" ht="15">
      <c r="P134" s="447"/>
      <c r="Q134" s="450">
        <v>3.5</v>
      </c>
      <c r="R134" s="450">
        <v>1.6</v>
      </c>
      <c r="S134" s="450">
        <v>10000</v>
      </c>
      <c r="T134" s="450">
        <v>1</v>
      </c>
    </row>
    <row r="135" spans="16:20" s="497" customFormat="1" ht="15">
      <c r="P135" s="447"/>
      <c r="Q135" s="450">
        <v>3.5</v>
      </c>
      <c r="R135" s="450">
        <v>2.4</v>
      </c>
      <c r="S135" s="450">
        <v>0</v>
      </c>
      <c r="T135" s="450">
        <v>0.68</v>
      </c>
    </row>
    <row r="136" spans="16:20" s="497" customFormat="1" ht="15">
      <c r="P136" s="447"/>
      <c r="Q136" s="450">
        <v>3.5</v>
      </c>
      <c r="R136" s="450">
        <v>2.4</v>
      </c>
      <c r="S136" s="450">
        <v>300</v>
      </c>
      <c r="T136" s="450">
        <v>0.68</v>
      </c>
    </row>
    <row r="137" spans="16:20" s="497" customFormat="1" ht="15">
      <c r="P137" s="447"/>
      <c r="Q137" s="450">
        <v>3.5</v>
      </c>
      <c r="R137" s="450">
        <v>2.4</v>
      </c>
      <c r="S137" s="450">
        <v>300.01</v>
      </c>
      <c r="T137" s="450">
        <v>0.92</v>
      </c>
    </row>
    <row r="138" spans="16:20" s="497" customFormat="1" ht="15">
      <c r="P138" s="447"/>
      <c r="Q138" s="450">
        <v>3.5</v>
      </c>
      <c r="R138" s="450">
        <v>2.4</v>
      </c>
      <c r="S138" s="450">
        <v>600</v>
      </c>
      <c r="T138" s="450">
        <v>0.92</v>
      </c>
    </row>
    <row r="139" spans="16:20" s="497" customFormat="1" ht="15">
      <c r="P139" s="447"/>
      <c r="Q139" s="450">
        <v>3.5</v>
      </c>
      <c r="R139" s="450">
        <v>2.4</v>
      </c>
      <c r="S139" s="450">
        <v>600.01</v>
      </c>
      <c r="T139" s="450">
        <v>1</v>
      </c>
    </row>
    <row r="140" spans="16:20" s="497" customFormat="1" ht="15">
      <c r="P140" s="447"/>
      <c r="Q140" s="450">
        <v>3.5</v>
      </c>
      <c r="R140" s="450">
        <v>2.4</v>
      </c>
      <c r="S140" s="450">
        <v>10000</v>
      </c>
      <c r="T140" s="450">
        <v>1</v>
      </c>
    </row>
    <row r="141" spans="16:20" s="497" customFormat="1" ht="15">
      <c r="P141" s="447"/>
      <c r="Q141" s="450">
        <v>3.5</v>
      </c>
      <c r="R141" s="450">
        <v>3.2</v>
      </c>
      <c r="S141" s="450">
        <v>0</v>
      </c>
      <c r="T141" s="450">
        <v>0.66</v>
      </c>
    </row>
    <row r="142" spans="16:20" s="497" customFormat="1" ht="15">
      <c r="P142" s="447"/>
      <c r="Q142" s="450">
        <v>3.5</v>
      </c>
      <c r="R142" s="450">
        <v>3.2</v>
      </c>
      <c r="S142" s="450">
        <v>300</v>
      </c>
      <c r="T142" s="450">
        <v>0.66</v>
      </c>
    </row>
    <row r="143" spans="16:20" s="497" customFormat="1" ht="15">
      <c r="P143" s="447"/>
      <c r="Q143" s="450">
        <v>3.5</v>
      </c>
      <c r="R143" s="450">
        <v>3.2</v>
      </c>
      <c r="S143" s="450">
        <v>300.01</v>
      </c>
      <c r="T143" s="450">
        <v>0.91</v>
      </c>
    </row>
    <row r="144" spans="16:20" s="497" customFormat="1" ht="15">
      <c r="P144" s="447"/>
      <c r="Q144" s="450">
        <v>3.5</v>
      </c>
      <c r="R144" s="450">
        <v>3.2</v>
      </c>
      <c r="S144" s="450">
        <v>600</v>
      </c>
      <c r="T144" s="450">
        <v>0.91</v>
      </c>
    </row>
    <row r="145" spans="16:20" s="497" customFormat="1" ht="15">
      <c r="P145" s="447"/>
      <c r="Q145" s="450">
        <v>3.5</v>
      </c>
      <c r="R145" s="450">
        <v>3.2</v>
      </c>
      <c r="S145" s="450">
        <v>600.01</v>
      </c>
      <c r="T145" s="450">
        <v>1</v>
      </c>
    </row>
    <row r="146" spans="16:20" s="497" customFormat="1" ht="15">
      <c r="P146" s="447"/>
      <c r="Q146" s="450">
        <v>3.5</v>
      </c>
      <c r="R146" s="450">
        <v>3.2</v>
      </c>
      <c r="S146" s="450">
        <v>10000</v>
      </c>
      <c r="T146" s="450">
        <v>1</v>
      </c>
    </row>
    <row r="147" spans="16:20" s="497" customFormat="1" ht="15">
      <c r="P147" s="447"/>
      <c r="Q147" s="450">
        <v>3.5</v>
      </c>
      <c r="R147" s="450">
        <v>4.8</v>
      </c>
      <c r="S147" s="450">
        <v>0</v>
      </c>
      <c r="T147" s="450">
        <v>0.65</v>
      </c>
    </row>
    <row r="148" spans="16:20" s="497" customFormat="1" ht="15">
      <c r="P148" s="447"/>
      <c r="Q148" s="450">
        <v>3.5</v>
      </c>
      <c r="R148" s="450">
        <v>4.8</v>
      </c>
      <c r="S148" s="450">
        <v>300</v>
      </c>
      <c r="T148" s="450">
        <v>0.65</v>
      </c>
    </row>
    <row r="149" spans="16:20" s="497" customFormat="1" ht="15">
      <c r="P149" s="447"/>
      <c r="Q149" s="450">
        <v>3.5</v>
      </c>
      <c r="R149" s="450">
        <v>4.8</v>
      </c>
      <c r="S149" s="450">
        <v>300.01</v>
      </c>
      <c r="T149" s="450">
        <v>0.91</v>
      </c>
    </row>
    <row r="150" spans="16:20" s="497" customFormat="1" ht="15">
      <c r="P150" s="447"/>
      <c r="Q150" s="450">
        <v>3.5</v>
      </c>
      <c r="R150" s="450">
        <v>4.8</v>
      </c>
      <c r="S150" s="450">
        <v>600</v>
      </c>
      <c r="T150" s="450">
        <v>0.91</v>
      </c>
    </row>
    <row r="151" spans="16:20" s="497" customFormat="1" ht="15">
      <c r="P151" s="447"/>
      <c r="Q151" s="450">
        <v>3.5</v>
      </c>
      <c r="R151" s="450">
        <v>4.8</v>
      </c>
      <c r="S151" s="450">
        <v>600.01</v>
      </c>
      <c r="T151" s="450">
        <v>0.96</v>
      </c>
    </row>
    <row r="152" spans="16:20" s="497" customFormat="1" ht="15">
      <c r="P152" s="447"/>
      <c r="Q152" s="450">
        <v>3.5</v>
      </c>
      <c r="R152" s="450">
        <v>4.8</v>
      </c>
      <c r="S152" s="450">
        <v>10000</v>
      </c>
      <c r="T152" s="450">
        <v>0.96</v>
      </c>
    </row>
    <row r="153" spans="16:20" s="497" customFormat="1" ht="15">
      <c r="P153" s="447"/>
      <c r="Q153" s="450">
        <v>3.5</v>
      </c>
      <c r="R153" s="450">
        <v>6.4</v>
      </c>
      <c r="S153" s="450">
        <v>0</v>
      </c>
      <c r="T153" s="450">
        <v>0.65</v>
      </c>
    </row>
    <row r="154" spans="16:20" s="497" customFormat="1" ht="15">
      <c r="P154" s="447"/>
      <c r="Q154" s="450">
        <v>3.5</v>
      </c>
      <c r="R154" s="450">
        <v>6.4</v>
      </c>
      <c r="S154" s="450">
        <v>300</v>
      </c>
      <c r="T154" s="450">
        <v>0.65</v>
      </c>
    </row>
    <row r="155" spans="16:20" s="497" customFormat="1" ht="15">
      <c r="P155" s="447"/>
      <c r="Q155" s="450">
        <v>3.5</v>
      </c>
      <c r="R155" s="450">
        <v>6.4</v>
      </c>
      <c r="S155" s="450">
        <v>300.01</v>
      </c>
      <c r="T155" s="450">
        <v>0.9</v>
      </c>
    </row>
    <row r="156" spans="16:20" s="497" customFormat="1" ht="15">
      <c r="P156" s="447"/>
      <c r="Q156" s="450">
        <v>3.5</v>
      </c>
      <c r="R156" s="450">
        <v>6.4</v>
      </c>
      <c r="S156" s="450">
        <v>600</v>
      </c>
      <c r="T156" s="450">
        <v>0.9</v>
      </c>
    </row>
    <row r="157" spans="16:20" s="497" customFormat="1" ht="15">
      <c r="P157" s="447"/>
      <c r="Q157" s="450">
        <v>3.5</v>
      </c>
      <c r="R157" s="450">
        <v>6.4</v>
      </c>
      <c r="S157" s="450">
        <v>600.01</v>
      </c>
      <c r="T157" s="450">
        <v>0.96</v>
      </c>
    </row>
    <row r="158" spans="16:20" s="497" customFormat="1" ht="15">
      <c r="P158" s="447"/>
      <c r="Q158" s="450">
        <v>3.5</v>
      </c>
      <c r="R158" s="450">
        <v>6.4</v>
      </c>
      <c r="S158" s="450">
        <v>10000</v>
      </c>
      <c r="T158" s="450">
        <v>0.96</v>
      </c>
    </row>
    <row r="159" spans="16:20" s="497" customFormat="1" ht="15">
      <c r="P159" s="447"/>
      <c r="Q159" s="450">
        <v>3.5</v>
      </c>
      <c r="R159" s="450">
        <v>100</v>
      </c>
      <c r="S159" s="450">
        <v>0</v>
      </c>
      <c r="T159" s="450">
        <v>0.65</v>
      </c>
    </row>
    <row r="160" spans="16:20" s="497" customFormat="1" ht="15">
      <c r="P160" s="447"/>
      <c r="Q160" s="450">
        <v>3.5</v>
      </c>
      <c r="R160" s="450">
        <v>100</v>
      </c>
      <c r="S160" s="450">
        <v>300</v>
      </c>
      <c r="T160" s="450">
        <v>0.65</v>
      </c>
    </row>
    <row r="161" spans="16:20" s="497" customFormat="1" ht="15">
      <c r="P161" s="447"/>
      <c r="Q161" s="450">
        <v>3.5</v>
      </c>
      <c r="R161" s="450">
        <v>100</v>
      </c>
      <c r="S161" s="450">
        <v>300.01</v>
      </c>
      <c r="T161" s="450">
        <v>0.9</v>
      </c>
    </row>
    <row r="162" spans="16:20" s="497" customFormat="1" ht="15">
      <c r="P162" s="447"/>
      <c r="Q162" s="450">
        <v>3.5</v>
      </c>
      <c r="R162" s="450">
        <v>100</v>
      </c>
      <c r="S162" s="450">
        <v>600</v>
      </c>
      <c r="T162" s="450">
        <v>0.9</v>
      </c>
    </row>
    <row r="163" spans="16:20" s="497" customFormat="1" ht="15">
      <c r="P163" s="447"/>
      <c r="Q163" s="450">
        <v>3.5</v>
      </c>
      <c r="R163" s="450">
        <v>100</v>
      </c>
      <c r="S163" s="450">
        <v>600.01</v>
      </c>
      <c r="T163" s="450">
        <v>0.96</v>
      </c>
    </row>
    <row r="164" spans="16:20" s="497" customFormat="1" ht="15">
      <c r="P164" s="447"/>
      <c r="Q164" s="450">
        <v>3.5</v>
      </c>
      <c r="R164" s="450">
        <v>100</v>
      </c>
      <c r="S164" s="450">
        <v>10000</v>
      </c>
      <c r="T164" s="450">
        <v>0.96</v>
      </c>
    </row>
    <row r="165" spans="16:20" s="497" customFormat="1" ht="15">
      <c r="P165" s="447"/>
      <c r="Q165" s="450">
        <v>4.49</v>
      </c>
      <c r="R165" s="450">
        <v>0.4</v>
      </c>
      <c r="S165" s="450">
        <v>0</v>
      </c>
      <c r="T165" s="450">
        <v>0.79</v>
      </c>
    </row>
    <row r="166" spans="16:20" s="497" customFormat="1" ht="15">
      <c r="P166" s="447"/>
      <c r="Q166" s="450">
        <v>4.49</v>
      </c>
      <c r="R166" s="450">
        <v>0.4</v>
      </c>
      <c r="S166" s="450">
        <v>300</v>
      </c>
      <c r="T166" s="450">
        <v>0.79</v>
      </c>
    </row>
    <row r="167" spans="16:20" s="497" customFormat="1" ht="15">
      <c r="P167" s="447"/>
      <c r="Q167" s="450">
        <v>4.49</v>
      </c>
      <c r="R167" s="450">
        <v>0.4</v>
      </c>
      <c r="S167" s="450">
        <v>300.01</v>
      </c>
      <c r="T167" s="450">
        <v>1</v>
      </c>
    </row>
    <row r="168" spans="16:20" s="497" customFormat="1" ht="15">
      <c r="P168" s="447"/>
      <c r="Q168" s="450">
        <v>4.49</v>
      </c>
      <c r="R168" s="450">
        <v>0.4</v>
      </c>
      <c r="S168" s="450">
        <v>600</v>
      </c>
      <c r="T168" s="450">
        <v>1</v>
      </c>
    </row>
    <row r="169" spans="16:20" s="497" customFormat="1" ht="15">
      <c r="P169" s="447"/>
      <c r="Q169" s="450">
        <v>4.49</v>
      </c>
      <c r="R169" s="450">
        <v>0.4</v>
      </c>
      <c r="S169" s="450">
        <v>600.01</v>
      </c>
      <c r="T169" s="450">
        <v>1</v>
      </c>
    </row>
    <row r="170" spans="16:20" s="497" customFormat="1" ht="15">
      <c r="P170" s="447"/>
      <c r="Q170" s="450">
        <v>4.49</v>
      </c>
      <c r="R170" s="450">
        <v>0.4</v>
      </c>
      <c r="S170" s="450">
        <v>10000</v>
      </c>
      <c r="T170" s="450">
        <v>1</v>
      </c>
    </row>
    <row r="171" spans="16:20" s="497" customFormat="1" ht="15">
      <c r="P171" s="447"/>
      <c r="Q171" s="450">
        <v>4.49</v>
      </c>
      <c r="R171" s="450">
        <v>0.8</v>
      </c>
      <c r="S171" s="450">
        <v>0</v>
      </c>
      <c r="T171" s="450">
        <v>0.76</v>
      </c>
    </row>
    <row r="172" spans="16:20" s="497" customFormat="1" ht="15">
      <c r="P172" s="447"/>
      <c r="Q172" s="450">
        <v>4.49</v>
      </c>
      <c r="R172" s="450">
        <v>0.8</v>
      </c>
      <c r="S172" s="450">
        <v>300</v>
      </c>
      <c r="T172" s="450">
        <v>0.76</v>
      </c>
    </row>
    <row r="173" spans="16:20" s="497" customFormat="1" ht="15">
      <c r="P173" s="447"/>
      <c r="Q173" s="450">
        <v>4.49</v>
      </c>
      <c r="R173" s="450">
        <v>0.8</v>
      </c>
      <c r="S173" s="450">
        <v>300.01</v>
      </c>
      <c r="T173" s="450">
        <v>1</v>
      </c>
    </row>
    <row r="174" spans="16:20" s="497" customFormat="1" ht="15">
      <c r="P174" s="447"/>
      <c r="Q174" s="450">
        <v>4.49</v>
      </c>
      <c r="R174" s="450">
        <v>0.8</v>
      </c>
      <c r="S174" s="450">
        <v>600</v>
      </c>
      <c r="T174" s="450">
        <v>1</v>
      </c>
    </row>
    <row r="175" spans="16:20" s="497" customFormat="1" ht="15">
      <c r="P175" s="447"/>
      <c r="Q175" s="450">
        <v>4.49</v>
      </c>
      <c r="R175" s="450">
        <v>0.8</v>
      </c>
      <c r="S175" s="450">
        <v>600.01</v>
      </c>
      <c r="T175" s="450">
        <v>1</v>
      </c>
    </row>
    <row r="176" spans="16:20" s="497" customFormat="1" ht="15">
      <c r="P176" s="447"/>
      <c r="Q176" s="450">
        <v>4.49</v>
      </c>
      <c r="R176" s="450">
        <v>0.8</v>
      </c>
      <c r="S176" s="450">
        <v>10000</v>
      </c>
      <c r="T176" s="450">
        <v>1</v>
      </c>
    </row>
    <row r="177" spans="16:20" s="497" customFormat="1" ht="15">
      <c r="P177" s="447"/>
      <c r="Q177" s="450">
        <v>4.49</v>
      </c>
      <c r="R177" s="450">
        <v>1.2</v>
      </c>
      <c r="S177" s="450">
        <v>0</v>
      </c>
      <c r="T177" s="450">
        <v>0.72</v>
      </c>
    </row>
    <row r="178" spans="16:20" s="497" customFormat="1" ht="15">
      <c r="P178" s="447"/>
      <c r="Q178" s="450">
        <v>4.49</v>
      </c>
      <c r="R178" s="450">
        <v>1.2</v>
      </c>
      <c r="S178" s="450">
        <v>300</v>
      </c>
      <c r="T178" s="450">
        <v>0.72</v>
      </c>
    </row>
    <row r="179" spans="16:20" s="497" customFormat="1" ht="15">
      <c r="P179" s="447"/>
      <c r="Q179" s="450">
        <v>4.49</v>
      </c>
      <c r="R179" s="450">
        <v>1.2</v>
      </c>
      <c r="S179" s="450">
        <v>300.01</v>
      </c>
      <c r="T179" s="450">
        <v>1</v>
      </c>
    </row>
    <row r="180" spans="16:20" s="497" customFormat="1" ht="15">
      <c r="P180" s="447"/>
      <c r="Q180" s="450">
        <v>4.49</v>
      </c>
      <c r="R180" s="450">
        <v>1.2</v>
      </c>
      <c r="S180" s="450">
        <v>600</v>
      </c>
      <c r="T180" s="450">
        <v>1</v>
      </c>
    </row>
    <row r="181" spans="16:20" s="497" customFormat="1" ht="15">
      <c r="P181" s="447"/>
      <c r="Q181" s="450">
        <v>4.49</v>
      </c>
      <c r="R181" s="450">
        <v>1.2</v>
      </c>
      <c r="S181" s="450">
        <v>600.01</v>
      </c>
      <c r="T181" s="450">
        <v>1</v>
      </c>
    </row>
    <row r="182" spans="16:20" s="497" customFormat="1" ht="15">
      <c r="P182" s="447"/>
      <c r="Q182" s="450">
        <v>4.49</v>
      </c>
      <c r="R182" s="450">
        <v>1.2</v>
      </c>
      <c r="S182" s="450">
        <v>10000</v>
      </c>
      <c r="T182" s="450">
        <v>1</v>
      </c>
    </row>
    <row r="183" spans="16:20" s="497" customFormat="1" ht="15">
      <c r="P183" s="447"/>
      <c r="Q183" s="450">
        <v>4.49</v>
      </c>
      <c r="R183" s="450">
        <v>1.6</v>
      </c>
      <c r="S183" s="450">
        <v>0</v>
      </c>
      <c r="T183" s="450">
        <v>0.69</v>
      </c>
    </row>
    <row r="184" spans="16:20" s="497" customFormat="1" ht="15">
      <c r="P184" s="447"/>
      <c r="Q184" s="450">
        <v>4.49</v>
      </c>
      <c r="R184" s="450">
        <v>1.6</v>
      </c>
      <c r="S184" s="450">
        <v>300</v>
      </c>
      <c r="T184" s="450">
        <v>0.69</v>
      </c>
    </row>
    <row r="185" spans="16:20" s="497" customFormat="1" ht="15">
      <c r="P185" s="447"/>
      <c r="Q185" s="450">
        <v>4.49</v>
      </c>
      <c r="R185" s="450">
        <v>1.6</v>
      </c>
      <c r="S185" s="450">
        <v>300.01</v>
      </c>
      <c r="T185" s="450">
        <v>0.93</v>
      </c>
    </row>
    <row r="186" spans="16:20" s="497" customFormat="1" ht="15">
      <c r="P186" s="447"/>
      <c r="Q186" s="450">
        <v>4.49</v>
      </c>
      <c r="R186" s="450">
        <v>1.6</v>
      </c>
      <c r="S186" s="450">
        <v>600</v>
      </c>
      <c r="T186" s="450">
        <v>0.93</v>
      </c>
    </row>
    <row r="187" spans="16:20" s="497" customFormat="1" ht="15">
      <c r="P187" s="447"/>
      <c r="Q187" s="450">
        <v>4.49</v>
      </c>
      <c r="R187" s="450">
        <v>1.6</v>
      </c>
      <c r="S187" s="450">
        <v>600.01</v>
      </c>
      <c r="T187" s="450">
        <v>1</v>
      </c>
    </row>
    <row r="188" spans="16:20" s="497" customFormat="1" ht="15">
      <c r="P188" s="447"/>
      <c r="Q188" s="450">
        <v>4.49</v>
      </c>
      <c r="R188" s="450">
        <v>1.6</v>
      </c>
      <c r="S188" s="450">
        <v>10000</v>
      </c>
      <c r="T188" s="450">
        <v>1</v>
      </c>
    </row>
    <row r="189" spans="16:20" s="497" customFormat="1" ht="15">
      <c r="P189" s="447"/>
      <c r="Q189" s="450">
        <v>4.49</v>
      </c>
      <c r="R189" s="450">
        <v>2.4</v>
      </c>
      <c r="S189" s="450">
        <v>0</v>
      </c>
      <c r="T189" s="450">
        <v>0.68</v>
      </c>
    </row>
    <row r="190" spans="16:20" s="497" customFormat="1" ht="15">
      <c r="P190" s="447"/>
      <c r="Q190" s="450">
        <v>4.49</v>
      </c>
      <c r="R190" s="450">
        <v>2.4</v>
      </c>
      <c r="S190" s="450">
        <v>300</v>
      </c>
      <c r="T190" s="450">
        <v>0.68</v>
      </c>
    </row>
    <row r="191" spans="16:20" s="497" customFormat="1" ht="15">
      <c r="P191" s="447"/>
      <c r="Q191" s="450">
        <v>4.49</v>
      </c>
      <c r="R191" s="450">
        <v>2.4</v>
      </c>
      <c r="S191" s="450">
        <v>300.01</v>
      </c>
      <c r="T191" s="450">
        <v>0.92</v>
      </c>
    </row>
    <row r="192" spans="16:20" s="497" customFormat="1" ht="15">
      <c r="P192" s="447"/>
      <c r="Q192" s="450">
        <v>4.49</v>
      </c>
      <c r="R192" s="450">
        <v>2.4</v>
      </c>
      <c r="S192" s="450">
        <v>600</v>
      </c>
      <c r="T192" s="450">
        <v>0.92</v>
      </c>
    </row>
    <row r="193" spans="16:20" s="497" customFormat="1" ht="15">
      <c r="P193" s="447"/>
      <c r="Q193" s="450">
        <v>4.49</v>
      </c>
      <c r="R193" s="450">
        <v>2.4</v>
      </c>
      <c r="S193" s="450">
        <v>600.01</v>
      </c>
      <c r="T193" s="450">
        <v>1</v>
      </c>
    </row>
    <row r="194" spans="16:20" s="497" customFormat="1" ht="15">
      <c r="P194" s="447"/>
      <c r="Q194" s="450">
        <v>4.49</v>
      </c>
      <c r="R194" s="450">
        <v>2.4</v>
      </c>
      <c r="S194" s="450">
        <v>10000</v>
      </c>
      <c r="T194" s="450">
        <v>1</v>
      </c>
    </row>
    <row r="195" spans="16:20" s="497" customFormat="1" ht="15">
      <c r="P195" s="447"/>
      <c r="Q195" s="450">
        <v>4.49</v>
      </c>
      <c r="R195" s="450">
        <v>3.2</v>
      </c>
      <c r="S195" s="450">
        <v>0</v>
      </c>
      <c r="T195" s="450">
        <v>0.66</v>
      </c>
    </row>
    <row r="196" spans="16:20" s="497" customFormat="1" ht="15">
      <c r="P196" s="447"/>
      <c r="Q196" s="450">
        <v>4.49</v>
      </c>
      <c r="R196" s="450">
        <v>3.2</v>
      </c>
      <c r="S196" s="450">
        <v>300</v>
      </c>
      <c r="T196" s="450">
        <v>0.66</v>
      </c>
    </row>
    <row r="197" spans="16:20" s="497" customFormat="1" ht="15">
      <c r="P197" s="447"/>
      <c r="Q197" s="450">
        <v>4.49</v>
      </c>
      <c r="R197" s="450">
        <v>3.2</v>
      </c>
      <c r="S197" s="450">
        <v>300.01</v>
      </c>
      <c r="T197" s="450">
        <v>0.91</v>
      </c>
    </row>
    <row r="198" spans="16:20" s="497" customFormat="1" ht="15">
      <c r="P198" s="447"/>
      <c r="Q198" s="450">
        <v>4.49</v>
      </c>
      <c r="R198" s="450">
        <v>3.2</v>
      </c>
      <c r="S198" s="450">
        <v>600</v>
      </c>
      <c r="T198" s="450">
        <v>0.91</v>
      </c>
    </row>
    <row r="199" spans="16:20" s="497" customFormat="1" ht="15">
      <c r="P199" s="447"/>
      <c r="Q199" s="450">
        <v>4.49</v>
      </c>
      <c r="R199" s="450">
        <v>3.2</v>
      </c>
      <c r="S199" s="450">
        <v>600.01</v>
      </c>
      <c r="T199" s="450">
        <v>1</v>
      </c>
    </row>
    <row r="200" spans="16:20" s="497" customFormat="1" ht="15">
      <c r="P200" s="447"/>
      <c r="Q200" s="450">
        <v>4.49</v>
      </c>
      <c r="R200" s="450">
        <v>3.2</v>
      </c>
      <c r="S200" s="450">
        <v>10000</v>
      </c>
      <c r="T200" s="450">
        <v>1</v>
      </c>
    </row>
    <row r="201" spans="16:20" s="497" customFormat="1" ht="15">
      <c r="P201" s="447"/>
      <c r="Q201" s="450">
        <v>4.49</v>
      </c>
      <c r="R201" s="450">
        <v>4.8</v>
      </c>
      <c r="S201" s="450">
        <v>0</v>
      </c>
      <c r="T201" s="450">
        <v>0.65</v>
      </c>
    </row>
    <row r="202" spans="16:20" s="497" customFormat="1" ht="15">
      <c r="P202" s="447"/>
      <c r="Q202" s="450">
        <v>4.49</v>
      </c>
      <c r="R202" s="450">
        <v>4.8</v>
      </c>
      <c r="S202" s="450">
        <v>300</v>
      </c>
      <c r="T202" s="450">
        <v>0.65</v>
      </c>
    </row>
    <row r="203" spans="16:20" s="497" customFormat="1" ht="15">
      <c r="P203" s="447"/>
      <c r="Q203" s="450">
        <v>4.49</v>
      </c>
      <c r="R203" s="450">
        <v>4.8</v>
      </c>
      <c r="S203" s="450">
        <v>300.01</v>
      </c>
      <c r="T203" s="450">
        <v>0.91</v>
      </c>
    </row>
    <row r="204" spans="16:20" s="497" customFormat="1" ht="15">
      <c r="P204" s="447"/>
      <c r="Q204" s="450">
        <v>4.49</v>
      </c>
      <c r="R204" s="450">
        <v>4.8</v>
      </c>
      <c r="S204" s="450">
        <v>600</v>
      </c>
      <c r="T204" s="450">
        <v>0.91</v>
      </c>
    </row>
    <row r="205" spans="16:20" s="497" customFormat="1" ht="15">
      <c r="P205" s="447"/>
      <c r="Q205" s="450">
        <v>4.49</v>
      </c>
      <c r="R205" s="450">
        <v>4.8</v>
      </c>
      <c r="S205" s="450">
        <v>600.01</v>
      </c>
      <c r="T205" s="450">
        <v>0.96</v>
      </c>
    </row>
    <row r="206" spans="16:20" s="497" customFormat="1" ht="15">
      <c r="P206" s="447"/>
      <c r="Q206" s="450">
        <v>4.49</v>
      </c>
      <c r="R206" s="450">
        <v>4.8</v>
      </c>
      <c r="S206" s="450">
        <v>10000</v>
      </c>
      <c r="T206" s="450">
        <v>0.96</v>
      </c>
    </row>
    <row r="207" spans="16:20" s="497" customFormat="1" ht="15">
      <c r="P207" s="447"/>
      <c r="Q207" s="450">
        <v>4.49</v>
      </c>
      <c r="R207" s="450">
        <v>6.4</v>
      </c>
      <c r="S207" s="450">
        <v>0</v>
      </c>
      <c r="T207" s="450">
        <v>0.65</v>
      </c>
    </row>
    <row r="208" spans="16:20" s="497" customFormat="1" ht="15">
      <c r="P208" s="447"/>
      <c r="Q208" s="450">
        <v>4.49</v>
      </c>
      <c r="R208" s="450">
        <v>6.4</v>
      </c>
      <c r="S208" s="450">
        <v>300</v>
      </c>
      <c r="T208" s="450">
        <v>0.65</v>
      </c>
    </row>
    <row r="209" spans="16:20" s="497" customFormat="1" ht="15">
      <c r="P209" s="447"/>
      <c r="Q209" s="450">
        <v>4.49</v>
      </c>
      <c r="R209" s="450">
        <v>6.4</v>
      </c>
      <c r="S209" s="450">
        <v>300.01</v>
      </c>
      <c r="T209" s="450">
        <v>0.9</v>
      </c>
    </row>
    <row r="210" spans="16:20" s="497" customFormat="1" ht="15">
      <c r="P210" s="447"/>
      <c r="Q210" s="450">
        <v>4.49</v>
      </c>
      <c r="R210" s="450">
        <v>6.4</v>
      </c>
      <c r="S210" s="450">
        <v>600</v>
      </c>
      <c r="T210" s="450">
        <v>0.9</v>
      </c>
    </row>
    <row r="211" spans="16:20" s="497" customFormat="1" ht="15">
      <c r="P211" s="447"/>
      <c r="Q211" s="450">
        <v>4.49</v>
      </c>
      <c r="R211" s="450">
        <v>6.4</v>
      </c>
      <c r="S211" s="450">
        <v>600.01</v>
      </c>
      <c r="T211" s="450">
        <v>0.96</v>
      </c>
    </row>
    <row r="212" spans="16:20" s="497" customFormat="1" ht="15">
      <c r="P212" s="447"/>
      <c r="Q212" s="450">
        <v>4.49</v>
      </c>
      <c r="R212" s="450">
        <v>6.4</v>
      </c>
      <c r="S212" s="450">
        <v>10000</v>
      </c>
      <c r="T212" s="450">
        <v>0.96</v>
      </c>
    </row>
    <row r="213" spans="16:20" s="497" customFormat="1" ht="15">
      <c r="P213" s="447"/>
      <c r="Q213" s="450">
        <v>4.49</v>
      </c>
      <c r="R213" s="450">
        <v>100</v>
      </c>
      <c r="S213" s="450">
        <v>0</v>
      </c>
      <c r="T213" s="450">
        <v>0.65</v>
      </c>
    </row>
    <row r="214" spans="16:20" s="497" customFormat="1" ht="15">
      <c r="P214" s="447"/>
      <c r="Q214" s="450">
        <v>4.49</v>
      </c>
      <c r="R214" s="450">
        <v>100</v>
      </c>
      <c r="S214" s="450">
        <v>300</v>
      </c>
      <c r="T214" s="450">
        <v>0.65</v>
      </c>
    </row>
    <row r="215" spans="16:20" s="497" customFormat="1" ht="15">
      <c r="P215" s="447"/>
      <c r="Q215" s="450">
        <v>4.49</v>
      </c>
      <c r="R215" s="450">
        <v>100</v>
      </c>
      <c r="S215" s="450">
        <v>300.01</v>
      </c>
      <c r="T215" s="450">
        <v>0.9</v>
      </c>
    </row>
    <row r="216" spans="16:20" s="497" customFormat="1" ht="15">
      <c r="P216" s="447"/>
      <c r="Q216" s="450">
        <v>4.49</v>
      </c>
      <c r="R216" s="450">
        <v>100</v>
      </c>
      <c r="S216" s="450">
        <v>600</v>
      </c>
      <c r="T216" s="450">
        <v>0.9</v>
      </c>
    </row>
    <row r="217" spans="16:20" s="497" customFormat="1" ht="15">
      <c r="P217" s="447"/>
      <c r="Q217" s="450">
        <v>4.49</v>
      </c>
      <c r="R217" s="450">
        <v>100</v>
      </c>
      <c r="S217" s="450">
        <v>600.01</v>
      </c>
      <c r="T217" s="450">
        <v>0.96</v>
      </c>
    </row>
    <row r="218" spans="16:20" s="497" customFormat="1" ht="15">
      <c r="P218" s="447"/>
      <c r="Q218" s="450">
        <v>4.49</v>
      </c>
      <c r="R218" s="450">
        <v>100</v>
      </c>
      <c r="S218" s="450">
        <v>10000</v>
      </c>
      <c r="T218" s="450">
        <v>0.96</v>
      </c>
    </row>
    <row r="219" spans="16:20" s="497" customFormat="1" ht="15">
      <c r="P219" s="447"/>
      <c r="Q219" s="450">
        <v>4.5</v>
      </c>
      <c r="R219" s="450">
        <v>0.4</v>
      </c>
      <c r="S219" s="450">
        <v>0</v>
      </c>
      <c r="T219" s="450">
        <v>0.75</v>
      </c>
    </row>
    <row r="220" spans="16:20" s="497" customFormat="1" ht="15">
      <c r="P220" s="447"/>
      <c r="Q220" s="450">
        <v>4.5</v>
      </c>
      <c r="R220" s="450">
        <v>0.4</v>
      </c>
      <c r="S220" s="450">
        <v>300</v>
      </c>
      <c r="T220" s="450">
        <v>0.75</v>
      </c>
    </row>
    <row r="221" spans="16:20" s="497" customFormat="1" ht="15">
      <c r="P221" s="447"/>
      <c r="Q221" s="450">
        <v>4.5</v>
      </c>
      <c r="R221" s="450">
        <v>0.4</v>
      </c>
      <c r="S221" s="450">
        <v>300.01</v>
      </c>
      <c r="T221" s="450">
        <v>1</v>
      </c>
    </row>
    <row r="222" spans="16:20" s="497" customFormat="1" ht="15">
      <c r="P222" s="447"/>
      <c r="Q222" s="450">
        <v>4.5</v>
      </c>
      <c r="R222" s="450">
        <v>0.4</v>
      </c>
      <c r="S222" s="450">
        <v>600</v>
      </c>
      <c r="T222" s="450">
        <v>1</v>
      </c>
    </row>
    <row r="223" spans="16:20" s="497" customFormat="1" ht="15">
      <c r="P223" s="447"/>
      <c r="Q223" s="450">
        <v>4.5</v>
      </c>
      <c r="R223" s="450">
        <v>0.4</v>
      </c>
      <c r="S223" s="450">
        <v>600.01</v>
      </c>
      <c r="T223" s="450">
        <v>1</v>
      </c>
    </row>
    <row r="224" spans="16:20" s="497" customFormat="1" ht="15">
      <c r="P224" s="447"/>
      <c r="Q224" s="450">
        <v>4.5</v>
      </c>
      <c r="R224" s="450">
        <v>0.4</v>
      </c>
      <c r="S224" s="450">
        <v>10000</v>
      </c>
      <c r="T224" s="450">
        <v>1</v>
      </c>
    </row>
    <row r="225" spans="16:20" s="497" customFormat="1" ht="15">
      <c r="P225" s="447"/>
      <c r="Q225" s="450">
        <v>4.5</v>
      </c>
      <c r="R225" s="450">
        <v>0.8</v>
      </c>
      <c r="S225" s="450">
        <v>0</v>
      </c>
      <c r="T225" s="450">
        <v>0.65</v>
      </c>
    </row>
    <row r="226" spans="16:20" s="497" customFormat="1" ht="15">
      <c r="P226" s="447"/>
      <c r="Q226" s="450">
        <v>4.5</v>
      </c>
      <c r="R226" s="450">
        <v>0.8</v>
      </c>
      <c r="S226" s="450">
        <v>300</v>
      </c>
      <c r="T226" s="450">
        <v>0.65</v>
      </c>
    </row>
    <row r="227" spans="16:20" s="497" customFormat="1" ht="15">
      <c r="P227" s="447"/>
      <c r="Q227" s="450">
        <v>4.5</v>
      </c>
      <c r="R227" s="450">
        <v>0.8</v>
      </c>
      <c r="S227" s="450">
        <v>300.01</v>
      </c>
      <c r="T227" s="450">
        <v>0.93</v>
      </c>
    </row>
    <row r="228" spans="16:20" s="497" customFormat="1" ht="15">
      <c r="P228" s="447"/>
      <c r="Q228" s="450">
        <v>4.5</v>
      </c>
      <c r="R228" s="450">
        <v>0.8</v>
      </c>
      <c r="S228" s="450">
        <v>600</v>
      </c>
      <c r="T228" s="450">
        <v>0.93</v>
      </c>
    </row>
    <row r="229" spans="16:20" s="497" customFormat="1" ht="15">
      <c r="P229" s="447"/>
      <c r="Q229" s="450">
        <v>4.5</v>
      </c>
      <c r="R229" s="450">
        <v>0.8</v>
      </c>
      <c r="S229" s="450">
        <v>600.01</v>
      </c>
      <c r="T229" s="450">
        <v>1</v>
      </c>
    </row>
    <row r="230" spans="16:20" s="497" customFormat="1" ht="15">
      <c r="P230" s="447"/>
      <c r="Q230" s="450">
        <v>4.5</v>
      </c>
      <c r="R230" s="450">
        <v>0.8</v>
      </c>
      <c r="S230" s="450">
        <v>10000</v>
      </c>
      <c r="T230" s="450">
        <v>1</v>
      </c>
    </row>
    <row r="231" spans="16:20" s="497" customFormat="1" ht="15">
      <c r="P231" s="447"/>
      <c r="Q231" s="450">
        <v>4.5</v>
      </c>
      <c r="R231" s="450">
        <v>1.2</v>
      </c>
      <c r="S231" s="450">
        <v>0</v>
      </c>
      <c r="T231" s="450">
        <v>0.6</v>
      </c>
    </row>
    <row r="232" spans="16:20" s="497" customFormat="1" ht="15">
      <c r="P232" s="447"/>
      <c r="Q232" s="450">
        <v>4.5</v>
      </c>
      <c r="R232" s="450">
        <v>1.2</v>
      </c>
      <c r="S232" s="450">
        <v>300</v>
      </c>
      <c r="T232" s="450">
        <v>0.6</v>
      </c>
    </row>
    <row r="233" spans="16:20" s="497" customFormat="1" ht="15">
      <c r="P233" s="447"/>
      <c r="Q233" s="450">
        <v>4.5</v>
      </c>
      <c r="R233" s="450">
        <v>1.2</v>
      </c>
      <c r="S233" s="450">
        <v>300.01</v>
      </c>
      <c r="T233" s="450">
        <v>0.89</v>
      </c>
    </row>
    <row r="234" spans="16:20" s="497" customFormat="1" ht="15">
      <c r="P234" s="447"/>
      <c r="Q234" s="450">
        <v>4.5</v>
      </c>
      <c r="R234" s="450">
        <v>1.2</v>
      </c>
      <c r="S234" s="450">
        <v>600</v>
      </c>
      <c r="T234" s="450">
        <v>0.89</v>
      </c>
    </row>
    <row r="235" spans="16:20" s="497" customFormat="1" ht="15">
      <c r="P235" s="447"/>
      <c r="Q235" s="450">
        <v>4.5</v>
      </c>
      <c r="R235" s="450">
        <v>1.2</v>
      </c>
      <c r="S235" s="450">
        <v>600.01</v>
      </c>
      <c r="T235" s="450">
        <v>1</v>
      </c>
    </row>
    <row r="236" spans="16:20" s="497" customFormat="1" ht="15">
      <c r="P236" s="447"/>
      <c r="Q236" s="450">
        <v>4.5</v>
      </c>
      <c r="R236" s="450">
        <v>1.2</v>
      </c>
      <c r="S236" s="450">
        <v>10000</v>
      </c>
      <c r="T236" s="450">
        <v>1</v>
      </c>
    </row>
    <row r="237" spans="16:20" s="497" customFormat="1" ht="15">
      <c r="P237" s="447"/>
      <c r="Q237" s="450">
        <v>4.5</v>
      </c>
      <c r="R237" s="450">
        <v>1.6</v>
      </c>
      <c r="S237" s="450">
        <v>0</v>
      </c>
      <c r="T237" s="450">
        <v>0.59</v>
      </c>
    </row>
    <row r="238" spans="16:20" s="497" customFormat="1" ht="15">
      <c r="P238" s="447"/>
      <c r="Q238" s="450">
        <v>4.5</v>
      </c>
      <c r="R238" s="450">
        <v>1.6</v>
      </c>
      <c r="S238" s="450">
        <v>300</v>
      </c>
      <c r="T238" s="450">
        <v>0.59</v>
      </c>
    </row>
    <row r="239" spans="16:20" s="497" customFormat="1" ht="15">
      <c r="P239" s="447"/>
      <c r="Q239" s="450">
        <v>4.5</v>
      </c>
      <c r="R239" s="450">
        <v>1.6</v>
      </c>
      <c r="S239" s="450">
        <v>300.01</v>
      </c>
      <c r="T239" s="450">
        <v>0.89</v>
      </c>
    </row>
    <row r="240" spans="16:20" s="497" customFormat="1" ht="15">
      <c r="P240" s="447"/>
      <c r="Q240" s="450">
        <v>4.5</v>
      </c>
      <c r="R240" s="450">
        <v>1.6</v>
      </c>
      <c r="S240" s="450">
        <v>600</v>
      </c>
      <c r="T240" s="450">
        <v>0.89</v>
      </c>
    </row>
    <row r="241" spans="16:20" s="497" customFormat="1" ht="15">
      <c r="P241" s="447"/>
      <c r="Q241" s="450">
        <v>4.5</v>
      </c>
      <c r="R241" s="450">
        <v>1.6</v>
      </c>
      <c r="S241" s="450">
        <v>600.01</v>
      </c>
      <c r="T241" s="450">
        <v>1</v>
      </c>
    </row>
    <row r="242" spans="16:20" s="497" customFormat="1" ht="15">
      <c r="P242" s="447"/>
      <c r="Q242" s="450">
        <v>4.5</v>
      </c>
      <c r="R242" s="450">
        <v>1.6</v>
      </c>
      <c r="S242" s="450">
        <v>10000</v>
      </c>
      <c r="T242" s="450">
        <v>1</v>
      </c>
    </row>
    <row r="243" spans="16:20" s="497" customFormat="1" ht="15">
      <c r="P243" s="447"/>
      <c r="Q243" s="450">
        <v>4.5</v>
      </c>
      <c r="R243" s="450">
        <v>2.4</v>
      </c>
      <c r="S243" s="450">
        <v>0</v>
      </c>
      <c r="T243" s="450">
        <v>0.56999999999999995</v>
      </c>
    </row>
    <row r="244" spans="16:20" s="497" customFormat="1" ht="15">
      <c r="P244" s="447"/>
      <c r="Q244" s="450">
        <v>4.5</v>
      </c>
      <c r="R244" s="450">
        <v>2.4</v>
      </c>
      <c r="S244" s="450">
        <v>300</v>
      </c>
      <c r="T244" s="450">
        <v>0.56999999999999995</v>
      </c>
    </row>
    <row r="245" spans="16:20" s="497" customFormat="1" ht="15">
      <c r="P245" s="447"/>
      <c r="Q245" s="450">
        <v>4.5</v>
      </c>
      <c r="R245" s="450">
        <v>2.4</v>
      </c>
      <c r="S245" s="450">
        <v>300.01</v>
      </c>
      <c r="T245" s="450">
        <v>0.86</v>
      </c>
    </row>
    <row r="246" spans="16:20" s="497" customFormat="1" ht="15">
      <c r="P246" s="447"/>
      <c r="Q246" s="450">
        <v>4.5</v>
      </c>
      <c r="R246" s="450">
        <v>2.4</v>
      </c>
      <c r="S246" s="450">
        <v>600</v>
      </c>
      <c r="T246" s="450">
        <v>0.86</v>
      </c>
    </row>
    <row r="247" spans="16:20" s="497" customFormat="1" ht="15">
      <c r="P247" s="447"/>
      <c r="Q247" s="450">
        <v>4.5</v>
      </c>
      <c r="R247" s="450">
        <v>2.4</v>
      </c>
      <c r="S247" s="450">
        <v>600.01</v>
      </c>
      <c r="T247" s="450">
        <v>0.99</v>
      </c>
    </row>
    <row r="248" spans="16:20" s="497" customFormat="1" ht="15">
      <c r="P248" s="447"/>
      <c r="Q248" s="450">
        <v>4.5</v>
      </c>
      <c r="R248" s="450">
        <v>2.4</v>
      </c>
      <c r="S248" s="450">
        <v>10000</v>
      </c>
      <c r="T248" s="450">
        <v>0.99</v>
      </c>
    </row>
    <row r="249" spans="16:20" s="497" customFormat="1" ht="15">
      <c r="P249" s="447"/>
      <c r="Q249" s="450">
        <v>4.5</v>
      </c>
      <c r="R249" s="450">
        <v>3.2</v>
      </c>
      <c r="S249" s="450">
        <v>0</v>
      </c>
      <c r="T249" s="450">
        <v>0.56000000000000005</v>
      </c>
    </row>
    <row r="250" spans="16:20" s="497" customFormat="1" ht="15">
      <c r="P250" s="447"/>
      <c r="Q250" s="450">
        <v>4.5</v>
      </c>
      <c r="R250" s="450">
        <v>3.2</v>
      </c>
      <c r="S250" s="450">
        <v>300</v>
      </c>
      <c r="T250" s="450">
        <v>0.56000000000000005</v>
      </c>
    </row>
    <row r="251" spans="16:20" s="497" customFormat="1" ht="15">
      <c r="P251" s="447"/>
      <c r="Q251" s="450">
        <v>4.5</v>
      </c>
      <c r="R251" s="450">
        <v>3.2</v>
      </c>
      <c r="S251" s="450">
        <v>300.01</v>
      </c>
      <c r="T251" s="450">
        <v>0.85</v>
      </c>
    </row>
    <row r="252" spans="16:20" s="497" customFormat="1" ht="15">
      <c r="P252" s="447"/>
      <c r="Q252" s="450">
        <v>4.5</v>
      </c>
      <c r="R252" s="450">
        <v>3.2</v>
      </c>
      <c r="S252" s="450">
        <v>600</v>
      </c>
      <c r="T252" s="450">
        <v>0.85</v>
      </c>
    </row>
    <row r="253" spans="16:20" s="497" customFormat="1" ht="15">
      <c r="P253" s="447"/>
      <c r="Q253" s="450">
        <v>4.5</v>
      </c>
      <c r="R253" s="450">
        <v>3.2</v>
      </c>
      <c r="S253" s="450">
        <v>600.01</v>
      </c>
      <c r="T253" s="450">
        <v>0.98</v>
      </c>
    </row>
    <row r="254" spans="16:20" s="497" customFormat="1" ht="15">
      <c r="P254" s="447"/>
      <c r="Q254" s="450">
        <v>4.5</v>
      </c>
      <c r="R254" s="450">
        <v>3.2</v>
      </c>
      <c r="S254" s="450">
        <v>10000</v>
      </c>
      <c r="T254" s="450">
        <v>0.98</v>
      </c>
    </row>
    <row r="255" spans="16:20" s="497" customFormat="1" ht="15">
      <c r="P255" s="447"/>
      <c r="Q255" s="450">
        <v>4.5</v>
      </c>
      <c r="R255" s="450">
        <v>4.8</v>
      </c>
      <c r="S255" s="450">
        <v>0</v>
      </c>
      <c r="T255" s="450">
        <v>0.56000000000000005</v>
      </c>
    </row>
    <row r="256" spans="16:20" s="497" customFormat="1" ht="15">
      <c r="P256" s="447"/>
      <c r="Q256" s="450">
        <v>4.5</v>
      </c>
      <c r="R256" s="450">
        <v>4.8</v>
      </c>
      <c r="S256" s="450">
        <v>300</v>
      </c>
      <c r="T256" s="450">
        <v>0.56000000000000005</v>
      </c>
    </row>
    <row r="257" spans="16:20" s="497" customFormat="1" ht="15">
      <c r="P257" s="447"/>
      <c r="Q257" s="450">
        <v>4.5</v>
      </c>
      <c r="R257" s="450">
        <v>4.8</v>
      </c>
      <c r="S257" s="450">
        <v>300.01</v>
      </c>
      <c r="T257" s="450">
        <v>0.84</v>
      </c>
    </row>
    <row r="258" spans="16:20" s="497" customFormat="1" ht="15">
      <c r="P258" s="447"/>
      <c r="Q258" s="450">
        <v>4.5</v>
      </c>
      <c r="R258" s="450">
        <v>4.8</v>
      </c>
      <c r="S258" s="450">
        <v>600</v>
      </c>
      <c r="T258" s="450">
        <v>0.84</v>
      </c>
    </row>
    <row r="259" spans="16:20" s="497" customFormat="1" ht="15">
      <c r="P259" s="447"/>
      <c r="Q259" s="450">
        <v>4.5</v>
      </c>
      <c r="R259" s="450">
        <v>4.8</v>
      </c>
      <c r="S259" s="450">
        <v>600.01</v>
      </c>
      <c r="T259" s="450">
        <v>0.97</v>
      </c>
    </row>
    <row r="260" spans="16:20" s="497" customFormat="1" ht="15">
      <c r="P260" s="447"/>
      <c r="Q260" s="450">
        <v>4.5</v>
      </c>
      <c r="R260" s="450">
        <v>4.8</v>
      </c>
      <c r="S260" s="450">
        <v>10000</v>
      </c>
      <c r="T260" s="450">
        <v>0.97</v>
      </c>
    </row>
    <row r="261" spans="16:20" s="497" customFormat="1" ht="15">
      <c r="P261" s="447"/>
      <c r="Q261" s="450">
        <v>4.5</v>
      </c>
      <c r="R261" s="450">
        <v>6.4</v>
      </c>
      <c r="S261" s="450">
        <v>0</v>
      </c>
      <c r="T261" s="450">
        <v>0.55000000000000004</v>
      </c>
    </row>
    <row r="262" spans="16:20" s="497" customFormat="1" ht="15">
      <c r="P262" s="447"/>
      <c r="Q262" s="450">
        <v>4.5</v>
      </c>
      <c r="R262" s="450">
        <v>6.4</v>
      </c>
      <c r="S262" s="450">
        <v>300</v>
      </c>
      <c r="T262" s="450">
        <v>0.55000000000000004</v>
      </c>
    </row>
    <row r="263" spans="16:20" s="497" customFormat="1" ht="15">
      <c r="P263" s="447"/>
      <c r="Q263" s="450">
        <v>4.5</v>
      </c>
      <c r="R263" s="450">
        <v>6.4</v>
      </c>
      <c r="S263" s="450">
        <v>300.01</v>
      </c>
      <c r="T263" s="450">
        <v>0.82</v>
      </c>
    </row>
    <row r="264" spans="16:20" s="497" customFormat="1" ht="15">
      <c r="P264" s="447"/>
      <c r="Q264" s="450">
        <v>4.5</v>
      </c>
      <c r="R264" s="450">
        <v>6.4</v>
      </c>
      <c r="S264" s="450">
        <v>600</v>
      </c>
      <c r="T264" s="450">
        <v>0.82</v>
      </c>
    </row>
    <row r="265" spans="16:20" s="497" customFormat="1" ht="15">
      <c r="P265" s="447"/>
      <c r="Q265" s="450">
        <v>4.5</v>
      </c>
      <c r="R265" s="450">
        <v>6.4</v>
      </c>
      <c r="S265" s="450">
        <v>600.01</v>
      </c>
      <c r="T265" s="450">
        <v>0.93</v>
      </c>
    </row>
    <row r="266" spans="16:20" s="497" customFormat="1" ht="15">
      <c r="P266" s="447"/>
      <c r="Q266" s="450">
        <v>4.5</v>
      </c>
      <c r="R266" s="450">
        <v>6.4</v>
      </c>
      <c r="S266" s="450">
        <v>10000</v>
      </c>
      <c r="T266" s="450">
        <v>0.93</v>
      </c>
    </row>
    <row r="267" spans="16:20" s="497" customFormat="1" ht="15">
      <c r="P267" s="447"/>
      <c r="Q267" s="450">
        <v>4.5</v>
      </c>
      <c r="R267" s="450">
        <v>100</v>
      </c>
      <c r="S267" s="450">
        <v>0</v>
      </c>
      <c r="T267" s="450">
        <v>0.55000000000000004</v>
      </c>
    </row>
    <row r="268" spans="16:20" s="497" customFormat="1" ht="15">
      <c r="P268" s="447"/>
      <c r="Q268" s="450">
        <v>4.5</v>
      </c>
      <c r="R268" s="450">
        <v>100</v>
      </c>
      <c r="S268" s="450">
        <v>300</v>
      </c>
      <c r="T268" s="450">
        <v>0.55000000000000004</v>
      </c>
    </row>
    <row r="269" spans="16:20" s="497" customFormat="1" ht="15">
      <c r="P269" s="447"/>
      <c r="Q269" s="450">
        <v>4.5</v>
      </c>
      <c r="R269" s="450">
        <v>100</v>
      </c>
      <c r="S269" s="450">
        <v>300.01</v>
      </c>
      <c r="T269" s="450">
        <v>0.82</v>
      </c>
    </row>
    <row r="270" spans="16:20" s="497" customFormat="1" ht="15">
      <c r="P270" s="447"/>
      <c r="Q270" s="450">
        <v>4.5</v>
      </c>
      <c r="R270" s="450">
        <v>100</v>
      </c>
      <c r="S270" s="450">
        <v>600</v>
      </c>
      <c r="T270" s="450">
        <v>0.82</v>
      </c>
    </row>
    <row r="271" spans="16:20" s="497" customFormat="1" ht="15">
      <c r="P271" s="447"/>
      <c r="Q271" s="450">
        <v>4.5</v>
      </c>
      <c r="R271" s="450">
        <v>100</v>
      </c>
      <c r="S271" s="450">
        <v>600.01</v>
      </c>
      <c r="T271" s="450">
        <v>0.93</v>
      </c>
    </row>
    <row r="272" spans="16:20" s="497" customFormat="1" ht="15">
      <c r="P272" s="447"/>
      <c r="Q272" s="450">
        <v>4.5</v>
      </c>
      <c r="R272" s="450">
        <v>100</v>
      </c>
      <c r="S272" s="450">
        <v>10000</v>
      </c>
      <c r="T272" s="450">
        <v>0.93</v>
      </c>
    </row>
    <row r="273" spans="16:20" s="497" customFormat="1" ht="15">
      <c r="P273" s="447"/>
      <c r="Q273" s="450">
        <v>5.49</v>
      </c>
      <c r="R273" s="450">
        <v>0.4</v>
      </c>
      <c r="S273" s="450">
        <v>0</v>
      </c>
      <c r="T273" s="450">
        <v>0.75</v>
      </c>
    </row>
    <row r="274" spans="16:20" s="497" customFormat="1" ht="15">
      <c r="P274" s="447"/>
      <c r="Q274" s="450">
        <v>5.49</v>
      </c>
      <c r="R274" s="450">
        <v>0.4</v>
      </c>
      <c r="S274" s="450">
        <v>300</v>
      </c>
      <c r="T274" s="450">
        <v>0.75</v>
      </c>
    </row>
    <row r="275" spans="16:20" s="497" customFormat="1" ht="15">
      <c r="P275" s="447"/>
      <c r="Q275" s="450">
        <v>5.49</v>
      </c>
      <c r="R275" s="450">
        <v>0.4</v>
      </c>
      <c r="S275" s="450">
        <v>300.01</v>
      </c>
      <c r="T275" s="450">
        <v>1</v>
      </c>
    </row>
    <row r="276" spans="16:20" s="497" customFormat="1" ht="15">
      <c r="P276" s="447"/>
      <c r="Q276" s="450">
        <v>5.49</v>
      </c>
      <c r="R276" s="450">
        <v>0.4</v>
      </c>
      <c r="S276" s="450">
        <v>600</v>
      </c>
      <c r="T276" s="450">
        <v>1</v>
      </c>
    </row>
    <row r="277" spans="16:20" s="497" customFormat="1" ht="15">
      <c r="P277" s="447"/>
      <c r="Q277" s="450">
        <v>5.49</v>
      </c>
      <c r="R277" s="450">
        <v>0.4</v>
      </c>
      <c r="S277" s="450">
        <v>600.01</v>
      </c>
      <c r="T277" s="450">
        <v>1</v>
      </c>
    </row>
    <row r="278" spans="16:20" s="497" customFormat="1" ht="15">
      <c r="P278" s="447"/>
      <c r="Q278" s="498">
        <v>5.49</v>
      </c>
      <c r="R278" s="498">
        <v>0.4</v>
      </c>
      <c r="S278" s="498">
        <v>10000</v>
      </c>
      <c r="T278" s="498">
        <v>1</v>
      </c>
    </row>
    <row r="279" spans="16:20" s="497" customFormat="1" ht="15">
      <c r="P279" s="447"/>
      <c r="Q279" s="498">
        <v>5.49</v>
      </c>
      <c r="R279" s="498">
        <v>0.8</v>
      </c>
      <c r="S279" s="498">
        <v>0</v>
      </c>
      <c r="T279" s="498">
        <v>0.65</v>
      </c>
    </row>
    <row r="280" spans="16:20" s="497" customFormat="1" ht="15">
      <c r="P280" s="447"/>
      <c r="Q280" s="498">
        <v>5.49</v>
      </c>
      <c r="R280" s="498">
        <v>0.8</v>
      </c>
      <c r="S280" s="498">
        <v>300</v>
      </c>
      <c r="T280" s="498">
        <v>0.65</v>
      </c>
    </row>
    <row r="281" spans="16:20" s="497" customFormat="1" ht="15">
      <c r="P281" s="447"/>
      <c r="Q281" s="498">
        <v>5.49</v>
      </c>
      <c r="R281" s="498">
        <v>0.8</v>
      </c>
      <c r="S281" s="498">
        <v>300.01</v>
      </c>
      <c r="T281" s="498">
        <v>0.93</v>
      </c>
    </row>
    <row r="282" spans="16:20" s="497" customFormat="1" ht="15">
      <c r="P282" s="447"/>
      <c r="Q282" s="498">
        <v>5.49</v>
      </c>
      <c r="R282" s="498">
        <v>0.8</v>
      </c>
      <c r="S282" s="498">
        <v>600</v>
      </c>
      <c r="T282" s="498">
        <v>0.93</v>
      </c>
    </row>
    <row r="283" spans="16:20" s="497" customFormat="1" ht="15">
      <c r="P283" s="447"/>
      <c r="Q283" s="498">
        <v>5.49</v>
      </c>
      <c r="R283" s="498">
        <v>0.8</v>
      </c>
      <c r="S283" s="498">
        <v>600.01</v>
      </c>
      <c r="T283" s="498">
        <v>1</v>
      </c>
    </row>
    <row r="284" spans="16:20" s="497" customFormat="1" ht="15">
      <c r="P284" s="447"/>
      <c r="Q284" s="498">
        <v>5.49</v>
      </c>
      <c r="R284" s="498">
        <v>0.8</v>
      </c>
      <c r="S284" s="498">
        <v>10000</v>
      </c>
      <c r="T284" s="498">
        <v>1</v>
      </c>
    </row>
    <row r="285" spans="16:20" s="497" customFormat="1" ht="15">
      <c r="P285" s="447"/>
      <c r="Q285" s="498">
        <v>5.49</v>
      </c>
      <c r="R285" s="498">
        <v>1.2</v>
      </c>
      <c r="S285" s="498">
        <v>0</v>
      </c>
      <c r="T285" s="498">
        <v>0.6</v>
      </c>
    </row>
    <row r="286" spans="16:20" s="497" customFormat="1" ht="15">
      <c r="P286" s="447"/>
      <c r="Q286" s="498">
        <v>5.49</v>
      </c>
      <c r="R286" s="498">
        <v>1.2</v>
      </c>
      <c r="S286" s="498">
        <v>300</v>
      </c>
      <c r="T286" s="498">
        <v>0.6</v>
      </c>
    </row>
    <row r="287" spans="16:20" s="497" customFormat="1" ht="15">
      <c r="P287" s="447"/>
      <c r="Q287" s="498">
        <v>5.49</v>
      </c>
      <c r="R287" s="498">
        <v>1.2</v>
      </c>
      <c r="S287" s="498">
        <v>300.01</v>
      </c>
      <c r="T287" s="498">
        <v>0.89</v>
      </c>
    </row>
    <row r="288" spans="16:20" s="497" customFormat="1" ht="15">
      <c r="P288" s="447"/>
      <c r="Q288" s="498">
        <v>5.49</v>
      </c>
      <c r="R288" s="498">
        <v>1.2</v>
      </c>
      <c r="S288" s="498">
        <v>600</v>
      </c>
      <c r="T288" s="498">
        <v>0.89</v>
      </c>
    </row>
    <row r="289" spans="16:20" s="497" customFormat="1" ht="15">
      <c r="P289" s="447"/>
      <c r="Q289" s="498">
        <v>5.49</v>
      </c>
      <c r="R289" s="498">
        <v>1.2</v>
      </c>
      <c r="S289" s="498">
        <v>600.01</v>
      </c>
      <c r="T289" s="498">
        <v>1</v>
      </c>
    </row>
    <row r="290" spans="16:20" s="497" customFormat="1" ht="15">
      <c r="P290" s="447"/>
      <c r="Q290" s="498">
        <v>5.49</v>
      </c>
      <c r="R290" s="498">
        <v>1.2</v>
      </c>
      <c r="S290" s="498">
        <v>10000</v>
      </c>
      <c r="T290" s="498">
        <v>1</v>
      </c>
    </row>
    <row r="291" spans="16:20" s="497" customFormat="1" ht="15">
      <c r="P291" s="447"/>
      <c r="Q291" s="498">
        <v>5.49</v>
      </c>
      <c r="R291" s="498">
        <v>1.6</v>
      </c>
      <c r="S291" s="498">
        <v>0</v>
      </c>
      <c r="T291" s="498">
        <v>0.59</v>
      </c>
    </row>
    <row r="292" spans="16:20" s="497" customFormat="1" ht="15">
      <c r="P292" s="447"/>
      <c r="Q292" s="498">
        <v>5.49</v>
      </c>
      <c r="R292" s="498">
        <v>1.6</v>
      </c>
      <c r="S292" s="498">
        <v>300</v>
      </c>
      <c r="T292" s="498">
        <v>0.59</v>
      </c>
    </row>
    <row r="293" spans="16:20" s="497" customFormat="1" ht="15">
      <c r="P293" s="447"/>
      <c r="Q293" s="498">
        <v>5.49</v>
      </c>
      <c r="R293" s="498">
        <v>1.6</v>
      </c>
      <c r="S293" s="498">
        <v>300.01</v>
      </c>
      <c r="T293" s="498">
        <v>0.89</v>
      </c>
    </row>
    <row r="294" spans="16:20" s="497" customFormat="1" ht="15">
      <c r="P294" s="447"/>
      <c r="Q294" s="498">
        <v>5.49</v>
      </c>
      <c r="R294" s="498">
        <v>1.6</v>
      </c>
      <c r="S294" s="498">
        <v>600</v>
      </c>
      <c r="T294" s="498">
        <v>0.89</v>
      </c>
    </row>
    <row r="295" spans="16:20" s="497" customFormat="1" ht="15">
      <c r="P295" s="447"/>
      <c r="Q295" s="498">
        <v>5.49</v>
      </c>
      <c r="R295" s="498">
        <v>1.6</v>
      </c>
      <c r="S295" s="498">
        <v>600.01</v>
      </c>
      <c r="T295" s="498">
        <v>1</v>
      </c>
    </row>
    <row r="296" spans="16:20" s="497" customFormat="1" ht="15">
      <c r="P296" s="447"/>
      <c r="Q296" s="498">
        <v>5.49</v>
      </c>
      <c r="R296" s="498">
        <v>1.6</v>
      </c>
      <c r="S296" s="498">
        <v>10000</v>
      </c>
      <c r="T296" s="498">
        <v>1</v>
      </c>
    </row>
    <row r="297" spans="16:20" s="497" customFormat="1" ht="15">
      <c r="P297" s="447"/>
      <c r="Q297" s="498">
        <v>5.49</v>
      </c>
      <c r="R297" s="498">
        <v>2.4</v>
      </c>
      <c r="S297" s="498">
        <v>0</v>
      </c>
      <c r="T297" s="498">
        <v>0.56999999999999995</v>
      </c>
    </row>
    <row r="298" spans="16:20" s="497" customFormat="1" ht="15">
      <c r="P298" s="447"/>
      <c r="Q298" s="498">
        <v>5.49</v>
      </c>
      <c r="R298" s="498">
        <v>2.4</v>
      </c>
      <c r="S298" s="498">
        <v>300</v>
      </c>
      <c r="T298" s="498">
        <v>0.56999999999999995</v>
      </c>
    </row>
    <row r="299" spans="16:20" s="497" customFormat="1" ht="15">
      <c r="P299" s="447"/>
      <c r="Q299" s="498">
        <v>5.49</v>
      </c>
      <c r="R299" s="498">
        <v>2.4</v>
      </c>
      <c r="S299" s="498">
        <v>300.01</v>
      </c>
      <c r="T299" s="498">
        <v>0.86</v>
      </c>
    </row>
    <row r="300" spans="16:20" s="497" customFormat="1" ht="15">
      <c r="P300" s="447"/>
      <c r="Q300" s="498">
        <v>5.49</v>
      </c>
      <c r="R300" s="498">
        <v>2.4</v>
      </c>
      <c r="S300" s="498">
        <v>600</v>
      </c>
      <c r="T300" s="498">
        <v>0.86</v>
      </c>
    </row>
    <row r="301" spans="16:20" s="497" customFormat="1" ht="15">
      <c r="P301" s="447"/>
      <c r="Q301" s="498">
        <v>5.49</v>
      </c>
      <c r="R301" s="498">
        <v>2.4</v>
      </c>
      <c r="S301" s="498">
        <v>600.01</v>
      </c>
      <c r="T301" s="498">
        <v>0.99</v>
      </c>
    </row>
    <row r="302" spans="16:20" s="497" customFormat="1" ht="15">
      <c r="P302" s="447"/>
      <c r="Q302" s="498">
        <v>5.49</v>
      </c>
      <c r="R302" s="498">
        <v>2.4</v>
      </c>
      <c r="S302" s="498">
        <v>10000</v>
      </c>
      <c r="T302" s="498">
        <v>0.99</v>
      </c>
    </row>
    <row r="303" spans="16:20" s="497" customFormat="1" ht="15">
      <c r="P303" s="447"/>
      <c r="Q303" s="498">
        <v>5.49</v>
      </c>
      <c r="R303" s="498">
        <v>3.2</v>
      </c>
      <c r="S303" s="498">
        <v>0</v>
      </c>
      <c r="T303" s="498">
        <v>0.56000000000000005</v>
      </c>
    </row>
    <row r="304" spans="16:20" s="497" customFormat="1" ht="15">
      <c r="P304" s="447"/>
      <c r="Q304" s="498">
        <v>5.49</v>
      </c>
      <c r="R304" s="498">
        <v>3.2</v>
      </c>
      <c r="S304" s="498">
        <v>300</v>
      </c>
      <c r="T304" s="498">
        <v>0.56000000000000005</v>
      </c>
    </row>
    <row r="305" spans="16:20" s="497" customFormat="1" ht="15">
      <c r="P305" s="447"/>
      <c r="Q305" s="498">
        <v>5.49</v>
      </c>
      <c r="R305" s="498">
        <v>3.2</v>
      </c>
      <c r="S305" s="498">
        <v>300.01</v>
      </c>
      <c r="T305" s="498">
        <v>0.85</v>
      </c>
    </row>
    <row r="306" spans="16:20" s="497" customFormat="1" ht="15">
      <c r="P306" s="447"/>
      <c r="Q306" s="498">
        <v>5.49</v>
      </c>
      <c r="R306" s="498">
        <v>3.2</v>
      </c>
      <c r="S306" s="498">
        <v>600</v>
      </c>
      <c r="T306" s="498">
        <v>0.85</v>
      </c>
    </row>
    <row r="307" spans="16:20" s="497" customFormat="1" ht="15">
      <c r="P307" s="447"/>
      <c r="Q307" s="498">
        <v>5.49</v>
      </c>
      <c r="R307" s="498">
        <v>3.2</v>
      </c>
      <c r="S307" s="498">
        <v>600.01</v>
      </c>
      <c r="T307" s="498">
        <v>0.98</v>
      </c>
    </row>
    <row r="308" spans="16:20" s="497" customFormat="1" ht="15">
      <c r="P308" s="447"/>
      <c r="Q308" s="498">
        <v>5.49</v>
      </c>
      <c r="R308" s="498">
        <v>3.2</v>
      </c>
      <c r="S308" s="498">
        <v>10000</v>
      </c>
      <c r="T308" s="498">
        <v>0.98</v>
      </c>
    </row>
    <row r="309" spans="16:20" s="497" customFormat="1" ht="15">
      <c r="P309" s="447"/>
      <c r="Q309" s="473">
        <v>5.49</v>
      </c>
      <c r="R309" s="473">
        <v>4.8</v>
      </c>
      <c r="S309" s="473">
        <v>0</v>
      </c>
      <c r="T309" s="473">
        <v>0.56000000000000005</v>
      </c>
    </row>
    <row r="310" spans="16:20" s="497" customFormat="1" ht="15">
      <c r="P310" s="447"/>
      <c r="Q310" s="473">
        <v>5.49</v>
      </c>
      <c r="R310" s="473">
        <v>4.8</v>
      </c>
      <c r="S310" s="473">
        <v>300</v>
      </c>
      <c r="T310" s="473">
        <v>0.56000000000000005</v>
      </c>
    </row>
    <row r="311" spans="16:20" s="497" customFormat="1" ht="15">
      <c r="P311" s="447"/>
      <c r="Q311" s="473">
        <v>5.49</v>
      </c>
      <c r="R311" s="473">
        <v>4.8</v>
      </c>
      <c r="S311" s="473">
        <v>300.01</v>
      </c>
      <c r="T311" s="473">
        <v>0.84</v>
      </c>
    </row>
    <row r="312" spans="16:20" s="497" customFormat="1" ht="15">
      <c r="P312" s="447"/>
      <c r="Q312" s="473">
        <v>5.49</v>
      </c>
      <c r="R312" s="473">
        <v>4.8</v>
      </c>
      <c r="S312" s="473">
        <v>600</v>
      </c>
      <c r="T312" s="473">
        <v>0.84</v>
      </c>
    </row>
    <row r="313" spans="16:20" s="497" customFormat="1" ht="15">
      <c r="P313" s="447"/>
      <c r="Q313" s="473">
        <v>5.49</v>
      </c>
      <c r="R313" s="473">
        <v>4.8</v>
      </c>
      <c r="S313" s="473">
        <v>600.01</v>
      </c>
      <c r="T313" s="473">
        <v>0.97</v>
      </c>
    </row>
    <row r="314" spans="16:20" s="497" customFormat="1" ht="15">
      <c r="P314" s="447"/>
      <c r="Q314" s="473">
        <v>5.49</v>
      </c>
      <c r="R314" s="473">
        <v>4.8</v>
      </c>
      <c r="S314" s="473">
        <v>10000</v>
      </c>
      <c r="T314" s="473">
        <v>0.97</v>
      </c>
    </row>
    <row r="315" spans="16:20" s="497" customFormat="1" ht="15">
      <c r="P315" s="447"/>
      <c r="Q315" s="473">
        <v>5.49</v>
      </c>
      <c r="R315" s="473">
        <v>6.4</v>
      </c>
      <c r="S315" s="473">
        <v>0</v>
      </c>
      <c r="T315" s="473">
        <v>0.55000000000000004</v>
      </c>
    </row>
    <row r="316" spans="16:20" s="497" customFormat="1" ht="15">
      <c r="P316" s="447"/>
      <c r="Q316" s="473">
        <v>5.49</v>
      </c>
      <c r="R316" s="473">
        <v>6.4</v>
      </c>
      <c r="S316" s="473">
        <v>300</v>
      </c>
      <c r="T316" s="473">
        <v>0.55000000000000004</v>
      </c>
    </row>
    <row r="317" spans="16:20" s="497" customFormat="1" ht="15">
      <c r="P317" s="447"/>
      <c r="Q317" s="473">
        <v>5.49</v>
      </c>
      <c r="R317" s="473">
        <v>6.4</v>
      </c>
      <c r="S317" s="473">
        <v>300.01</v>
      </c>
      <c r="T317" s="473">
        <v>0.82</v>
      </c>
    </row>
    <row r="318" spans="16:20" s="497" customFormat="1" ht="15">
      <c r="P318" s="447"/>
      <c r="Q318" s="473">
        <v>5.49</v>
      </c>
      <c r="R318" s="473">
        <v>6.4</v>
      </c>
      <c r="S318" s="473">
        <v>600</v>
      </c>
      <c r="T318" s="473">
        <v>0.82</v>
      </c>
    </row>
    <row r="319" spans="16:20" s="497" customFormat="1" ht="15">
      <c r="P319" s="447"/>
      <c r="Q319" s="473">
        <v>5.49</v>
      </c>
      <c r="R319" s="473">
        <v>6.4</v>
      </c>
      <c r="S319" s="473">
        <v>600.01</v>
      </c>
      <c r="T319" s="473">
        <v>0.93</v>
      </c>
    </row>
    <row r="320" spans="16:20" s="497" customFormat="1" ht="15">
      <c r="P320" s="447"/>
      <c r="Q320" s="473">
        <v>5.49</v>
      </c>
      <c r="R320" s="473">
        <v>6.4</v>
      </c>
      <c r="S320" s="473">
        <v>10000</v>
      </c>
      <c r="T320" s="473">
        <v>0.93</v>
      </c>
    </row>
    <row r="321" spans="16:20" ht="15">
      <c r="P321" s="447"/>
      <c r="Q321" s="473">
        <v>5.49</v>
      </c>
      <c r="R321" s="473">
        <v>100</v>
      </c>
      <c r="S321" s="473">
        <v>0</v>
      </c>
      <c r="T321" s="473">
        <v>0.55000000000000004</v>
      </c>
    </row>
    <row r="322" spans="16:20" ht="15">
      <c r="P322" s="447"/>
      <c r="Q322" s="473">
        <v>5.49</v>
      </c>
      <c r="R322" s="473">
        <v>100</v>
      </c>
      <c r="S322" s="473">
        <v>300</v>
      </c>
      <c r="T322" s="473">
        <v>0.55000000000000004</v>
      </c>
    </row>
    <row r="323" spans="16:20" ht="15">
      <c r="P323" s="447"/>
      <c r="Q323" s="473">
        <v>5.49</v>
      </c>
      <c r="R323" s="473">
        <v>100</v>
      </c>
      <c r="S323" s="473">
        <v>300.01</v>
      </c>
      <c r="T323" s="473">
        <v>0.82</v>
      </c>
    </row>
    <row r="324" spans="16:20" ht="15">
      <c r="P324" s="447"/>
      <c r="Q324" s="473">
        <v>5.49</v>
      </c>
      <c r="R324" s="473">
        <v>100</v>
      </c>
      <c r="S324" s="473">
        <v>600</v>
      </c>
      <c r="T324" s="473">
        <v>0.82</v>
      </c>
    </row>
    <row r="325" spans="16:20" ht="15">
      <c r="P325" s="447"/>
      <c r="Q325" s="473">
        <v>5.49</v>
      </c>
      <c r="R325" s="473">
        <v>100</v>
      </c>
      <c r="S325" s="473">
        <v>600.01</v>
      </c>
      <c r="T325" s="473">
        <v>0.93</v>
      </c>
    </row>
    <row r="326" spans="16:20" ht="15">
      <c r="P326" s="447"/>
      <c r="Q326" s="473">
        <v>5.49</v>
      </c>
      <c r="R326" s="473">
        <v>100</v>
      </c>
      <c r="S326" s="473">
        <v>10000</v>
      </c>
      <c r="T326" s="473">
        <v>0.93</v>
      </c>
    </row>
    <row r="327" spans="16:20" ht="15">
      <c r="P327" s="447"/>
      <c r="Q327" s="473">
        <v>5.5</v>
      </c>
      <c r="R327" s="473">
        <v>0.4</v>
      </c>
      <c r="S327" s="473">
        <v>0</v>
      </c>
      <c r="T327" s="473">
        <v>0.63</v>
      </c>
    </row>
    <row r="328" spans="16:20" ht="15">
      <c r="P328" s="447"/>
      <c r="Q328" s="473">
        <v>5.5</v>
      </c>
      <c r="R328" s="473">
        <v>0.4</v>
      </c>
      <c r="S328" s="473">
        <v>300</v>
      </c>
      <c r="T328" s="473">
        <v>0.63</v>
      </c>
    </row>
    <row r="329" spans="16:20" ht="15">
      <c r="P329" s="447"/>
      <c r="Q329" s="473">
        <v>5.5</v>
      </c>
      <c r="R329" s="473">
        <v>0.4</v>
      </c>
      <c r="S329" s="473">
        <v>300.01</v>
      </c>
      <c r="T329" s="473">
        <v>0.91</v>
      </c>
    </row>
    <row r="330" spans="16:20" ht="15">
      <c r="P330" s="447"/>
      <c r="Q330" s="473">
        <v>5.5</v>
      </c>
      <c r="R330" s="473">
        <v>0.4</v>
      </c>
      <c r="S330" s="473">
        <v>600</v>
      </c>
      <c r="T330" s="473">
        <v>0.91</v>
      </c>
    </row>
    <row r="331" spans="16:20" ht="15">
      <c r="P331" s="447"/>
      <c r="Q331" s="473">
        <v>5.5</v>
      </c>
      <c r="R331" s="473">
        <v>0.4</v>
      </c>
      <c r="S331" s="473">
        <v>600.01</v>
      </c>
      <c r="T331" s="473">
        <v>1</v>
      </c>
    </row>
    <row r="332" spans="16:20" ht="15">
      <c r="P332" s="447"/>
      <c r="Q332" s="473">
        <v>5.5</v>
      </c>
      <c r="R332" s="473">
        <v>0.4</v>
      </c>
      <c r="S332" s="473">
        <v>10000</v>
      </c>
      <c r="T332" s="473">
        <v>1</v>
      </c>
    </row>
    <row r="333" spans="16:20" ht="15">
      <c r="P333" s="447"/>
      <c r="Q333" s="473">
        <v>5.5</v>
      </c>
      <c r="R333" s="473">
        <v>0.8</v>
      </c>
      <c r="S333" s="473">
        <v>0</v>
      </c>
      <c r="T333" s="473">
        <v>0.56999999999999995</v>
      </c>
    </row>
    <row r="334" spans="16:20" ht="15">
      <c r="P334" s="447"/>
      <c r="Q334" s="473">
        <v>5.5</v>
      </c>
      <c r="R334" s="473">
        <v>0.8</v>
      </c>
      <c r="S334" s="473">
        <v>300</v>
      </c>
      <c r="T334" s="473">
        <v>0.56999999999999995</v>
      </c>
    </row>
    <row r="335" spans="16:20" ht="15">
      <c r="P335" s="447"/>
      <c r="Q335" s="473">
        <v>5.5</v>
      </c>
      <c r="R335" s="473">
        <v>0.8</v>
      </c>
      <c r="S335" s="473">
        <v>300.01</v>
      </c>
      <c r="T335" s="473">
        <v>0.85</v>
      </c>
    </row>
    <row r="336" spans="16:20" ht="15">
      <c r="P336" s="447"/>
      <c r="Q336" s="473">
        <v>5.5</v>
      </c>
      <c r="R336" s="473">
        <v>0.8</v>
      </c>
      <c r="S336" s="473">
        <v>600</v>
      </c>
      <c r="T336" s="473">
        <v>0.85</v>
      </c>
    </row>
    <row r="337" spans="16:20" ht="15">
      <c r="P337" s="447"/>
      <c r="Q337" s="473">
        <v>5.5</v>
      </c>
      <c r="R337" s="473">
        <v>0.8</v>
      </c>
      <c r="S337" s="473">
        <v>600.01</v>
      </c>
      <c r="T337" s="473">
        <v>0.99</v>
      </c>
    </row>
    <row r="338" spans="16:20" ht="15">
      <c r="P338" s="447"/>
      <c r="Q338" s="473">
        <v>5.5</v>
      </c>
      <c r="R338" s="473">
        <v>0.8</v>
      </c>
      <c r="S338" s="473">
        <v>10000</v>
      </c>
      <c r="T338" s="473">
        <v>0.99</v>
      </c>
    </row>
    <row r="339" spans="16:20" ht="15">
      <c r="P339" s="447"/>
      <c r="Q339" s="473">
        <v>5.5</v>
      </c>
      <c r="R339" s="473">
        <v>1.2</v>
      </c>
      <c r="S339" s="473">
        <v>0</v>
      </c>
      <c r="T339" s="473">
        <v>0.52</v>
      </c>
    </row>
    <row r="340" spans="16:20" ht="15">
      <c r="P340" s="447"/>
      <c r="Q340" s="473">
        <v>5.5</v>
      </c>
      <c r="R340" s="473">
        <v>1.2</v>
      </c>
      <c r="S340" s="473">
        <v>300</v>
      </c>
      <c r="T340" s="473">
        <v>0.52</v>
      </c>
    </row>
    <row r="341" spans="16:20" ht="15">
      <c r="P341" s="447"/>
      <c r="Q341" s="473">
        <v>5.5</v>
      </c>
      <c r="R341" s="473">
        <v>1.2</v>
      </c>
      <c r="S341" s="473">
        <v>300.01</v>
      </c>
      <c r="T341" s="473">
        <v>0.83</v>
      </c>
    </row>
    <row r="342" spans="16:20" ht="15">
      <c r="P342" s="447"/>
      <c r="Q342" s="473">
        <v>5.5</v>
      </c>
      <c r="R342" s="473">
        <v>1.2</v>
      </c>
      <c r="S342" s="473">
        <v>600</v>
      </c>
      <c r="T342" s="473">
        <v>0.83</v>
      </c>
    </row>
    <row r="343" spans="16:20" ht="15">
      <c r="P343" s="447"/>
      <c r="Q343" s="473">
        <v>5.5</v>
      </c>
      <c r="R343" s="473">
        <v>1.2</v>
      </c>
      <c r="S343" s="473">
        <v>600.01</v>
      </c>
      <c r="T343" s="473">
        <v>0.97</v>
      </c>
    </row>
    <row r="344" spans="16:20" ht="15">
      <c r="P344" s="447"/>
      <c r="Q344" s="473">
        <v>5.5</v>
      </c>
      <c r="R344" s="473">
        <v>1.2</v>
      </c>
      <c r="S344" s="473">
        <v>10000</v>
      </c>
      <c r="T344" s="473">
        <v>0.97</v>
      </c>
    </row>
    <row r="345" spans="16:20" ht="15">
      <c r="P345" s="447"/>
      <c r="Q345" s="473">
        <v>5.5</v>
      </c>
      <c r="R345" s="473">
        <v>1.6</v>
      </c>
      <c r="S345" s="473">
        <v>0</v>
      </c>
      <c r="T345" s="473">
        <v>0.51</v>
      </c>
    </row>
    <row r="346" spans="16:20" ht="15">
      <c r="P346" s="447"/>
      <c r="Q346" s="473">
        <v>5.5</v>
      </c>
      <c r="R346" s="473">
        <v>1.6</v>
      </c>
      <c r="S346" s="473">
        <v>300</v>
      </c>
      <c r="T346" s="473">
        <v>0.51</v>
      </c>
    </row>
    <row r="347" spans="16:20" ht="15">
      <c r="P347" s="447"/>
      <c r="Q347" s="473">
        <v>5.5</v>
      </c>
      <c r="R347" s="473">
        <v>1.6</v>
      </c>
      <c r="S347" s="473">
        <v>300.01</v>
      </c>
      <c r="T347" s="473">
        <v>0.79</v>
      </c>
    </row>
    <row r="348" spans="16:20" ht="15">
      <c r="P348" s="447"/>
      <c r="Q348" s="473">
        <v>5.5</v>
      </c>
      <c r="R348" s="473">
        <v>1.6</v>
      </c>
      <c r="S348" s="473">
        <v>600</v>
      </c>
      <c r="T348" s="473">
        <v>0.79</v>
      </c>
    </row>
    <row r="349" spans="16:20" ht="15">
      <c r="P349" s="447"/>
      <c r="Q349" s="473">
        <v>5.5</v>
      </c>
      <c r="R349" s="473">
        <v>1.6</v>
      </c>
      <c r="S349" s="473">
        <v>600.01</v>
      </c>
      <c r="T349" s="473">
        <v>0.97</v>
      </c>
    </row>
    <row r="350" spans="16:20" ht="15">
      <c r="P350" s="447"/>
      <c r="Q350" s="473">
        <v>5.5</v>
      </c>
      <c r="R350" s="473">
        <v>1.6</v>
      </c>
      <c r="S350" s="473">
        <v>10000</v>
      </c>
      <c r="T350" s="473">
        <v>0.97</v>
      </c>
    </row>
    <row r="351" spans="16:20" ht="15">
      <c r="P351" s="447"/>
      <c r="Q351" s="473">
        <v>5.5</v>
      </c>
      <c r="R351" s="473">
        <v>2.4</v>
      </c>
      <c r="S351" s="473">
        <v>0</v>
      </c>
      <c r="T351" s="473">
        <v>0.49</v>
      </c>
    </row>
    <row r="352" spans="16:20" ht="15">
      <c r="P352" s="447"/>
      <c r="Q352" s="473">
        <v>5.5</v>
      </c>
      <c r="R352" s="473">
        <v>2.4</v>
      </c>
      <c r="S352" s="473">
        <v>300</v>
      </c>
      <c r="T352" s="473">
        <v>0.49</v>
      </c>
    </row>
    <row r="353" spans="16:20" ht="15">
      <c r="P353" s="447"/>
      <c r="Q353" s="473">
        <v>5.5</v>
      </c>
      <c r="R353" s="473">
        <v>2.4</v>
      </c>
      <c r="S353" s="473">
        <v>300.01</v>
      </c>
      <c r="T353" s="473">
        <v>0.78</v>
      </c>
    </row>
    <row r="354" spans="16:20" ht="15">
      <c r="P354" s="447"/>
      <c r="Q354" s="473">
        <v>5.5</v>
      </c>
      <c r="R354" s="473">
        <v>2.4</v>
      </c>
      <c r="S354" s="473">
        <v>600</v>
      </c>
      <c r="T354" s="473">
        <v>0.78</v>
      </c>
    </row>
    <row r="355" spans="16:20" ht="15">
      <c r="P355" s="447"/>
      <c r="Q355" s="473">
        <v>5.5</v>
      </c>
      <c r="R355" s="473">
        <v>2.4</v>
      </c>
      <c r="S355" s="473">
        <v>600.01</v>
      </c>
      <c r="T355" s="473">
        <v>0.95</v>
      </c>
    </row>
    <row r="356" spans="16:20" ht="15">
      <c r="P356" s="447"/>
      <c r="Q356" s="473">
        <v>5.5</v>
      </c>
      <c r="R356" s="473">
        <v>2.4</v>
      </c>
      <c r="S356" s="473">
        <v>10000</v>
      </c>
      <c r="T356" s="473">
        <v>0.95</v>
      </c>
    </row>
    <row r="357" spans="16:20" ht="15">
      <c r="P357" s="447"/>
      <c r="Q357" s="473">
        <v>5.5</v>
      </c>
      <c r="R357" s="473">
        <v>3.2</v>
      </c>
      <c r="S357" s="473">
        <v>0</v>
      </c>
      <c r="T357" s="473">
        <v>0.48</v>
      </c>
    </row>
    <row r="358" spans="16:20" ht="15">
      <c r="P358" s="447"/>
      <c r="Q358" s="473">
        <v>5.5</v>
      </c>
      <c r="R358" s="473">
        <v>3.2</v>
      </c>
      <c r="S358" s="473">
        <v>300</v>
      </c>
      <c r="T358" s="473">
        <v>0.48</v>
      </c>
    </row>
    <row r="359" spans="16:20" ht="15">
      <c r="P359" s="447"/>
      <c r="Q359" s="473">
        <v>5.5</v>
      </c>
      <c r="R359" s="473">
        <v>3.2</v>
      </c>
      <c r="S359" s="473">
        <v>300.01</v>
      </c>
      <c r="T359" s="473">
        <v>0.78</v>
      </c>
    </row>
    <row r="360" spans="16:20" ht="15">
      <c r="P360" s="447"/>
      <c r="Q360" s="473">
        <v>5.5</v>
      </c>
      <c r="R360" s="473">
        <v>3.2</v>
      </c>
      <c r="S360" s="473">
        <v>600</v>
      </c>
      <c r="T360" s="473">
        <v>0.78</v>
      </c>
    </row>
    <row r="361" spans="16:20" ht="15">
      <c r="P361" s="447"/>
      <c r="Q361" s="473">
        <v>5.5</v>
      </c>
      <c r="R361" s="473">
        <v>3.2</v>
      </c>
      <c r="S361" s="473">
        <v>600.01</v>
      </c>
      <c r="T361" s="473">
        <v>0.94</v>
      </c>
    </row>
    <row r="362" spans="16:20" ht="15">
      <c r="P362" s="447"/>
      <c r="Q362" s="473">
        <v>5.5</v>
      </c>
      <c r="R362" s="473">
        <v>3.2</v>
      </c>
      <c r="S362" s="473">
        <v>10000</v>
      </c>
      <c r="T362" s="473">
        <v>0.94</v>
      </c>
    </row>
    <row r="363" spans="16:20" ht="15">
      <c r="P363" s="447"/>
      <c r="Q363" s="473">
        <v>5.5</v>
      </c>
      <c r="R363" s="473">
        <v>4.8</v>
      </c>
      <c r="S363" s="473">
        <v>0</v>
      </c>
      <c r="T363" s="473">
        <v>0.46</v>
      </c>
    </row>
    <row r="364" spans="16:20" ht="15">
      <c r="P364" s="447"/>
      <c r="Q364" s="473">
        <v>5.5</v>
      </c>
      <c r="R364" s="473">
        <v>4.8</v>
      </c>
      <c r="S364" s="473">
        <v>300</v>
      </c>
      <c r="T364" s="473">
        <v>0.46</v>
      </c>
    </row>
    <row r="365" spans="16:20" ht="15">
      <c r="P365" s="447"/>
      <c r="Q365" s="473">
        <v>5.5</v>
      </c>
      <c r="R365" s="473">
        <v>4.8</v>
      </c>
      <c r="S365" s="473">
        <v>300.01</v>
      </c>
      <c r="T365" s="473">
        <v>0.76</v>
      </c>
    </row>
    <row r="366" spans="16:20" ht="15">
      <c r="P366" s="447"/>
      <c r="Q366" s="473">
        <v>5.5</v>
      </c>
      <c r="R366" s="473">
        <v>4.8</v>
      </c>
      <c r="S366" s="473">
        <v>600</v>
      </c>
      <c r="T366" s="473">
        <v>0.76</v>
      </c>
    </row>
    <row r="367" spans="16:20" ht="15">
      <c r="P367" s="447"/>
      <c r="Q367" s="473">
        <v>5.5</v>
      </c>
      <c r="R367" s="473">
        <v>4.8</v>
      </c>
      <c r="S367" s="473">
        <v>600.01</v>
      </c>
      <c r="T367" s="473">
        <v>0.93</v>
      </c>
    </row>
    <row r="368" spans="16:20" ht="15">
      <c r="P368" s="447"/>
      <c r="Q368" s="473">
        <v>5.5</v>
      </c>
      <c r="R368" s="473">
        <v>4.8</v>
      </c>
      <c r="S368" s="473">
        <v>10000</v>
      </c>
      <c r="T368" s="473">
        <v>0.93</v>
      </c>
    </row>
    <row r="369" spans="16:20" ht="15">
      <c r="P369" s="447"/>
      <c r="Q369" s="473">
        <v>5.5</v>
      </c>
      <c r="R369" s="473">
        <v>6.4</v>
      </c>
      <c r="S369" s="473">
        <v>0</v>
      </c>
      <c r="T369" s="473">
        <v>0.46</v>
      </c>
    </row>
    <row r="370" spans="16:20" ht="15">
      <c r="P370" s="447"/>
      <c r="Q370" s="473">
        <v>5.5</v>
      </c>
      <c r="R370" s="473">
        <v>6.4</v>
      </c>
      <c r="S370" s="473">
        <v>300</v>
      </c>
      <c r="T370" s="473">
        <v>0.46</v>
      </c>
    </row>
    <row r="371" spans="16:20" ht="15">
      <c r="P371" s="447"/>
      <c r="Q371" s="473">
        <v>5.5</v>
      </c>
      <c r="R371" s="473">
        <v>6.4</v>
      </c>
      <c r="S371" s="473">
        <v>300.01</v>
      </c>
      <c r="T371" s="473">
        <v>0.76</v>
      </c>
    </row>
    <row r="372" spans="16:20" ht="15">
      <c r="P372" s="447"/>
      <c r="Q372" s="473">
        <v>5.5</v>
      </c>
      <c r="R372" s="473">
        <v>6.4</v>
      </c>
      <c r="S372" s="473">
        <v>600</v>
      </c>
      <c r="T372" s="473">
        <v>0.76</v>
      </c>
    </row>
    <row r="373" spans="16:20" ht="15">
      <c r="P373" s="447"/>
      <c r="Q373" s="473">
        <v>5.5</v>
      </c>
      <c r="R373" s="473">
        <v>6.4</v>
      </c>
      <c r="S373" s="473">
        <v>600.01</v>
      </c>
      <c r="T373" s="473">
        <v>0.93</v>
      </c>
    </row>
    <row r="374" spans="16:20" ht="15">
      <c r="P374" s="447"/>
      <c r="Q374" s="473">
        <v>5.5</v>
      </c>
      <c r="R374" s="473">
        <v>6.4</v>
      </c>
      <c r="S374" s="473">
        <v>10000</v>
      </c>
      <c r="T374" s="473">
        <v>0.93</v>
      </c>
    </row>
    <row r="375" spans="16:20" ht="15">
      <c r="P375" s="447"/>
      <c r="Q375" s="473">
        <v>5.5</v>
      </c>
      <c r="R375" s="473">
        <v>100</v>
      </c>
      <c r="S375" s="473">
        <v>0</v>
      </c>
      <c r="T375" s="473">
        <v>0.46</v>
      </c>
    </row>
    <row r="376" spans="16:20" ht="15">
      <c r="P376" s="447"/>
      <c r="Q376" s="473">
        <v>5.5</v>
      </c>
      <c r="R376" s="473">
        <v>100</v>
      </c>
      <c r="S376" s="473">
        <v>300</v>
      </c>
      <c r="T376" s="473">
        <v>0.46</v>
      </c>
    </row>
    <row r="377" spans="16:20" ht="15">
      <c r="P377" s="447"/>
      <c r="Q377" s="473">
        <v>5.5</v>
      </c>
      <c r="R377" s="473">
        <v>100</v>
      </c>
      <c r="S377" s="473">
        <v>300.01</v>
      </c>
      <c r="T377" s="473">
        <v>0.76</v>
      </c>
    </row>
    <row r="378" spans="16:20" ht="15">
      <c r="P378" s="447"/>
      <c r="Q378" s="473">
        <v>5.5</v>
      </c>
      <c r="R378" s="473">
        <v>100</v>
      </c>
      <c r="S378" s="473">
        <v>600</v>
      </c>
      <c r="T378" s="473">
        <v>0.76</v>
      </c>
    </row>
    <row r="379" spans="16:20" ht="15">
      <c r="P379" s="447"/>
      <c r="Q379" s="473">
        <v>5.5</v>
      </c>
      <c r="R379" s="473">
        <v>100</v>
      </c>
      <c r="S379" s="473">
        <v>600.01</v>
      </c>
      <c r="T379" s="473">
        <v>0.93</v>
      </c>
    </row>
    <row r="380" spans="16:20" ht="15">
      <c r="P380" s="447"/>
      <c r="Q380" s="473">
        <v>5.5</v>
      </c>
      <c r="R380" s="473">
        <v>100</v>
      </c>
      <c r="S380" s="473">
        <v>10000</v>
      </c>
      <c r="T380" s="473">
        <v>0.93</v>
      </c>
    </row>
    <row r="381" spans="16:20" ht="15">
      <c r="P381" s="447"/>
      <c r="Q381" s="473">
        <v>6.49</v>
      </c>
      <c r="R381" s="473">
        <v>0.4</v>
      </c>
      <c r="S381" s="473">
        <v>0</v>
      </c>
      <c r="T381" s="473">
        <v>0.63</v>
      </c>
    </row>
    <row r="382" spans="16:20" ht="15">
      <c r="P382" s="447"/>
      <c r="Q382" s="473">
        <v>6.49</v>
      </c>
      <c r="R382" s="473">
        <v>0.4</v>
      </c>
      <c r="S382" s="473">
        <v>300</v>
      </c>
      <c r="T382" s="473">
        <v>0.63</v>
      </c>
    </row>
    <row r="383" spans="16:20" ht="15">
      <c r="P383" s="447"/>
      <c r="Q383" s="473">
        <v>6.49</v>
      </c>
      <c r="R383" s="473">
        <v>0.4</v>
      </c>
      <c r="S383" s="473">
        <v>300.01</v>
      </c>
      <c r="T383" s="473">
        <v>0.91</v>
      </c>
    </row>
    <row r="384" spans="16:20" ht="15">
      <c r="P384" s="447"/>
      <c r="Q384" s="473">
        <v>6.49</v>
      </c>
      <c r="R384" s="473">
        <v>0.4</v>
      </c>
      <c r="S384" s="473">
        <v>600</v>
      </c>
      <c r="T384" s="473">
        <v>0.91</v>
      </c>
    </row>
    <row r="385" spans="16:20" ht="15">
      <c r="P385" s="447"/>
      <c r="Q385" s="473">
        <v>6.49</v>
      </c>
      <c r="R385" s="473">
        <v>0.4</v>
      </c>
      <c r="S385" s="473">
        <v>600.01</v>
      </c>
      <c r="T385" s="473">
        <v>1</v>
      </c>
    </row>
    <row r="386" spans="16:20" ht="15">
      <c r="P386" s="447"/>
      <c r="Q386" s="473">
        <v>6.49</v>
      </c>
      <c r="R386" s="473">
        <v>0.4</v>
      </c>
      <c r="S386" s="473">
        <v>10000</v>
      </c>
      <c r="T386" s="473">
        <v>1</v>
      </c>
    </row>
    <row r="387" spans="16:20" ht="15">
      <c r="P387" s="447"/>
      <c r="Q387" s="473">
        <v>6.49</v>
      </c>
      <c r="R387" s="473">
        <v>0.8</v>
      </c>
      <c r="S387" s="473">
        <v>0</v>
      </c>
      <c r="T387" s="473">
        <v>0.56999999999999995</v>
      </c>
    </row>
    <row r="388" spans="16:20" ht="15">
      <c r="P388" s="447"/>
      <c r="Q388" s="473">
        <v>6.49</v>
      </c>
      <c r="R388" s="473">
        <v>0.8</v>
      </c>
      <c r="S388" s="473">
        <v>300</v>
      </c>
      <c r="T388" s="473">
        <v>0.56999999999999995</v>
      </c>
    </row>
    <row r="389" spans="16:20" ht="15">
      <c r="P389" s="447"/>
      <c r="Q389" s="473">
        <v>6.49</v>
      </c>
      <c r="R389" s="473">
        <v>0.8</v>
      </c>
      <c r="S389" s="473">
        <v>300.01</v>
      </c>
      <c r="T389" s="473">
        <v>0.85</v>
      </c>
    </row>
    <row r="390" spans="16:20" ht="15">
      <c r="P390" s="447"/>
      <c r="Q390" s="473">
        <v>6.49</v>
      </c>
      <c r="R390" s="473">
        <v>0.8</v>
      </c>
      <c r="S390" s="473">
        <v>600</v>
      </c>
      <c r="T390" s="473">
        <v>0.85</v>
      </c>
    </row>
    <row r="391" spans="16:20" ht="15">
      <c r="P391" s="447"/>
      <c r="Q391" s="473">
        <v>6.49</v>
      </c>
      <c r="R391" s="473">
        <v>0.8</v>
      </c>
      <c r="S391" s="473">
        <v>600.01</v>
      </c>
      <c r="T391" s="473">
        <v>0.99</v>
      </c>
    </row>
    <row r="392" spans="16:20" ht="15">
      <c r="P392" s="447"/>
      <c r="Q392" s="473">
        <v>6.49</v>
      </c>
      <c r="R392" s="473">
        <v>0.8</v>
      </c>
      <c r="S392" s="473">
        <v>10000</v>
      </c>
      <c r="T392" s="473">
        <v>0.99</v>
      </c>
    </row>
    <row r="393" spans="16:20" ht="15">
      <c r="P393" s="447"/>
      <c r="Q393" s="473">
        <v>6.49</v>
      </c>
      <c r="R393" s="473">
        <v>1.2</v>
      </c>
      <c r="S393" s="473">
        <v>0</v>
      </c>
      <c r="T393" s="473">
        <v>0.52</v>
      </c>
    </row>
    <row r="394" spans="16:20" ht="15">
      <c r="P394" s="447"/>
      <c r="Q394" s="473">
        <v>6.49</v>
      </c>
      <c r="R394" s="473">
        <v>1.2</v>
      </c>
      <c r="S394" s="473">
        <v>300</v>
      </c>
      <c r="T394" s="473">
        <v>0.52</v>
      </c>
    </row>
    <row r="395" spans="16:20" ht="15">
      <c r="P395" s="447"/>
      <c r="Q395" s="473">
        <v>6.49</v>
      </c>
      <c r="R395" s="473">
        <v>1.2</v>
      </c>
      <c r="S395" s="473">
        <v>300.01</v>
      </c>
      <c r="T395" s="473">
        <v>0.83</v>
      </c>
    </row>
    <row r="396" spans="16:20" ht="15">
      <c r="P396" s="447"/>
      <c r="Q396" s="473">
        <v>6.49</v>
      </c>
      <c r="R396" s="473">
        <v>1.2</v>
      </c>
      <c r="S396" s="473">
        <v>600</v>
      </c>
      <c r="T396" s="473">
        <v>0.83</v>
      </c>
    </row>
    <row r="397" spans="16:20" ht="15">
      <c r="P397" s="447"/>
      <c r="Q397" s="473">
        <v>6.49</v>
      </c>
      <c r="R397" s="473">
        <v>1.2</v>
      </c>
      <c r="S397" s="473">
        <v>600.01</v>
      </c>
      <c r="T397" s="473">
        <v>0.97</v>
      </c>
    </row>
    <row r="398" spans="16:20" ht="15">
      <c r="P398" s="447"/>
      <c r="Q398" s="473">
        <v>6.49</v>
      </c>
      <c r="R398" s="473">
        <v>1.2</v>
      </c>
      <c r="S398" s="473">
        <v>10000</v>
      </c>
      <c r="T398" s="473">
        <v>0.97</v>
      </c>
    </row>
    <row r="399" spans="16:20" ht="15">
      <c r="P399" s="447"/>
      <c r="Q399" s="473">
        <v>6.49</v>
      </c>
      <c r="R399" s="473">
        <v>1.6</v>
      </c>
      <c r="S399" s="473">
        <v>0</v>
      </c>
      <c r="T399" s="473">
        <v>0.51</v>
      </c>
    </row>
    <row r="400" spans="16:20" ht="15">
      <c r="P400" s="447"/>
      <c r="Q400" s="473">
        <v>6.49</v>
      </c>
      <c r="R400" s="473">
        <v>1.6</v>
      </c>
      <c r="S400" s="473">
        <v>300</v>
      </c>
      <c r="T400" s="473">
        <v>0.51</v>
      </c>
    </row>
    <row r="401" spans="16:20" ht="15">
      <c r="P401" s="447"/>
      <c r="Q401" s="473">
        <v>6.49</v>
      </c>
      <c r="R401" s="473">
        <v>1.6</v>
      </c>
      <c r="S401" s="473">
        <v>300.01</v>
      </c>
      <c r="T401" s="473">
        <v>0.79</v>
      </c>
    </row>
    <row r="402" spans="16:20" ht="15">
      <c r="P402" s="447"/>
      <c r="Q402" s="473">
        <v>6.49</v>
      </c>
      <c r="R402" s="473">
        <v>1.6</v>
      </c>
      <c r="S402" s="473">
        <v>600</v>
      </c>
      <c r="T402" s="473">
        <v>0.79</v>
      </c>
    </row>
    <row r="403" spans="16:20" ht="15">
      <c r="P403" s="447"/>
      <c r="Q403" s="473">
        <v>6.49</v>
      </c>
      <c r="R403" s="473">
        <v>1.6</v>
      </c>
      <c r="S403" s="473">
        <v>600.01</v>
      </c>
      <c r="T403" s="473">
        <v>0.97</v>
      </c>
    </row>
    <row r="404" spans="16:20" ht="15">
      <c r="P404" s="447"/>
      <c r="Q404" s="473">
        <v>6.49</v>
      </c>
      <c r="R404" s="473">
        <v>1.6</v>
      </c>
      <c r="S404" s="473">
        <v>10000</v>
      </c>
      <c r="T404" s="473">
        <v>0.97</v>
      </c>
    </row>
    <row r="405" spans="16:20" ht="15">
      <c r="P405" s="447"/>
      <c r="Q405" s="473">
        <v>6.49</v>
      </c>
      <c r="R405" s="473">
        <v>2.4</v>
      </c>
      <c r="S405" s="473">
        <v>0</v>
      </c>
      <c r="T405" s="473">
        <v>0.49</v>
      </c>
    </row>
    <row r="406" spans="16:20" ht="15">
      <c r="P406" s="447"/>
      <c r="Q406" s="473">
        <v>6.49</v>
      </c>
      <c r="R406" s="473">
        <v>2.4</v>
      </c>
      <c r="S406" s="473">
        <v>300</v>
      </c>
      <c r="T406" s="473">
        <v>0.49</v>
      </c>
    </row>
    <row r="407" spans="16:20" ht="15">
      <c r="P407" s="447"/>
      <c r="Q407" s="473">
        <v>6.49</v>
      </c>
      <c r="R407" s="473">
        <v>2.4</v>
      </c>
      <c r="S407" s="473">
        <v>300.01</v>
      </c>
      <c r="T407" s="473">
        <v>0.78</v>
      </c>
    </row>
    <row r="408" spans="16:20" ht="15">
      <c r="P408" s="447"/>
      <c r="Q408" s="473">
        <v>6.49</v>
      </c>
      <c r="R408" s="473">
        <v>2.4</v>
      </c>
      <c r="S408" s="473">
        <v>600</v>
      </c>
      <c r="T408" s="473">
        <v>0.78</v>
      </c>
    </row>
    <row r="409" spans="16:20" ht="15">
      <c r="P409" s="447"/>
      <c r="Q409" s="473">
        <v>6.49</v>
      </c>
      <c r="R409" s="473">
        <v>2.4</v>
      </c>
      <c r="S409" s="473">
        <v>600.01</v>
      </c>
      <c r="T409" s="473">
        <v>0.95</v>
      </c>
    </row>
    <row r="410" spans="16:20" ht="15">
      <c r="P410" s="447"/>
      <c r="Q410" s="473">
        <v>6.49</v>
      </c>
      <c r="R410" s="473">
        <v>2.4</v>
      </c>
      <c r="S410" s="473">
        <v>10000</v>
      </c>
      <c r="T410" s="473">
        <v>0.95</v>
      </c>
    </row>
    <row r="411" spans="16:20" ht="15">
      <c r="P411" s="447"/>
      <c r="Q411" s="473">
        <v>6.49</v>
      </c>
      <c r="R411" s="473">
        <v>3.2</v>
      </c>
      <c r="S411" s="473">
        <v>0</v>
      </c>
      <c r="T411" s="473">
        <v>0.48</v>
      </c>
    </row>
    <row r="412" spans="16:20" ht="15">
      <c r="P412" s="447"/>
      <c r="Q412" s="473">
        <v>6.49</v>
      </c>
      <c r="R412" s="473">
        <v>3.2</v>
      </c>
      <c r="S412" s="473">
        <v>300</v>
      </c>
      <c r="T412" s="473">
        <v>0.48</v>
      </c>
    </row>
    <row r="413" spans="16:20" ht="15">
      <c r="P413" s="447"/>
      <c r="Q413" s="473">
        <v>6.49</v>
      </c>
      <c r="R413" s="473">
        <v>3.2</v>
      </c>
      <c r="S413" s="473">
        <v>300.01</v>
      </c>
      <c r="T413" s="473">
        <v>0.78</v>
      </c>
    </row>
    <row r="414" spans="16:20" ht="15">
      <c r="P414" s="447"/>
      <c r="Q414" s="473">
        <v>6.49</v>
      </c>
      <c r="R414" s="473">
        <v>3.2</v>
      </c>
      <c r="S414" s="473">
        <v>600</v>
      </c>
      <c r="T414" s="473">
        <v>0.78</v>
      </c>
    </row>
    <row r="415" spans="16:20" ht="15">
      <c r="P415" s="447"/>
      <c r="Q415" s="473">
        <v>6.49</v>
      </c>
      <c r="R415" s="473">
        <v>3.2</v>
      </c>
      <c r="S415" s="473">
        <v>600.01</v>
      </c>
      <c r="T415" s="473">
        <v>0.94</v>
      </c>
    </row>
    <row r="416" spans="16:20" ht="15">
      <c r="P416" s="447"/>
      <c r="Q416" s="473">
        <v>6.49</v>
      </c>
      <c r="R416" s="473">
        <v>3.2</v>
      </c>
      <c r="S416" s="473">
        <v>10000</v>
      </c>
      <c r="T416" s="473">
        <v>0.94</v>
      </c>
    </row>
    <row r="417" spans="16:20" ht="15">
      <c r="P417" s="447"/>
      <c r="Q417" s="473">
        <v>6.49</v>
      </c>
      <c r="R417" s="473">
        <v>4.8</v>
      </c>
      <c r="S417" s="473">
        <v>0</v>
      </c>
      <c r="T417" s="473">
        <v>0.46</v>
      </c>
    </row>
    <row r="418" spans="16:20" ht="15">
      <c r="P418" s="447"/>
      <c r="Q418" s="473">
        <v>6.49</v>
      </c>
      <c r="R418" s="473">
        <v>4.8</v>
      </c>
      <c r="S418" s="473">
        <v>300</v>
      </c>
      <c r="T418" s="473">
        <v>0.46</v>
      </c>
    </row>
    <row r="419" spans="16:20" ht="15">
      <c r="P419" s="447"/>
      <c r="Q419" s="473">
        <v>6.49</v>
      </c>
      <c r="R419" s="473">
        <v>4.8</v>
      </c>
      <c r="S419" s="473">
        <v>300.01</v>
      </c>
      <c r="T419" s="473">
        <v>0.76</v>
      </c>
    </row>
    <row r="420" spans="16:20" ht="15">
      <c r="P420" s="447"/>
      <c r="Q420" s="473">
        <v>6.49</v>
      </c>
      <c r="R420" s="473">
        <v>4.8</v>
      </c>
      <c r="S420" s="473">
        <v>600</v>
      </c>
      <c r="T420" s="473">
        <v>0.76</v>
      </c>
    </row>
    <row r="421" spans="16:20" ht="15">
      <c r="P421" s="447"/>
      <c r="Q421" s="473">
        <v>6.49</v>
      </c>
      <c r="R421" s="473">
        <v>4.8</v>
      </c>
      <c r="S421" s="473">
        <v>600.01</v>
      </c>
      <c r="T421" s="473">
        <v>0.93</v>
      </c>
    </row>
    <row r="422" spans="16:20" ht="15">
      <c r="P422" s="447"/>
      <c r="Q422" s="473">
        <v>6.49</v>
      </c>
      <c r="R422" s="473">
        <v>4.8</v>
      </c>
      <c r="S422" s="473">
        <v>10000</v>
      </c>
      <c r="T422" s="473">
        <v>0.93</v>
      </c>
    </row>
    <row r="423" spans="16:20" ht="15">
      <c r="P423" s="447"/>
      <c r="Q423" s="473">
        <v>6.49</v>
      </c>
      <c r="R423" s="473">
        <v>6.4</v>
      </c>
      <c r="S423" s="473">
        <v>0</v>
      </c>
      <c r="T423" s="473">
        <v>0.46</v>
      </c>
    </row>
    <row r="424" spans="16:20" ht="15">
      <c r="P424" s="447"/>
      <c r="Q424" s="473">
        <v>6.49</v>
      </c>
      <c r="R424" s="473">
        <v>6.4</v>
      </c>
      <c r="S424" s="473">
        <v>300</v>
      </c>
      <c r="T424" s="473">
        <v>0.46</v>
      </c>
    </row>
    <row r="425" spans="16:20" ht="15">
      <c r="P425" s="447"/>
      <c r="Q425" s="473">
        <v>6.49</v>
      </c>
      <c r="R425" s="473">
        <v>6.4</v>
      </c>
      <c r="S425" s="473">
        <v>300.01</v>
      </c>
      <c r="T425" s="473">
        <v>0.76</v>
      </c>
    </row>
    <row r="426" spans="16:20" ht="15">
      <c r="P426" s="447"/>
      <c r="Q426" s="473">
        <v>6.49</v>
      </c>
      <c r="R426" s="473">
        <v>6.4</v>
      </c>
      <c r="S426" s="473">
        <v>600</v>
      </c>
      <c r="T426" s="473">
        <v>0.76</v>
      </c>
    </row>
    <row r="427" spans="16:20" ht="15">
      <c r="P427" s="447"/>
      <c r="Q427" s="473">
        <v>6.49</v>
      </c>
      <c r="R427" s="473">
        <v>6.4</v>
      </c>
      <c r="S427" s="473">
        <v>600.01</v>
      </c>
      <c r="T427" s="473">
        <v>0.93</v>
      </c>
    </row>
    <row r="428" spans="16:20" ht="15">
      <c r="P428" s="447"/>
      <c r="Q428" s="473">
        <v>6.49</v>
      </c>
      <c r="R428" s="473">
        <v>6.4</v>
      </c>
      <c r="S428" s="473">
        <v>10000</v>
      </c>
      <c r="T428" s="473">
        <v>0.93</v>
      </c>
    </row>
    <row r="429" spans="16:20" ht="15">
      <c r="P429" s="447"/>
      <c r="Q429" s="473">
        <v>6.49</v>
      </c>
      <c r="R429" s="473">
        <v>100</v>
      </c>
      <c r="S429" s="473">
        <v>0</v>
      </c>
      <c r="T429" s="473">
        <v>0.46</v>
      </c>
    </row>
    <row r="430" spans="16:20" ht="15">
      <c r="P430" s="447"/>
      <c r="Q430" s="473">
        <v>6.49</v>
      </c>
      <c r="R430" s="473">
        <v>100</v>
      </c>
      <c r="S430" s="473">
        <v>300</v>
      </c>
      <c r="T430" s="473">
        <v>0.46</v>
      </c>
    </row>
    <row r="431" spans="16:20" ht="15">
      <c r="P431" s="447"/>
      <c r="Q431" s="473">
        <v>6.49</v>
      </c>
      <c r="R431" s="473">
        <v>100</v>
      </c>
      <c r="S431" s="473">
        <v>300.01</v>
      </c>
      <c r="T431" s="473">
        <v>0.76</v>
      </c>
    </row>
    <row r="432" spans="16:20" ht="15">
      <c r="P432" s="447"/>
      <c r="Q432" s="473">
        <v>6.49</v>
      </c>
      <c r="R432" s="473">
        <v>100</v>
      </c>
      <c r="S432" s="473">
        <v>600</v>
      </c>
      <c r="T432" s="473">
        <v>0.76</v>
      </c>
    </row>
    <row r="433" spans="16:20" ht="15">
      <c r="P433" s="447"/>
      <c r="Q433" s="473">
        <v>6.49</v>
      </c>
      <c r="R433" s="473">
        <v>100</v>
      </c>
      <c r="S433" s="473">
        <v>600.01</v>
      </c>
      <c r="T433" s="473">
        <v>0.93</v>
      </c>
    </row>
    <row r="434" spans="16:20" ht="15">
      <c r="P434" s="447"/>
      <c r="Q434" s="473">
        <v>6.49</v>
      </c>
      <c r="R434" s="473">
        <v>100</v>
      </c>
      <c r="S434" s="473">
        <v>10000</v>
      </c>
      <c r="T434" s="473">
        <v>0.93</v>
      </c>
    </row>
    <row r="435" spans="16:20" ht="15">
      <c r="P435" s="447"/>
      <c r="Q435" s="473">
        <v>6.5</v>
      </c>
      <c r="R435" s="473">
        <v>0.4</v>
      </c>
      <c r="S435" s="473">
        <v>0</v>
      </c>
      <c r="T435" s="473">
        <v>0.59</v>
      </c>
    </row>
    <row r="436" spans="16:20" ht="15">
      <c r="P436" s="447"/>
      <c r="Q436" s="473">
        <v>6.5</v>
      </c>
      <c r="R436" s="473">
        <v>0.4</v>
      </c>
      <c r="S436" s="473">
        <v>300</v>
      </c>
      <c r="T436" s="473">
        <v>0.59</v>
      </c>
    </row>
    <row r="437" spans="16:20" ht="15">
      <c r="P437" s="447"/>
      <c r="Q437" s="473">
        <v>6.5</v>
      </c>
      <c r="R437" s="473">
        <v>0.4</v>
      </c>
      <c r="S437" s="473">
        <v>300.01</v>
      </c>
      <c r="T437" s="473">
        <v>0.86</v>
      </c>
    </row>
    <row r="438" spans="16:20" ht="15">
      <c r="P438" s="447"/>
      <c r="Q438" s="473">
        <v>6.5</v>
      </c>
      <c r="R438" s="473">
        <v>0.4</v>
      </c>
      <c r="S438" s="473">
        <v>600</v>
      </c>
      <c r="T438" s="473">
        <v>0.86</v>
      </c>
    </row>
    <row r="439" spans="16:20" ht="15">
      <c r="P439" s="447"/>
      <c r="Q439" s="473">
        <v>6.5</v>
      </c>
      <c r="R439" s="473">
        <v>0.4</v>
      </c>
      <c r="S439" s="473">
        <v>600.01</v>
      </c>
      <c r="T439" s="473">
        <v>0.98</v>
      </c>
    </row>
    <row r="440" spans="16:20" ht="15">
      <c r="P440" s="447"/>
      <c r="Q440" s="473">
        <v>6.5</v>
      </c>
      <c r="R440" s="473">
        <v>0.4</v>
      </c>
      <c r="S440" s="473">
        <v>10000</v>
      </c>
      <c r="T440" s="473">
        <v>0.98</v>
      </c>
    </row>
    <row r="441" spans="16:20" ht="15">
      <c r="P441" s="447"/>
      <c r="Q441" s="473">
        <v>6.5</v>
      </c>
      <c r="R441" s="473">
        <v>0.8</v>
      </c>
      <c r="S441" s="473">
        <v>0</v>
      </c>
      <c r="T441" s="473">
        <v>0.48</v>
      </c>
    </row>
    <row r="442" spans="16:20" ht="15">
      <c r="P442" s="447"/>
      <c r="Q442" s="473">
        <v>6.5</v>
      </c>
      <c r="R442" s="473">
        <v>0.8</v>
      </c>
      <c r="S442" s="473">
        <v>300</v>
      </c>
      <c r="T442" s="473">
        <v>0.48</v>
      </c>
    </row>
    <row r="443" spans="16:20" ht="15">
      <c r="P443" s="447"/>
      <c r="Q443" s="473">
        <v>6.5</v>
      </c>
      <c r="R443" s="473">
        <v>0.8</v>
      </c>
      <c r="S443" s="473">
        <v>300.01</v>
      </c>
      <c r="T443" s="473">
        <v>0.76</v>
      </c>
    </row>
    <row r="444" spans="16:20" ht="15">
      <c r="P444" s="447"/>
      <c r="Q444" s="473">
        <v>6.5</v>
      </c>
      <c r="R444" s="473">
        <v>0.8</v>
      </c>
      <c r="S444" s="473">
        <v>600</v>
      </c>
      <c r="T444" s="473">
        <v>0.76</v>
      </c>
    </row>
    <row r="445" spans="16:20" ht="15">
      <c r="P445" s="447"/>
      <c r="Q445" s="473">
        <v>6.5</v>
      </c>
      <c r="R445" s="473">
        <v>0.8</v>
      </c>
      <c r="S445" s="473">
        <v>600.01</v>
      </c>
      <c r="T445" s="473">
        <v>0.94</v>
      </c>
    </row>
    <row r="446" spans="16:20" ht="15">
      <c r="P446" s="447"/>
      <c r="Q446" s="473">
        <v>6.5</v>
      </c>
      <c r="R446" s="473">
        <v>0.8</v>
      </c>
      <c r="S446" s="473">
        <v>10000</v>
      </c>
      <c r="T446" s="473">
        <v>0.94</v>
      </c>
    </row>
    <row r="447" spans="16:20" ht="15">
      <c r="P447" s="447"/>
      <c r="Q447" s="473">
        <v>6.5</v>
      </c>
      <c r="R447" s="473">
        <v>1.2</v>
      </c>
      <c r="S447" s="473">
        <v>0</v>
      </c>
      <c r="T447" s="473">
        <v>0.44</v>
      </c>
    </row>
    <row r="448" spans="16:20" ht="15">
      <c r="P448" s="447"/>
      <c r="Q448" s="473">
        <v>6.5</v>
      </c>
      <c r="R448" s="473">
        <v>1.2</v>
      </c>
      <c r="S448" s="473">
        <v>300</v>
      </c>
      <c r="T448" s="473">
        <v>0.44</v>
      </c>
    </row>
    <row r="449" spans="16:20" ht="15">
      <c r="P449" s="447"/>
      <c r="Q449" s="473">
        <v>6.5</v>
      </c>
      <c r="R449" s="473">
        <v>1.2</v>
      </c>
      <c r="S449" s="473">
        <v>300.01</v>
      </c>
      <c r="T449" s="473">
        <v>0.74</v>
      </c>
    </row>
    <row r="450" spans="16:20" ht="15">
      <c r="P450" s="447"/>
      <c r="Q450" s="473">
        <v>6.5</v>
      </c>
      <c r="R450" s="473">
        <v>1.2</v>
      </c>
      <c r="S450" s="473">
        <v>600</v>
      </c>
      <c r="T450" s="473">
        <v>0.74</v>
      </c>
    </row>
    <row r="451" spans="16:20" ht="15">
      <c r="P451" s="447"/>
      <c r="Q451" s="473">
        <v>6.5</v>
      </c>
      <c r="R451" s="473">
        <v>1.2</v>
      </c>
      <c r="S451" s="473">
        <v>600.01</v>
      </c>
      <c r="T451" s="473">
        <v>0.91</v>
      </c>
    </row>
    <row r="452" spans="16:20" ht="15">
      <c r="P452" s="447"/>
      <c r="Q452" s="473">
        <v>6.5</v>
      </c>
      <c r="R452" s="473">
        <v>1.2</v>
      </c>
      <c r="S452" s="473">
        <v>10000</v>
      </c>
      <c r="T452" s="473">
        <v>0.91</v>
      </c>
    </row>
    <row r="453" spans="16:20" ht="15">
      <c r="P453" s="447"/>
      <c r="Q453" s="473">
        <v>6.5</v>
      </c>
      <c r="R453" s="473">
        <v>1.6</v>
      </c>
      <c r="S453" s="473">
        <v>0</v>
      </c>
      <c r="T453" s="473">
        <v>0.41</v>
      </c>
    </row>
    <row r="454" spans="16:20" ht="15">
      <c r="P454" s="447"/>
      <c r="Q454" s="473">
        <v>6.5</v>
      </c>
      <c r="R454" s="473">
        <v>1.6</v>
      </c>
      <c r="S454" s="473">
        <v>300</v>
      </c>
      <c r="T454" s="473">
        <v>0.41</v>
      </c>
    </row>
    <row r="455" spans="16:20" ht="15">
      <c r="P455" s="447"/>
      <c r="Q455" s="473">
        <v>6.5</v>
      </c>
      <c r="R455" s="473">
        <v>1.6</v>
      </c>
      <c r="S455" s="473">
        <v>300.01</v>
      </c>
      <c r="T455" s="473">
        <v>0.7</v>
      </c>
    </row>
    <row r="456" spans="16:20" ht="15">
      <c r="P456" s="447"/>
      <c r="Q456" s="473">
        <v>6.5</v>
      </c>
      <c r="R456" s="473">
        <v>1.6</v>
      </c>
      <c r="S456" s="473">
        <v>600</v>
      </c>
      <c r="T456" s="473">
        <v>0.7</v>
      </c>
    </row>
    <row r="457" spans="16:20" ht="15">
      <c r="P457" s="447"/>
      <c r="Q457" s="473">
        <v>6.5</v>
      </c>
      <c r="R457" s="473">
        <v>1.6</v>
      </c>
      <c r="S457" s="473">
        <v>600.01</v>
      </c>
      <c r="T457" s="473">
        <v>0.91</v>
      </c>
    </row>
    <row r="458" spans="16:20" ht="15">
      <c r="P458" s="447"/>
      <c r="Q458" s="473">
        <v>6.5</v>
      </c>
      <c r="R458" s="473">
        <v>1.6</v>
      </c>
      <c r="S458" s="473">
        <v>10000</v>
      </c>
      <c r="T458" s="473">
        <v>0.91</v>
      </c>
    </row>
    <row r="459" spans="16:20" ht="15">
      <c r="P459" s="447"/>
      <c r="Q459" s="473">
        <v>6.5</v>
      </c>
      <c r="R459" s="473">
        <v>2.4</v>
      </c>
      <c r="S459" s="473">
        <v>0</v>
      </c>
      <c r="T459" s="473">
        <v>0.4</v>
      </c>
    </row>
    <row r="460" spans="16:20" ht="15">
      <c r="P460" s="447"/>
      <c r="Q460" s="473">
        <v>6.5</v>
      </c>
      <c r="R460" s="473">
        <v>2.4</v>
      </c>
      <c r="S460" s="473">
        <v>300</v>
      </c>
      <c r="T460" s="473">
        <v>0.4</v>
      </c>
    </row>
    <row r="461" spans="16:20" ht="15">
      <c r="P461" s="447"/>
      <c r="Q461" s="473">
        <v>6.5</v>
      </c>
      <c r="R461" s="473">
        <v>2.4</v>
      </c>
      <c r="S461" s="473">
        <v>300.01</v>
      </c>
      <c r="T461" s="473">
        <v>0.67</v>
      </c>
    </row>
    <row r="462" spans="16:20" ht="15">
      <c r="P462" s="447"/>
      <c r="Q462" s="473">
        <v>6.5</v>
      </c>
      <c r="R462" s="473">
        <v>2.4</v>
      </c>
      <c r="S462" s="473">
        <v>600</v>
      </c>
      <c r="T462" s="473">
        <v>0.67</v>
      </c>
    </row>
    <row r="463" spans="16:20" ht="15">
      <c r="P463" s="447"/>
      <c r="Q463" s="473">
        <v>6.5</v>
      </c>
      <c r="R463" s="473">
        <v>2.4</v>
      </c>
      <c r="S463" s="473">
        <v>600.01</v>
      </c>
      <c r="T463" s="473">
        <v>0.91</v>
      </c>
    </row>
    <row r="464" spans="16:20" ht="15">
      <c r="P464" s="447"/>
      <c r="Q464" s="473">
        <v>6.5</v>
      </c>
      <c r="R464" s="473">
        <v>2.4</v>
      </c>
      <c r="S464" s="473">
        <v>10000</v>
      </c>
      <c r="T464" s="473">
        <v>0.91</v>
      </c>
    </row>
    <row r="465" spans="16:20" ht="15">
      <c r="P465" s="447"/>
      <c r="Q465" s="473">
        <v>6.5</v>
      </c>
      <c r="R465" s="473">
        <v>3.2</v>
      </c>
      <c r="S465" s="473">
        <v>0</v>
      </c>
      <c r="T465" s="473">
        <v>0.39</v>
      </c>
    </row>
    <row r="466" spans="16:20" ht="15">
      <c r="P466" s="447"/>
      <c r="Q466" s="473">
        <v>6.5</v>
      </c>
      <c r="R466" s="473">
        <v>3.2</v>
      </c>
      <c r="S466" s="473">
        <v>300</v>
      </c>
      <c r="T466" s="473">
        <v>0.39</v>
      </c>
    </row>
    <row r="467" spans="16:20" ht="15">
      <c r="P467" s="447"/>
      <c r="Q467" s="473">
        <v>6.5</v>
      </c>
      <c r="R467" s="473">
        <v>3.2</v>
      </c>
      <c r="S467" s="473">
        <v>300.01</v>
      </c>
      <c r="T467" s="473">
        <v>0.67</v>
      </c>
    </row>
    <row r="468" spans="16:20" ht="15">
      <c r="P468" s="447"/>
      <c r="Q468" s="473">
        <v>6.5</v>
      </c>
      <c r="R468" s="473">
        <v>3.2</v>
      </c>
      <c r="S468" s="473">
        <v>600</v>
      </c>
      <c r="T468" s="473">
        <v>0.67</v>
      </c>
    </row>
    <row r="469" spans="16:20" ht="15">
      <c r="P469" s="447"/>
      <c r="Q469" s="473">
        <v>6.5</v>
      </c>
      <c r="R469" s="473">
        <v>3.2</v>
      </c>
      <c r="S469" s="473">
        <v>600.01</v>
      </c>
      <c r="T469" s="473">
        <v>0.89</v>
      </c>
    </row>
    <row r="470" spans="16:20" ht="15">
      <c r="P470" s="447"/>
      <c r="Q470" s="473">
        <v>6.5</v>
      </c>
      <c r="R470" s="473">
        <v>3.2</v>
      </c>
      <c r="S470" s="473">
        <v>10000</v>
      </c>
      <c r="T470" s="473">
        <v>0.89</v>
      </c>
    </row>
    <row r="471" spans="16:20" ht="15">
      <c r="P471" s="447"/>
      <c r="Q471" s="473">
        <v>6.5</v>
      </c>
      <c r="R471" s="473">
        <v>4.8</v>
      </c>
      <c r="S471" s="473">
        <v>0</v>
      </c>
      <c r="T471" s="473">
        <v>0.39</v>
      </c>
    </row>
    <row r="472" spans="16:20" ht="15">
      <c r="P472" s="447"/>
      <c r="Q472" s="473">
        <v>6.5</v>
      </c>
      <c r="R472" s="473">
        <v>4.8</v>
      </c>
      <c r="S472" s="473">
        <v>300</v>
      </c>
      <c r="T472" s="473">
        <v>0.39</v>
      </c>
    </row>
    <row r="473" spans="16:20" ht="15">
      <c r="P473" s="447"/>
      <c r="Q473" s="473">
        <v>6.5</v>
      </c>
      <c r="R473" s="473">
        <v>4.8</v>
      </c>
      <c r="S473" s="473">
        <v>300.01</v>
      </c>
      <c r="T473" s="473">
        <v>0.66</v>
      </c>
    </row>
    <row r="474" spans="16:20" ht="15">
      <c r="P474" s="447"/>
      <c r="Q474" s="473">
        <v>6.5</v>
      </c>
      <c r="R474" s="473">
        <v>4.8</v>
      </c>
      <c r="S474" s="473">
        <v>600</v>
      </c>
      <c r="T474" s="473">
        <v>0.66</v>
      </c>
    </row>
    <row r="475" spans="16:20" ht="15">
      <c r="P475" s="447"/>
      <c r="Q475" s="473">
        <v>6.5</v>
      </c>
      <c r="R475" s="473">
        <v>4.8</v>
      </c>
      <c r="S475" s="473">
        <v>600.01</v>
      </c>
      <c r="T475" s="473">
        <v>0.88</v>
      </c>
    </row>
    <row r="476" spans="16:20" ht="15">
      <c r="P476" s="447"/>
      <c r="Q476" s="473">
        <v>6.5</v>
      </c>
      <c r="R476" s="473">
        <v>4.8</v>
      </c>
      <c r="S476" s="473">
        <v>10000</v>
      </c>
      <c r="T476" s="473">
        <v>0.88</v>
      </c>
    </row>
    <row r="477" spans="16:20" ht="15">
      <c r="P477" s="447"/>
      <c r="Q477" s="473">
        <v>6.5</v>
      </c>
      <c r="R477" s="473">
        <v>6.4</v>
      </c>
      <c r="S477" s="473">
        <v>0</v>
      </c>
      <c r="T477" s="473">
        <v>0.38</v>
      </c>
    </row>
    <row r="478" spans="16:20" ht="15">
      <c r="P478" s="447"/>
      <c r="Q478" s="473">
        <v>6.5</v>
      </c>
      <c r="R478" s="473">
        <v>6.4</v>
      </c>
      <c r="S478" s="473">
        <v>300</v>
      </c>
      <c r="T478" s="473">
        <v>0.38</v>
      </c>
    </row>
    <row r="479" spans="16:20" ht="15">
      <c r="P479" s="447"/>
      <c r="Q479" s="473">
        <v>6.5</v>
      </c>
      <c r="R479" s="473">
        <v>6.4</v>
      </c>
      <c r="S479" s="473">
        <v>300.01</v>
      </c>
      <c r="T479" s="473">
        <v>0.66</v>
      </c>
    </row>
    <row r="480" spans="16:20" ht="15">
      <c r="P480" s="447"/>
      <c r="Q480" s="473">
        <v>6.5</v>
      </c>
      <c r="R480" s="473">
        <v>6.4</v>
      </c>
      <c r="S480" s="473">
        <v>600</v>
      </c>
      <c r="T480" s="473">
        <v>0.66</v>
      </c>
    </row>
    <row r="481" spans="16:20" ht="15">
      <c r="P481" s="447"/>
      <c r="Q481" s="473">
        <v>6.5</v>
      </c>
      <c r="R481" s="473">
        <v>6.4</v>
      </c>
      <c r="S481" s="473">
        <v>600.01</v>
      </c>
      <c r="T481" s="473">
        <v>0.87</v>
      </c>
    </row>
    <row r="482" spans="16:20" ht="15">
      <c r="P482" s="447"/>
      <c r="Q482" s="473">
        <v>6.5</v>
      </c>
      <c r="R482" s="473">
        <v>6.4</v>
      </c>
      <c r="S482" s="473">
        <v>10000</v>
      </c>
      <c r="T482" s="473">
        <v>0.87</v>
      </c>
    </row>
    <row r="483" spans="16:20" ht="15">
      <c r="P483" s="447"/>
      <c r="Q483" s="473">
        <v>6.5</v>
      </c>
      <c r="R483" s="473">
        <v>100</v>
      </c>
      <c r="S483" s="473">
        <v>0</v>
      </c>
      <c r="T483" s="473">
        <v>0.38</v>
      </c>
    </row>
    <row r="484" spans="16:20" ht="15">
      <c r="P484" s="447"/>
      <c r="Q484" s="473">
        <v>6.5</v>
      </c>
      <c r="R484" s="473">
        <v>100</v>
      </c>
      <c r="S484" s="473">
        <v>300</v>
      </c>
      <c r="T484" s="473">
        <v>0.38</v>
      </c>
    </row>
    <row r="485" spans="16:20" ht="15">
      <c r="P485" s="447"/>
      <c r="Q485" s="473">
        <v>6.5</v>
      </c>
      <c r="R485" s="473">
        <v>100</v>
      </c>
      <c r="S485" s="473">
        <v>300.01</v>
      </c>
      <c r="T485" s="473">
        <v>0.66</v>
      </c>
    </row>
    <row r="486" spans="16:20" ht="15">
      <c r="P486" s="447"/>
      <c r="Q486" s="473">
        <v>6.5</v>
      </c>
      <c r="R486" s="473">
        <v>100</v>
      </c>
      <c r="S486" s="473">
        <v>600</v>
      </c>
      <c r="T486" s="473">
        <v>0.66</v>
      </c>
    </row>
    <row r="487" spans="16:20" ht="15">
      <c r="P487" s="447"/>
      <c r="Q487" s="473">
        <v>6.5</v>
      </c>
      <c r="R487" s="473">
        <v>100</v>
      </c>
      <c r="S487" s="473">
        <v>600.01</v>
      </c>
      <c r="T487" s="473">
        <v>0.87</v>
      </c>
    </row>
    <row r="488" spans="16:20" ht="15">
      <c r="P488" s="447"/>
      <c r="Q488" s="473">
        <v>6.5</v>
      </c>
      <c r="R488" s="473">
        <v>100</v>
      </c>
      <c r="S488" s="473">
        <v>10000</v>
      </c>
      <c r="T488" s="473">
        <v>0.87</v>
      </c>
    </row>
    <row r="489" spans="16:20" ht="15">
      <c r="P489" s="447"/>
      <c r="Q489" s="473">
        <v>100</v>
      </c>
      <c r="R489" s="473">
        <v>0.4</v>
      </c>
      <c r="S489" s="473">
        <v>0</v>
      </c>
      <c r="T489" s="473">
        <v>0.59</v>
      </c>
    </row>
    <row r="490" spans="16:20" ht="15">
      <c r="P490" s="447"/>
      <c r="Q490" s="473">
        <v>100</v>
      </c>
      <c r="R490" s="473">
        <v>0.4</v>
      </c>
      <c r="S490" s="473">
        <v>300</v>
      </c>
      <c r="T490" s="473">
        <v>0.59</v>
      </c>
    </row>
    <row r="491" spans="16:20" ht="15">
      <c r="P491" s="447"/>
      <c r="Q491" s="473">
        <v>100</v>
      </c>
      <c r="R491" s="473">
        <v>0.4</v>
      </c>
      <c r="S491" s="473">
        <v>300.01</v>
      </c>
      <c r="T491" s="473">
        <v>0.86</v>
      </c>
    </row>
    <row r="492" spans="16:20" ht="15">
      <c r="P492" s="447"/>
      <c r="Q492" s="473">
        <v>100</v>
      </c>
      <c r="R492" s="473">
        <v>0.4</v>
      </c>
      <c r="S492" s="473">
        <v>600</v>
      </c>
      <c r="T492" s="473">
        <v>0.86</v>
      </c>
    </row>
    <row r="493" spans="16:20" ht="15">
      <c r="P493" s="447"/>
      <c r="Q493" s="473">
        <v>100</v>
      </c>
      <c r="R493" s="473">
        <v>0.4</v>
      </c>
      <c r="S493" s="473">
        <v>600.01</v>
      </c>
      <c r="T493" s="473">
        <v>0.98</v>
      </c>
    </row>
    <row r="494" spans="16:20" ht="15">
      <c r="P494" s="447"/>
      <c r="Q494" s="473">
        <v>100</v>
      </c>
      <c r="R494" s="473">
        <v>0.4</v>
      </c>
      <c r="S494" s="473">
        <v>10000</v>
      </c>
      <c r="T494" s="473">
        <v>0.98</v>
      </c>
    </row>
    <row r="495" spans="16:20" ht="15">
      <c r="P495" s="447"/>
      <c r="Q495" s="473">
        <v>100</v>
      </c>
      <c r="R495" s="473">
        <v>0.8</v>
      </c>
      <c r="S495" s="473">
        <v>0</v>
      </c>
      <c r="T495" s="473">
        <v>0.48</v>
      </c>
    </row>
    <row r="496" spans="16:20" ht="15">
      <c r="P496" s="447"/>
      <c r="Q496" s="473">
        <v>100</v>
      </c>
      <c r="R496" s="473">
        <v>0.8</v>
      </c>
      <c r="S496" s="473">
        <v>300</v>
      </c>
      <c r="T496" s="473">
        <v>0.48</v>
      </c>
    </row>
    <row r="497" spans="16:20" ht="15">
      <c r="P497" s="447"/>
      <c r="Q497" s="473">
        <v>100</v>
      </c>
      <c r="R497" s="473">
        <v>0.8</v>
      </c>
      <c r="S497" s="473">
        <v>300.01</v>
      </c>
      <c r="T497" s="473">
        <v>0.76</v>
      </c>
    </row>
    <row r="498" spans="16:20" ht="15">
      <c r="P498" s="447"/>
      <c r="Q498" s="473">
        <v>100</v>
      </c>
      <c r="R498" s="473">
        <v>0.8</v>
      </c>
      <c r="S498" s="473">
        <v>600</v>
      </c>
      <c r="T498" s="473">
        <v>0.76</v>
      </c>
    </row>
    <row r="499" spans="16:20" ht="15">
      <c r="P499" s="447"/>
      <c r="Q499" s="473">
        <v>100</v>
      </c>
      <c r="R499" s="473">
        <v>0.8</v>
      </c>
      <c r="S499" s="473">
        <v>600.01</v>
      </c>
      <c r="T499" s="473">
        <v>0.94</v>
      </c>
    </row>
    <row r="500" spans="16:20" ht="15">
      <c r="P500" s="447"/>
      <c r="Q500" s="473">
        <v>100</v>
      </c>
      <c r="R500" s="473">
        <v>0.8</v>
      </c>
      <c r="S500" s="473">
        <v>10000</v>
      </c>
      <c r="T500" s="473">
        <v>0.94</v>
      </c>
    </row>
    <row r="501" spans="16:20" ht="15">
      <c r="P501" s="447"/>
      <c r="Q501" s="473">
        <v>100</v>
      </c>
      <c r="R501" s="473">
        <v>1.2</v>
      </c>
      <c r="S501" s="473">
        <v>0</v>
      </c>
      <c r="T501" s="473">
        <v>0.44</v>
      </c>
    </row>
    <row r="502" spans="16:20" ht="15">
      <c r="P502" s="447"/>
      <c r="Q502" s="473">
        <v>100</v>
      </c>
      <c r="R502" s="473">
        <v>1.2</v>
      </c>
      <c r="S502" s="473">
        <v>300</v>
      </c>
      <c r="T502" s="473">
        <v>0.44</v>
      </c>
    </row>
    <row r="503" spans="16:20" ht="15">
      <c r="P503" s="447"/>
      <c r="Q503" s="473">
        <v>100</v>
      </c>
      <c r="R503" s="473">
        <v>1.2</v>
      </c>
      <c r="S503" s="473">
        <v>300.01</v>
      </c>
      <c r="T503" s="473">
        <v>0.74</v>
      </c>
    </row>
    <row r="504" spans="16:20" ht="15">
      <c r="P504" s="447"/>
      <c r="Q504" s="473">
        <v>100</v>
      </c>
      <c r="R504" s="473">
        <v>1.2</v>
      </c>
      <c r="S504" s="473">
        <v>600</v>
      </c>
      <c r="T504" s="473">
        <v>0.74</v>
      </c>
    </row>
    <row r="505" spans="16:20" ht="15">
      <c r="P505" s="447"/>
      <c r="Q505" s="473">
        <v>100</v>
      </c>
      <c r="R505" s="473">
        <v>1.2</v>
      </c>
      <c r="S505" s="473">
        <v>600.01</v>
      </c>
      <c r="T505" s="473">
        <v>0.91</v>
      </c>
    </row>
    <row r="506" spans="16:20" ht="15">
      <c r="P506" s="447"/>
      <c r="Q506" s="473">
        <v>100</v>
      </c>
      <c r="R506" s="473">
        <v>1.2</v>
      </c>
      <c r="S506" s="473">
        <v>10000</v>
      </c>
      <c r="T506" s="473">
        <v>0.91</v>
      </c>
    </row>
    <row r="507" spans="16:20" ht="15">
      <c r="P507" s="447"/>
      <c r="Q507" s="473">
        <v>100</v>
      </c>
      <c r="R507" s="473">
        <v>1.6</v>
      </c>
      <c r="S507" s="473">
        <v>0</v>
      </c>
      <c r="T507" s="473">
        <v>0.41</v>
      </c>
    </row>
    <row r="508" spans="16:20" ht="15">
      <c r="P508" s="447"/>
      <c r="Q508" s="473">
        <v>100</v>
      </c>
      <c r="R508" s="473">
        <v>1.6</v>
      </c>
      <c r="S508" s="473">
        <v>300</v>
      </c>
      <c r="T508" s="473">
        <v>0.41</v>
      </c>
    </row>
    <row r="509" spans="16:20" ht="15">
      <c r="P509" s="447"/>
      <c r="Q509" s="473">
        <v>100</v>
      </c>
      <c r="R509" s="473">
        <v>1.6</v>
      </c>
      <c r="S509" s="473">
        <v>300.01</v>
      </c>
      <c r="T509" s="473">
        <v>0.7</v>
      </c>
    </row>
    <row r="510" spans="16:20" ht="15">
      <c r="P510" s="447"/>
      <c r="Q510" s="473">
        <v>100</v>
      </c>
      <c r="R510" s="473">
        <v>1.6</v>
      </c>
      <c r="S510" s="473">
        <v>600</v>
      </c>
      <c r="T510" s="473">
        <v>0.7</v>
      </c>
    </row>
    <row r="511" spans="16:20" ht="15">
      <c r="P511" s="447"/>
      <c r="Q511" s="473">
        <v>100</v>
      </c>
      <c r="R511" s="473">
        <v>1.6</v>
      </c>
      <c r="S511" s="473">
        <v>600.01</v>
      </c>
      <c r="T511" s="473">
        <v>0.91</v>
      </c>
    </row>
    <row r="512" spans="16:20" ht="15">
      <c r="P512" s="447"/>
      <c r="Q512" s="473">
        <v>100</v>
      </c>
      <c r="R512" s="473">
        <v>1.6</v>
      </c>
      <c r="S512" s="473">
        <v>10000</v>
      </c>
      <c r="T512" s="473">
        <v>0.91</v>
      </c>
    </row>
    <row r="513" spans="16:20" ht="15">
      <c r="P513" s="447"/>
      <c r="Q513" s="473">
        <v>100</v>
      </c>
      <c r="R513" s="473">
        <v>2.4</v>
      </c>
      <c r="S513" s="473">
        <v>0</v>
      </c>
      <c r="T513" s="473">
        <v>0.4</v>
      </c>
    </row>
    <row r="514" spans="16:20" ht="15">
      <c r="P514" s="447"/>
      <c r="Q514" s="473">
        <v>100</v>
      </c>
      <c r="R514" s="473">
        <v>2.4</v>
      </c>
      <c r="S514" s="473">
        <v>300</v>
      </c>
      <c r="T514" s="473">
        <v>0.4</v>
      </c>
    </row>
    <row r="515" spans="16:20" ht="15">
      <c r="P515" s="447"/>
      <c r="Q515" s="473">
        <v>100</v>
      </c>
      <c r="R515" s="473">
        <v>2.4</v>
      </c>
      <c r="S515" s="473">
        <v>300.01</v>
      </c>
      <c r="T515" s="473">
        <v>0.67</v>
      </c>
    </row>
    <row r="516" spans="16:20" ht="15">
      <c r="P516" s="447"/>
      <c r="Q516" s="473">
        <v>100</v>
      </c>
      <c r="R516" s="473">
        <v>2.4</v>
      </c>
      <c r="S516" s="473">
        <v>600</v>
      </c>
      <c r="T516" s="473">
        <v>0.67</v>
      </c>
    </row>
    <row r="517" spans="16:20" ht="15">
      <c r="P517" s="447"/>
      <c r="Q517" s="473">
        <v>100</v>
      </c>
      <c r="R517" s="473">
        <v>2.4</v>
      </c>
      <c r="S517" s="473">
        <v>600.01</v>
      </c>
      <c r="T517" s="473">
        <v>0.91</v>
      </c>
    </row>
    <row r="518" spans="16:20" ht="15">
      <c r="P518" s="447"/>
      <c r="Q518" s="473">
        <v>100</v>
      </c>
      <c r="R518" s="473">
        <v>2.4</v>
      </c>
      <c r="S518" s="473">
        <v>10000</v>
      </c>
      <c r="T518" s="473">
        <v>0.91</v>
      </c>
    </row>
    <row r="519" spans="16:20" ht="15">
      <c r="P519" s="447"/>
      <c r="Q519" s="473">
        <v>100</v>
      </c>
      <c r="R519" s="473">
        <v>3.2</v>
      </c>
      <c r="S519" s="473">
        <v>0</v>
      </c>
      <c r="T519" s="473">
        <v>0.39</v>
      </c>
    </row>
    <row r="520" spans="16:20" ht="15">
      <c r="P520" s="447"/>
      <c r="Q520" s="473">
        <v>100</v>
      </c>
      <c r="R520" s="473">
        <v>3.2</v>
      </c>
      <c r="S520" s="473">
        <v>300</v>
      </c>
      <c r="T520" s="473">
        <v>0.39</v>
      </c>
    </row>
    <row r="521" spans="16:20" ht="15">
      <c r="P521" s="447"/>
      <c r="Q521" s="473">
        <v>100</v>
      </c>
      <c r="R521" s="473">
        <v>3.2</v>
      </c>
      <c r="S521" s="473">
        <v>300.01</v>
      </c>
      <c r="T521" s="473">
        <v>0.67</v>
      </c>
    </row>
    <row r="522" spans="16:20" ht="15">
      <c r="P522" s="447"/>
      <c r="Q522" s="473">
        <v>100</v>
      </c>
      <c r="R522" s="473">
        <v>3.2</v>
      </c>
      <c r="S522" s="473">
        <v>600</v>
      </c>
      <c r="T522" s="473">
        <v>0.67</v>
      </c>
    </row>
    <row r="523" spans="16:20" ht="15">
      <c r="P523" s="447"/>
      <c r="Q523" s="473">
        <v>100</v>
      </c>
      <c r="R523" s="473">
        <v>3.2</v>
      </c>
      <c r="S523" s="473">
        <v>600.01</v>
      </c>
      <c r="T523" s="473">
        <v>0.89</v>
      </c>
    </row>
    <row r="524" spans="16:20" ht="15">
      <c r="P524" s="447"/>
      <c r="Q524" s="473">
        <v>100</v>
      </c>
      <c r="R524" s="473">
        <v>3.2</v>
      </c>
      <c r="S524" s="473">
        <v>10000</v>
      </c>
      <c r="T524" s="473">
        <v>0.89</v>
      </c>
    </row>
    <row r="525" spans="16:20" ht="15">
      <c r="P525" s="447"/>
      <c r="Q525" s="473">
        <v>100</v>
      </c>
      <c r="R525" s="473">
        <v>4.8</v>
      </c>
      <c r="S525" s="473">
        <v>0</v>
      </c>
      <c r="T525" s="473">
        <v>0.39</v>
      </c>
    </row>
    <row r="526" spans="16:20" ht="15">
      <c r="P526" s="447"/>
      <c r="Q526" s="473">
        <v>100</v>
      </c>
      <c r="R526" s="473">
        <v>4.8</v>
      </c>
      <c r="S526" s="473">
        <v>300</v>
      </c>
      <c r="T526" s="473">
        <v>0.39</v>
      </c>
    </row>
    <row r="527" spans="16:20" ht="15">
      <c r="P527" s="447"/>
      <c r="Q527" s="473">
        <v>100</v>
      </c>
      <c r="R527" s="473">
        <v>4.8</v>
      </c>
      <c r="S527" s="473">
        <v>300.01</v>
      </c>
      <c r="T527" s="473">
        <v>0.66</v>
      </c>
    </row>
    <row r="528" spans="16:20" ht="15">
      <c r="P528" s="447"/>
      <c r="Q528" s="473">
        <v>100</v>
      </c>
      <c r="R528" s="473">
        <v>4.8</v>
      </c>
      <c r="S528" s="473">
        <v>600</v>
      </c>
      <c r="T528" s="473">
        <v>0.66</v>
      </c>
    </row>
    <row r="529" spans="16:20" ht="15">
      <c r="P529" s="447"/>
      <c r="Q529" s="473">
        <v>100</v>
      </c>
      <c r="R529" s="473">
        <v>4.8</v>
      </c>
      <c r="S529" s="473">
        <v>600.01</v>
      </c>
      <c r="T529" s="473">
        <v>0.88</v>
      </c>
    </row>
    <row r="530" spans="16:20" ht="15">
      <c r="P530" s="447"/>
      <c r="Q530" s="473">
        <v>100</v>
      </c>
      <c r="R530" s="473">
        <v>4.8</v>
      </c>
      <c r="S530" s="473">
        <v>10000</v>
      </c>
      <c r="T530" s="473">
        <v>0.88</v>
      </c>
    </row>
    <row r="531" spans="16:20" ht="15">
      <c r="P531" s="447"/>
      <c r="Q531" s="473">
        <v>100</v>
      </c>
      <c r="R531" s="473">
        <v>6.4</v>
      </c>
      <c r="S531" s="473">
        <v>0</v>
      </c>
      <c r="T531" s="473">
        <v>0.38</v>
      </c>
    </row>
    <row r="532" spans="16:20" ht="15">
      <c r="P532" s="447"/>
      <c r="Q532" s="473">
        <v>100</v>
      </c>
      <c r="R532" s="473">
        <v>6.4</v>
      </c>
      <c r="S532" s="473">
        <v>300</v>
      </c>
      <c r="T532" s="473">
        <v>0.38</v>
      </c>
    </row>
    <row r="533" spans="16:20" ht="15">
      <c r="P533" s="447"/>
      <c r="Q533" s="473">
        <v>100</v>
      </c>
      <c r="R533" s="473">
        <v>6.4</v>
      </c>
      <c r="S533" s="473">
        <v>300.01</v>
      </c>
      <c r="T533" s="473">
        <v>0.66</v>
      </c>
    </row>
    <row r="534" spans="16:20" ht="15">
      <c r="P534" s="447"/>
      <c r="Q534" s="473">
        <v>100</v>
      </c>
      <c r="R534" s="473">
        <v>6.4</v>
      </c>
      <c r="S534" s="473">
        <v>600</v>
      </c>
      <c r="T534" s="473">
        <v>0.66</v>
      </c>
    </row>
    <row r="535" spans="16:20" ht="15">
      <c r="P535" s="447"/>
      <c r="Q535" s="473">
        <v>100</v>
      </c>
      <c r="R535" s="473">
        <v>6.4</v>
      </c>
      <c r="S535" s="473">
        <v>600.01</v>
      </c>
      <c r="T535" s="473">
        <v>0.87</v>
      </c>
    </row>
    <row r="536" spans="16:20" ht="15">
      <c r="P536" s="447"/>
      <c r="Q536" s="473">
        <v>100</v>
      </c>
      <c r="R536" s="473">
        <v>6.4</v>
      </c>
      <c r="S536" s="473">
        <v>10000</v>
      </c>
      <c r="T536" s="473">
        <v>0.87</v>
      </c>
    </row>
    <row r="537" spans="16:20" ht="15">
      <c r="P537" s="447"/>
      <c r="Q537" s="473">
        <v>100</v>
      </c>
      <c r="R537" s="473">
        <v>100</v>
      </c>
      <c r="S537" s="473">
        <v>0</v>
      </c>
      <c r="T537" s="473">
        <v>0.38</v>
      </c>
    </row>
    <row r="538" spans="16:20" ht="15">
      <c r="P538" s="447"/>
      <c r="Q538" s="473">
        <v>100</v>
      </c>
      <c r="R538" s="473">
        <v>100</v>
      </c>
      <c r="S538" s="473">
        <v>300</v>
      </c>
      <c r="T538" s="473">
        <v>0.38</v>
      </c>
    </row>
    <row r="539" spans="16:20" ht="15">
      <c r="P539" s="447"/>
      <c r="Q539" s="473">
        <v>100</v>
      </c>
      <c r="R539" s="473">
        <v>100</v>
      </c>
      <c r="S539" s="473">
        <v>300.01</v>
      </c>
      <c r="T539" s="473">
        <v>0.66</v>
      </c>
    </row>
    <row r="540" spans="16:20" ht="15">
      <c r="P540" s="447"/>
      <c r="Q540" s="473">
        <v>100</v>
      </c>
      <c r="R540" s="473">
        <v>100</v>
      </c>
      <c r="S540" s="473">
        <v>600</v>
      </c>
      <c r="T540" s="473">
        <v>0.66</v>
      </c>
    </row>
    <row r="541" spans="16:20" ht="15">
      <c r="P541" s="447"/>
      <c r="Q541" s="473">
        <v>100</v>
      </c>
      <c r="R541" s="473">
        <v>100</v>
      </c>
      <c r="S541" s="473">
        <v>600.01</v>
      </c>
      <c r="T541" s="473">
        <v>0.87</v>
      </c>
    </row>
    <row r="542" spans="16:20" ht="15">
      <c r="P542" s="447"/>
      <c r="Q542" s="473">
        <v>100</v>
      </c>
      <c r="R542" s="473">
        <v>100</v>
      </c>
      <c r="S542" s="473">
        <v>10000</v>
      </c>
      <c r="T542" s="473">
        <v>0.87</v>
      </c>
    </row>
    <row r="543" spans="16:20" ht="15">
      <c r="P543" s="447"/>
      <c r="Q543" s="497"/>
      <c r="R543" s="497"/>
      <c r="S543" s="497"/>
      <c r="T543" s="497"/>
    </row>
    <row r="544" spans="16:20" ht="15">
      <c r="P544" s="447"/>
      <c r="Q544" s="497"/>
      <c r="R544" s="497"/>
      <c r="S544" s="497"/>
      <c r="T544" s="497"/>
    </row>
    <row r="545" spans="1:16" s="497" customFormat="1" ht="15">
      <c r="A545" s="443"/>
      <c r="B545" s="443"/>
      <c r="C545" s="443"/>
      <c r="D545" s="443"/>
      <c r="E545" s="458"/>
      <c r="F545" s="458"/>
      <c r="G545" s="458"/>
      <c r="H545" s="458"/>
      <c r="I545" s="458"/>
      <c r="J545" s="458"/>
      <c r="K545" s="458"/>
      <c r="L545" s="458"/>
      <c r="M545" s="458"/>
      <c r="N545" s="458"/>
      <c r="O545" s="443"/>
      <c r="P545" s="447"/>
    </row>
    <row r="546" spans="1:16" s="497" customFormat="1" ht="15">
      <c r="A546" s="443"/>
      <c r="B546" s="443"/>
      <c r="C546" s="443"/>
      <c r="D546" s="443"/>
      <c r="E546" s="458"/>
      <c r="F546" s="458"/>
      <c r="G546" s="458"/>
      <c r="H546" s="458"/>
      <c r="I546" s="458"/>
      <c r="J546" s="458"/>
      <c r="K546" s="458"/>
      <c r="L546" s="458"/>
      <c r="M546" s="458"/>
      <c r="N546" s="458"/>
      <c r="O546" s="443"/>
      <c r="P546" s="447"/>
    </row>
    <row r="547" spans="1:16" s="497" customFormat="1" ht="15">
      <c r="A547" s="443"/>
      <c r="B547" s="443"/>
      <c r="C547" s="443"/>
      <c r="D547" s="443"/>
      <c r="E547" s="458"/>
      <c r="F547" s="458"/>
      <c r="G547" s="458"/>
      <c r="H547" s="458"/>
      <c r="I547" s="458"/>
      <c r="J547" s="458"/>
      <c r="K547" s="458"/>
      <c r="L547" s="458"/>
      <c r="M547" s="458"/>
      <c r="N547" s="458"/>
      <c r="O547" s="443"/>
      <c r="P547" s="447"/>
    </row>
    <row r="548" spans="1:16" s="497" customFormat="1" ht="15">
      <c r="A548" s="443"/>
      <c r="B548" s="443"/>
      <c r="C548" s="443"/>
      <c r="D548" s="443"/>
      <c r="E548" s="458"/>
      <c r="F548" s="458"/>
      <c r="G548" s="458"/>
      <c r="H548" s="458"/>
      <c r="I548" s="458"/>
      <c r="J548" s="458"/>
      <c r="K548" s="458"/>
      <c r="L548" s="458"/>
      <c r="M548" s="458"/>
      <c r="N548" s="458"/>
      <c r="O548" s="443"/>
      <c r="P548" s="447"/>
    </row>
    <row r="549" spans="1:16" s="497" customFormat="1" ht="15">
      <c r="A549" s="443"/>
      <c r="B549" s="443"/>
      <c r="C549" s="443"/>
      <c r="D549" s="443"/>
      <c r="E549" s="458"/>
      <c r="F549" s="458"/>
      <c r="G549" s="458"/>
      <c r="H549" s="458"/>
      <c r="I549" s="458"/>
      <c r="J549" s="458"/>
      <c r="K549" s="458"/>
      <c r="L549" s="458"/>
      <c r="M549" s="458"/>
      <c r="N549" s="458"/>
      <c r="O549" s="443"/>
      <c r="P549" s="447"/>
    </row>
    <row r="550" spans="1:16" s="497" customFormat="1" ht="15">
      <c r="A550" s="443"/>
      <c r="B550" s="443"/>
      <c r="C550" s="443"/>
      <c r="D550" s="443"/>
      <c r="E550" s="458"/>
      <c r="F550" s="458"/>
      <c r="G550" s="458"/>
      <c r="H550" s="458"/>
      <c r="I550" s="458"/>
      <c r="J550" s="458"/>
      <c r="K550" s="458"/>
      <c r="L550" s="458"/>
      <c r="M550" s="458"/>
      <c r="N550" s="458"/>
      <c r="O550" s="443"/>
      <c r="P550" s="447"/>
    </row>
    <row r="551" spans="1:16" s="497" customFormat="1" ht="15">
      <c r="A551" s="443"/>
      <c r="B551" s="443"/>
      <c r="C551" s="443"/>
      <c r="D551" s="443"/>
      <c r="E551" s="458"/>
      <c r="F551" s="458"/>
      <c r="G551" s="458"/>
      <c r="H551" s="458"/>
      <c r="I551" s="458"/>
      <c r="J551" s="458"/>
      <c r="K551" s="458"/>
      <c r="L551" s="458"/>
      <c r="M551" s="458"/>
      <c r="N551" s="458"/>
      <c r="O551" s="443"/>
      <c r="P551" s="447"/>
    </row>
    <row r="552" spans="1:16" s="497" customFormat="1" ht="15">
      <c r="A552" s="443"/>
      <c r="B552" s="443"/>
      <c r="C552" s="443"/>
      <c r="D552" s="443"/>
      <c r="E552" s="458"/>
      <c r="F552" s="458"/>
      <c r="G552" s="458"/>
      <c r="H552" s="458"/>
      <c r="I552" s="458"/>
      <c r="J552" s="458"/>
      <c r="K552" s="458"/>
      <c r="L552" s="458"/>
      <c r="M552" s="458"/>
      <c r="N552" s="458"/>
      <c r="O552" s="443"/>
      <c r="P552" s="447"/>
    </row>
    <row r="553" spans="1:16" s="497" customFormat="1" ht="15">
      <c r="A553" s="443"/>
      <c r="B553" s="443"/>
      <c r="C553" s="443"/>
      <c r="D553" s="443"/>
      <c r="E553" s="458"/>
      <c r="F553" s="458"/>
      <c r="G553" s="458"/>
      <c r="H553" s="458"/>
      <c r="I553" s="458"/>
      <c r="J553" s="458"/>
      <c r="K553" s="458"/>
      <c r="L553" s="458"/>
      <c r="M553" s="458"/>
      <c r="N553" s="458"/>
      <c r="O553" s="443"/>
      <c r="P553" s="447"/>
    </row>
    <row r="554" spans="1:16" s="497" customFormat="1" ht="15">
      <c r="A554" s="443"/>
      <c r="B554" s="443"/>
      <c r="C554" s="443"/>
      <c r="D554" s="443"/>
      <c r="E554" s="458"/>
      <c r="F554" s="458"/>
      <c r="G554" s="458"/>
      <c r="H554" s="458"/>
      <c r="I554" s="458"/>
      <c r="J554" s="458"/>
      <c r="K554" s="458"/>
      <c r="L554" s="458"/>
      <c r="M554" s="458"/>
      <c r="N554" s="458"/>
      <c r="O554" s="443"/>
      <c r="P554" s="447"/>
    </row>
    <row r="555" spans="1:16" s="497" customFormat="1" ht="15">
      <c r="A555" s="443"/>
      <c r="B555" s="443"/>
      <c r="C555" s="443"/>
      <c r="D555" s="443"/>
      <c r="E555" s="458"/>
      <c r="F555" s="458"/>
      <c r="G555" s="458"/>
      <c r="H555" s="458"/>
      <c r="I555" s="458"/>
      <c r="J555" s="458"/>
      <c r="K555" s="458"/>
      <c r="L555" s="458"/>
      <c r="M555" s="458"/>
      <c r="N555" s="458"/>
      <c r="O555" s="443"/>
      <c r="P555" s="447"/>
    </row>
    <row r="556" spans="1:16" s="497" customFormat="1" ht="15">
      <c r="A556" s="443"/>
      <c r="B556" s="443"/>
      <c r="C556" s="443"/>
      <c r="D556" s="443"/>
      <c r="E556" s="458"/>
      <c r="F556" s="458"/>
      <c r="G556" s="458"/>
      <c r="H556" s="458"/>
      <c r="I556" s="458"/>
      <c r="J556" s="458"/>
      <c r="K556" s="458"/>
      <c r="L556" s="458"/>
      <c r="M556" s="458"/>
      <c r="N556" s="458"/>
      <c r="O556" s="443"/>
      <c r="P556" s="447"/>
    </row>
    <row r="557" spans="1:16" s="497" customFormat="1" ht="15">
      <c r="A557" s="443"/>
      <c r="B557" s="443"/>
      <c r="C557" s="443"/>
      <c r="D557" s="443"/>
      <c r="E557" s="458"/>
      <c r="F557" s="458"/>
      <c r="G557" s="458"/>
      <c r="H557" s="458"/>
      <c r="I557" s="458"/>
      <c r="J557" s="458"/>
      <c r="K557" s="458"/>
      <c r="L557" s="458"/>
      <c r="M557" s="458"/>
      <c r="N557" s="458"/>
      <c r="O557" s="443"/>
      <c r="P557" s="447"/>
    </row>
    <row r="558" spans="1:16" s="497" customFormat="1" ht="15">
      <c r="A558" s="443"/>
      <c r="B558" s="443"/>
      <c r="C558" s="443"/>
      <c r="D558" s="443"/>
      <c r="E558" s="458"/>
      <c r="F558" s="458"/>
      <c r="G558" s="458"/>
      <c r="H558" s="458"/>
      <c r="I558" s="458"/>
      <c r="J558" s="458"/>
      <c r="K558" s="458"/>
      <c r="L558" s="458"/>
      <c r="M558" s="458"/>
      <c r="N558" s="458"/>
      <c r="O558" s="443"/>
      <c r="P558" s="447"/>
    </row>
    <row r="559" spans="1:16" s="497" customFormat="1" ht="15">
      <c r="A559" s="443"/>
      <c r="B559" s="443"/>
      <c r="C559" s="443"/>
      <c r="D559" s="443"/>
      <c r="E559" s="458"/>
      <c r="F559" s="458"/>
      <c r="G559" s="458"/>
      <c r="H559" s="458"/>
      <c r="I559" s="458"/>
      <c r="J559" s="458"/>
      <c r="K559" s="458"/>
      <c r="L559" s="458"/>
      <c r="M559" s="458"/>
      <c r="N559" s="458"/>
      <c r="O559" s="443"/>
      <c r="P559" s="447"/>
    </row>
    <row r="560" spans="1:16" s="497" customFormat="1" ht="15">
      <c r="A560" s="443"/>
      <c r="B560" s="443"/>
      <c r="C560" s="443"/>
      <c r="D560" s="443"/>
      <c r="E560" s="458"/>
      <c r="F560" s="458"/>
      <c r="G560" s="458"/>
      <c r="H560" s="458"/>
      <c r="I560" s="458"/>
      <c r="J560" s="458"/>
      <c r="K560" s="458"/>
      <c r="L560" s="458"/>
      <c r="M560" s="458"/>
      <c r="N560" s="458"/>
      <c r="O560" s="443"/>
      <c r="P560" s="447"/>
    </row>
    <row r="561" spans="1:16" s="497" customFormat="1" ht="15">
      <c r="A561" s="443"/>
      <c r="B561" s="443"/>
      <c r="C561" s="443"/>
      <c r="D561" s="443"/>
      <c r="E561" s="458"/>
      <c r="F561" s="458"/>
      <c r="G561" s="458"/>
      <c r="H561" s="458"/>
      <c r="I561" s="458"/>
      <c r="J561" s="458"/>
      <c r="K561" s="458"/>
      <c r="L561" s="458"/>
      <c r="M561" s="458"/>
      <c r="N561" s="458"/>
      <c r="O561" s="443"/>
      <c r="P561" s="447"/>
    </row>
    <row r="562" spans="1:16" s="497" customFormat="1" ht="15">
      <c r="A562" s="443"/>
      <c r="B562" s="443"/>
      <c r="C562" s="443"/>
      <c r="D562" s="443"/>
      <c r="E562" s="458"/>
      <c r="F562" s="458"/>
      <c r="G562" s="458"/>
      <c r="H562" s="458"/>
      <c r="I562" s="458"/>
      <c r="J562" s="458"/>
      <c r="K562" s="458"/>
      <c r="L562" s="458"/>
      <c r="M562" s="458"/>
      <c r="N562" s="458"/>
      <c r="O562" s="443"/>
      <c r="P562" s="447"/>
    </row>
    <row r="563" spans="1:16" s="497" customFormat="1" ht="15">
      <c r="A563" s="443"/>
      <c r="B563" s="443"/>
      <c r="C563" s="443"/>
      <c r="D563" s="443"/>
      <c r="E563" s="458"/>
      <c r="F563" s="458"/>
      <c r="G563" s="458"/>
      <c r="H563" s="458"/>
      <c r="I563" s="458"/>
      <c r="J563" s="458"/>
      <c r="K563" s="458"/>
      <c r="L563" s="458"/>
      <c r="M563" s="458"/>
      <c r="N563" s="458"/>
      <c r="O563" s="443"/>
      <c r="P563" s="447"/>
    </row>
    <row r="564" spans="1:16" s="497" customFormat="1" ht="15">
      <c r="A564" s="443"/>
      <c r="B564" s="443"/>
      <c r="C564" s="443"/>
      <c r="D564" s="443"/>
      <c r="E564" s="458"/>
      <c r="F564" s="458"/>
      <c r="G564" s="458"/>
      <c r="H564" s="458"/>
      <c r="I564" s="458"/>
      <c r="J564" s="458"/>
      <c r="K564" s="458"/>
      <c r="L564" s="458"/>
      <c r="M564" s="458"/>
      <c r="N564" s="458"/>
      <c r="O564" s="443"/>
      <c r="P564" s="447"/>
    </row>
    <row r="565" spans="1:16" s="497" customFormat="1" ht="15">
      <c r="A565" s="443"/>
      <c r="B565" s="443"/>
      <c r="C565" s="443"/>
      <c r="D565" s="443"/>
      <c r="E565" s="458"/>
      <c r="F565" s="458"/>
      <c r="G565" s="458"/>
      <c r="H565" s="458"/>
      <c r="I565" s="458"/>
      <c r="J565" s="458"/>
      <c r="K565" s="458"/>
      <c r="L565" s="458"/>
      <c r="M565" s="458"/>
      <c r="N565" s="458"/>
      <c r="O565" s="443"/>
      <c r="P565" s="447"/>
    </row>
    <row r="566" spans="1:16" s="497" customFormat="1" ht="15">
      <c r="A566" s="443"/>
      <c r="B566" s="443"/>
      <c r="C566" s="443"/>
      <c r="D566" s="443"/>
      <c r="E566" s="458"/>
      <c r="F566" s="458"/>
      <c r="G566" s="458"/>
      <c r="H566" s="458"/>
      <c r="I566" s="458"/>
      <c r="J566" s="458"/>
      <c r="K566" s="458"/>
      <c r="L566" s="458"/>
      <c r="M566" s="458"/>
      <c r="N566" s="458"/>
      <c r="O566" s="443"/>
      <c r="P566" s="447"/>
    </row>
    <row r="567" spans="1:16" s="497" customFormat="1" ht="15">
      <c r="A567" s="443"/>
      <c r="B567" s="443"/>
      <c r="C567" s="443"/>
      <c r="D567" s="443"/>
      <c r="E567" s="458"/>
      <c r="F567" s="458"/>
      <c r="G567" s="458"/>
      <c r="H567" s="458"/>
      <c r="I567" s="458"/>
      <c r="J567" s="458"/>
      <c r="K567" s="458"/>
      <c r="L567" s="458"/>
      <c r="M567" s="458"/>
      <c r="N567" s="458"/>
      <c r="O567" s="443"/>
      <c r="P567" s="447"/>
    </row>
    <row r="568" spans="1:16" s="497" customFormat="1" ht="15">
      <c r="A568" s="443"/>
      <c r="B568" s="443"/>
      <c r="C568" s="443"/>
      <c r="D568" s="443"/>
      <c r="E568" s="458"/>
      <c r="F568" s="458"/>
      <c r="G568" s="458"/>
      <c r="H568" s="458"/>
      <c r="I568" s="458"/>
      <c r="J568" s="458"/>
      <c r="K568" s="458"/>
      <c r="L568" s="458"/>
      <c r="M568" s="458"/>
      <c r="N568" s="458"/>
      <c r="O568" s="443"/>
      <c r="P568" s="447"/>
    </row>
    <row r="569" spans="1:16" s="497" customFormat="1" ht="15">
      <c r="A569" s="443"/>
      <c r="B569" s="443"/>
      <c r="C569" s="443"/>
      <c r="D569" s="443"/>
      <c r="E569" s="458"/>
      <c r="F569" s="458"/>
      <c r="G569" s="458"/>
      <c r="H569" s="458"/>
      <c r="I569" s="458"/>
      <c r="J569" s="458"/>
      <c r="K569" s="458"/>
      <c r="L569" s="458"/>
      <c r="M569" s="458"/>
      <c r="N569" s="458"/>
      <c r="O569" s="443"/>
      <c r="P569" s="447"/>
    </row>
    <row r="570" spans="1:16" s="497" customFormat="1" ht="15">
      <c r="A570" s="443"/>
      <c r="B570" s="443"/>
      <c r="C570" s="443"/>
      <c r="D570" s="443"/>
      <c r="E570" s="458"/>
      <c r="F570" s="458"/>
      <c r="G570" s="458"/>
      <c r="H570" s="458"/>
      <c r="I570" s="458"/>
      <c r="J570" s="458"/>
      <c r="K570" s="458"/>
      <c r="L570" s="458"/>
      <c r="M570" s="458"/>
      <c r="N570" s="458"/>
      <c r="O570" s="443"/>
      <c r="P570" s="447"/>
    </row>
    <row r="571" spans="1:16" s="497" customFormat="1" ht="15">
      <c r="A571" s="443"/>
      <c r="B571" s="443"/>
      <c r="C571" s="443"/>
      <c r="D571" s="443"/>
      <c r="E571" s="458"/>
      <c r="F571" s="458"/>
      <c r="G571" s="458"/>
      <c r="H571" s="458"/>
      <c r="I571" s="458"/>
      <c r="J571" s="458"/>
      <c r="K571" s="458"/>
      <c r="L571" s="458"/>
      <c r="M571" s="458"/>
      <c r="N571" s="458"/>
      <c r="O571" s="443"/>
      <c r="P571" s="447"/>
    </row>
    <row r="572" spans="1:16" s="497" customFormat="1" ht="15">
      <c r="A572" s="443"/>
      <c r="B572" s="443"/>
      <c r="C572" s="443"/>
      <c r="D572" s="443"/>
      <c r="E572" s="458"/>
      <c r="F572" s="458"/>
      <c r="G572" s="458"/>
      <c r="H572" s="458"/>
      <c r="I572" s="458"/>
      <c r="J572" s="458"/>
      <c r="K572" s="458"/>
      <c r="L572" s="458"/>
      <c r="M572" s="458"/>
      <c r="N572" s="458"/>
      <c r="O572" s="443"/>
      <c r="P572" s="447"/>
    </row>
    <row r="573" spans="1:16" s="497" customFormat="1" ht="15">
      <c r="A573" s="443"/>
      <c r="B573" s="443"/>
      <c r="C573" s="443"/>
      <c r="D573" s="443"/>
      <c r="E573" s="458"/>
      <c r="F573" s="458"/>
      <c r="G573" s="458"/>
      <c r="H573" s="458"/>
      <c r="I573" s="458"/>
      <c r="J573" s="458"/>
      <c r="K573" s="458"/>
      <c r="L573" s="458"/>
      <c r="M573" s="458"/>
      <c r="N573" s="458"/>
      <c r="O573" s="443"/>
      <c r="P573" s="447"/>
    </row>
    <row r="574" spans="1:16" s="497" customFormat="1" ht="15">
      <c r="A574" s="443"/>
      <c r="B574" s="443"/>
      <c r="C574" s="443"/>
      <c r="D574" s="443"/>
      <c r="E574" s="458"/>
      <c r="F574" s="458"/>
      <c r="G574" s="458"/>
      <c r="H574" s="458"/>
      <c r="I574" s="458"/>
      <c r="J574" s="458"/>
      <c r="K574" s="458"/>
      <c r="L574" s="458"/>
      <c r="M574" s="458"/>
      <c r="N574" s="458"/>
      <c r="O574" s="443"/>
      <c r="P574" s="447"/>
    </row>
    <row r="575" spans="1:16" s="497" customFormat="1" ht="15">
      <c r="A575" s="443"/>
      <c r="B575" s="443"/>
      <c r="C575" s="443"/>
      <c r="D575" s="443"/>
      <c r="E575" s="458"/>
      <c r="F575" s="458"/>
      <c r="G575" s="458"/>
      <c r="H575" s="458"/>
      <c r="I575" s="458"/>
      <c r="J575" s="458"/>
      <c r="K575" s="458"/>
      <c r="L575" s="458"/>
      <c r="M575" s="458"/>
      <c r="N575" s="458"/>
      <c r="O575" s="443"/>
      <c r="P575" s="447"/>
    </row>
    <row r="576" spans="1:16" s="497" customFormat="1" ht="15">
      <c r="A576" s="443"/>
      <c r="B576" s="443"/>
      <c r="C576" s="443"/>
      <c r="D576" s="443"/>
      <c r="E576" s="458"/>
      <c r="F576" s="458"/>
      <c r="G576" s="458"/>
      <c r="H576" s="458"/>
      <c r="I576" s="458"/>
      <c r="J576" s="458"/>
      <c r="K576" s="458"/>
      <c r="L576" s="458"/>
      <c r="M576" s="458"/>
      <c r="N576" s="458"/>
      <c r="O576" s="443"/>
      <c r="P576" s="447"/>
    </row>
    <row r="577" spans="1:16" s="497" customFormat="1" ht="15">
      <c r="A577" s="443"/>
      <c r="B577" s="443"/>
      <c r="C577" s="443"/>
      <c r="D577" s="443"/>
      <c r="E577" s="458"/>
      <c r="F577" s="458"/>
      <c r="G577" s="458"/>
      <c r="H577" s="458"/>
      <c r="I577" s="458"/>
      <c r="J577" s="458"/>
      <c r="K577" s="458"/>
      <c r="L577" s="458"/>
      <c r="M577" s="458"/>
      <c r="N577" s="458"/>
      <c r="O577" s="443"/>
      <c r="P577" s="447"/>
    </row>
    <row r="578" spans="1:16" s="497" customFormat="1" ht="15">
      <c r="A578" s="443"/>
      <c r="B578" s="443"/>
      <c r="C578" s="443"/>
      <c r="D578" s="443"/>
      <c r="E578" s="458"/>
      <c r="F578" s="458"/>
      <c r="G578" s="458"/>
      <c r="H578" s="458"/>
      <c r="I578" s="458"/>
      <c r="J578" s="458"/>
      <c r="K578" s="458"/>
      <c r="L578" s="458"/>
      <c r="M578" s="458"/>
      <c r="N578" s="458"/>
      <c r="O578" s="443"/>
      <c r="P578" s="447"/>
    </row>
    <row r="579" spans="1:16" s="497" customFormat="1" ht="15">
      <c r="A579" s="443"/>
      <c r="B579" s="443"/>
      <c r="C579" s="443"/>
      <c r="D579" s="443"/>
      <c r="E579" s="458"/>
      <c r="F579" s="458"/>
      <c r="G579" s="458"/>
      <c r="H579" s="458"/>
      <c r="I579" s="458"/>
      <c r="J579" s="458"/>
      <c r="K579" s="458"/>
      <c r="L579" s="458"/>
      <c r="M579" s="458"/>
      <c r="N579" s="458"/>
      <c r="O579" s="443"/>
      <c r="P579" s="447"/>
    </row>
    <row r="580" spans="1:16" s="497" customFormat="1" ht="15">
      <c r="A580" s="443"/>
      <c r="B580" s="443"/>
      <c r="C580" s="443"/>
      <c r="D580" s="443"/>
      <c r="E580" s="458"/>
      <c r="F580" s="458"/>
      <c r="G580" s="458"/>
      <c r="H580" s="458"/>
      <c r="I580" s="458"/>
      <c r="J580" s="458"/>
      <c r="K580" s="458"/>
      <c r="L580" s="458"/>
      <c r="M580" s="458"/>
      <c r="N580" s="458"/>
      <c r="O580" s="443"/>
      <c r="P580" s="447"/>
    </row>
    <row r="581" spans="1:16" s="497" customFormat="1" ht="15">
      <c r="A581" s="443"/>
      <c r="B581" s="443"/>
      <c r="C581" s="443"/>
      <c r="D581" s="443"/>
      <c r="E581" s="458"/>
      <c r="F581" s="458"/>
      <c r="G581" s="458"/>
      <c r="H581" s="458"/>
      <c r="I581" s="458"/>
      <c r="J581" s="458"/>
      <c r="K581" s="458"/>
      <c r="L581" s="458"/>
      <c r="M581" s="458"/>
      <c r="N581" s="458"/>
      <c r="O581" s="443"/>
      <c r="P581" s="447"/>
    </row>
    <row r="582" spans="1:16" s="497" customFormat="1" ht="15">
      <c r="A582" s="443"/>
      <c r="B582" s="443"/>
      <c r="C582" s="443"/>
      <c r="D582" s="443"/>
      <c r="E582" s="458"/>
      <c r="F582" s="458"/>
      <c r="G582" s="458"/>
      <c r="H582" s="458"/>
      <c r="I582" s="458"/>
      <c r="J582" s="458"/>
      <c r="K582" s="458"/>
      <c r="L582" s="458"/>
      <c r="M582" s="458"/>
      <c r="N582" s="458"/>
      <c r="O582" s="443"/>
      <c r="P582" s="447"/>
    </row>
    <row r="583" spans="1:16" s="497" customFormat="1" ht="15">
      <c r="A583" s="443"/>
      <c r="B583" s="443"/>
      <c r="C583" s="443"/>
      <c r="D583" s="443"/>
      <c r="E583" s="458"/>
      <c r="F583" s="458"/>
      <c r="G583" s="458"/>
      <c r="H583" s="458"/>
      <c r="I583" s="458"/>
      <c r="J583" s="458"/>
      <c r="K583" s="458"/>
      <c r="L583" s="458"/>
      <c r="M583" s="458"/>
      <c r="N583" s="458"/>
      <c r="O583" s="443"/>
      <c r="P583" s="447"/>
    </row>
    <row r="584" spans="1:16" s="497" customFormat="1" ht="15">
      <c r="A584" s="443"/>
      <c r="B584" s="443"/>
      <c r="C584" s="443"/>
      <c r="D584" s="443"/>
      <c r="E584" s="458"/>
      <c r="F584" s="458"/>
      <c r="G584" s="458"/>
      <c r="H584" s="458"/>
      <c r="I584" s="458"/>
      <c r="J584" s="458"/>
      <c r="K584" s="458"/>
      <c r="L584" s="458"/>
      <c r="M584" s="458"/>
      <c r="N584" s="458"/>
      <c r="O584" s="443"/>
      <c r="P584" s="447"/>
    </row>
    <row r="585" spans="1:16" s="497" customFormat="1" ht="15">
      <c r="A585" s="443"/>
      <c r="B585" s="443"/>
      <c r="C585" s="443"/>
      <c r="D585" s="443"/>
      <c r="E585" s="458"/>
      <c r="F585" s="458"/>
      <c r="G585" s="458"/>
      <c r="H585" s="458"/>
      <c r="I585" s="458"/>
      <c r="J585" s="458"/>
      <c r="K585" s="458"/>
      <c r="L585" s="458"/>
      <c r="M585" s="458"/>
      <c r="N585" s="458"/>
      <c r="O585" s="443"/>
      <c r="P585" s="447"/>
    </row>
    <row r="586" spans="1:16" s="497" customFormat="1" ht="15">
      <c r="A586" s="443"/>
      <c r="B586" s="443"/>
      <c r="C586" s="443"/>
      <c r="D586" s="443"/>
      <c r="E586" s="458"/>
      <c r="F586" s="458"/>
      <c r="G586" s="458"/>
      <c r="H586" s="458"/>
      <c r="I586" s="458"/>
      <c r="J586" s="458"/>
      <c r="K586" s="458"/>
      <c r="L586" s="458"/>
      <c r="M586" s="458"/>
      <c r="N586" s="458"/>
      <c r="O586" s="443"/>
      <c r="P586" s="447"/>
    </row>
    <row r="587" spans="1:16" s="497" customFormat="1" ht="15">
      <c r="A587" s="443"/>
      <c r="B587" s="443"/>
      <c r="C587" s="443"/>
      <c r="D587" s="443"/>
      <c r="E587" s="458"/>
      <c r="F587" s="458"/>
      <c r="G587" s="458"/>
      <c r="H587" s="458"/>
      <c r="I587" s="458"/>
      <c r="J587" s="458"/>
      <c r="K587" s="458"/>
      <c r="L587" s="458"/>
      <c r="M587" s="458"/>
      <c r="N587" s="458"/>
      <c r="O587" s="443"/>
      <c r="P587" s="447"/>
    </row>
    <row r="588" spans="1:16" s="497" customFormat="1" ht="15">
      <c r="A588" s="443"/>
      <c r="B588" s="443"/>
      <c r="C588" s="443"/>
      <c r="D588" s="443"/>
      <c r="E588" s="458"/>
      <c r="F588" s="458"/>
      <c r="G588" s="458"/>
      <c r="H588" s="458"/>
      <c r="I588" s="458"/>
      <c r="J588" s="458"/>
      <c r="K588" s="458"/>
      <c r="L588" s="458"/>
      <c r="M588" s="458"/>
      <c r="N588" s="458"/>
      <c r="O588" s="443"/>
      <c r="P588" s="447"/>
    </row>
    <row r="589" spans="1:16" s="497" customFormat="1" ht="15">
      <c r="A589" s="443"/>
      <c r="B589" s="443"/>
      <c r="C589" s="443"/>
      <c r="D589" s="443"/>
      <c r="E589" s="458"/>
      <c r="F589" s="458"/>
      <c r="G589" s="458"/>
      <c r="H589" s="458"/>
      <c r="I589" s="458"/>
      <c r="J589" s="458"/>
      <c r="K589" s="458"/>
      <c r="L589" s="458"/>
      <c r="M589" s="458"/>
      <c r="N589" s="458"/>
      <c r="O589" s="443"/>
      <c r="P589" s="447"/>
    </row>
    <row r="590" spans="1:16" s="497" customFormat="1" ht="15">
      <c r="A590" s="443"/>
      <c r="B590" s="443"/>
      <c r="C590" s="443"/>
      <c r="D590" s="443"/>
      <c r="E590" s="458"/>
      <c r="F590" s="458"/>
      <c r="G590" s="458"/>
      <c r="H590" s="458"/>
      <c r="I590" s="458"/>
      <c r="J590" s="458"/>
      <c r="K590" s="458"/>
      <c r="L590" s="458"/>
      <c r="M590" s="458"/>
      <c r="N590" s="458"/>
      <c r="O590" s="443"/>
      <c r="P590" s="447"/>
    </row>
    <row r="591" spans="1:16" s="497" customFormat="1" ht="15">
      <c r="A591" s="443"/>
      <c r="B591" s="443"/>
      <c r="C591" s="443"/>
      <c r="D591" s="443"/>
      <c r="E591" s="458"/>
      <c r="F591" s="458"/>
      <c r="G591" s="458"/>
      <c r="H591" s="458"/>
      <c r="I591" s="458"/>
      <c r="J591" s="458"/>
      <c r="K591" s="458"/>
      <c r="L591" s="458"/>
      <c r="M591" s="458"/>
      <c r="N591" s="458"/>
      <c r="O591" s="443"/>
      <c r="P591" s="447"/>
    </row>
    <row r="592" spans="1:16" s="497" customFormat="1" ht="15">
      <c r="A592" s="443"/>
      <c r="B592" s="443"/>
      <c r="C592" s="443"/>
      <c r="D592" s="443"/>
      <c r="E592" s="458"/>
      <c r="F592" s="458"/>
      <c r="G592" s="458"/>
      <c r="H592" s="458"/>
      <c r="I592" s="458"/>
      <c r="J592" s="458"/>
      <c r="K592" s="458"/>
      <c r="L592" s="458"/>
      <c r="M592" s="458"/>
      <c r="N592" s="458"/>
      <c r="O592" s="443"/>
      <c r="P592" s="447"/>
    </row>
    <row r="593" spans="1:16" s="497" customFormat="1" ht="15">
      <c r="A593" s="443"/>
      <c r="B593" s="443"/>
      <c r="C593" s="443"/>
      <c r="D593" s="443"/>
      <c r="E593" s="458"/>
      <c r="F593" s="458"/>
      <c r="G593" s="458"/>
      <c r="H593" s="458"/>
      <c r="I593" s="458"/>
      <c r="J593" s="458"/>
      <c r="K593" s="458"/>
      <c r="L593" s="458"/>
      <c r="M593" s="458"/>
      <c r="N593" s="458"/>
      <c r="O593" s="443"/>
      <c r="P593" s="447"/>
    </row>
    <row r="594" spans="1:16" s="497" customFormat="1" ht="15">
      <c r="A594" s="443"/>
      <c r="B594" s="443"/>
      <c r="C594" s="443"/>
      <c r="D594" s="443"/>
      <c r="E594" s="458"/>
      <c r="F594" s="458"/>
      <c r="G594" s="458"/>
      <c r="H594" s="458"/>
      <c r="I594" s="458"/>
      <c r="J594" s="458"/>
      <c r="K594" s="458"/>
      <c r="L594" s="458"/>
      <c r="M594" s="458"/>
      <c r="N594" s="458"/>
      <c r="O594" s="443"/>
      <c r="P594" s="447"/>
    </row>
    <row r="595" spans="1:16" s="497" customFormat="1" ht="15">
      <c r="A595" s="443"/>
      <c r="B595" s="443"/>
      <c r="C595" s="443"/>
      <c r="D595" s="443"/>
      <c r="E595" s="458"/>
      <c r="F595" s="458"/>
      <c r="G595" s="458"/>
      <c r="H595" s="458"/>
      <c r="I595" s="458"/>
      <c r="J595" s="458"/>
      <c r="K595" s="458"/>
      <c r="L595" s="458"/>
      <c r="M595" s="458"/>
      <c r="N595" s="458"/>
      <c r="O595" s="443"/>
      <c r="P595" s="447"/>
    </row>
    <row r="596" spans="1:16" s="497" customFormat="1" ht="15">
      <c r="A596" s="443"/>
      <c r="B596" s="443"/>
      <c r="C596" s="443"/>
      <c r="D596" s="443"/>
      <c r="E596" s="458"/>
      <c r="F596" s="458"/>
      <c r="G596" s="458"/>
      <c r="H596" s="458"/>
      <c r="I596" s="458"/>
      <c r="J596" s="458"/>
      <c r="K596" s="458"/>
      <c r="L596" s="458"/>
      <c r="M596" s="458"/>
      <c r="N596" s="458"/>
      <c r="O596" s="443"/>
      <c r="P596" s="447"/>
    </row>
    <row r="597" spans="1:16" s="497" customFormat="1" ht="15">
      <c r="A597" s="443"/>
      <c r="B597" s="443"/>
      <c r="C597" s="443"/>
      <c r="D597" s="443"/>
      <c r="E597" s="458"/>
      <c r="F597" s="458"/>
      <c r="G597" s="458"/>
      <c r="H597" s="458"/>
      <c r="I597" s="458"/>
      <c r="J597" s="458"/>
      <c r="K597" s="458"/>
      <c r="L597" s="458"/>
      <c r="M597" s="458"/>
      <c r="N597" s="458"/>
      <c r="O597" s="443"/>
      <c r="P597" s="447"/>
    </row>
    <row r="598" spans="1:16" s="497" customFormat="1" ht="15">
      <c r="A598" s="443"/>
      <c r="B598" s="443"/>
      <c r="C598" s="443"/>
      <c r="D598" s="443"/>
      <c r="E598" s="458"/>
      <c r="F598" s="458"/>
      <c r="G598" s="458"/>
      <c r="H598" s="458"/>
      <c r="I598" s="458"/>
      <c r="J598" s="458"/>
      <c r="K598" s="458"/>
      <c r="L598" s="458"/>
      <c r="M598" s="458"/>
      <c r="N598" s="458"/>
      <c r="O598" s="443"/>
      <c r="P598" s="447"/>
    </row>
    <row r="599" spans="1:16" s="497" customFormat="1" ht="15">
      <c r="A599" s="443"/>
      <c r="B599" s="443"/>
      <c r="C599" s="443"/>
      <c r="D599" s="443"/>
      <c r="E599" s="458"/>
      <c r="F599" s="458"/>
      <c r="G599" s="458"/>
      <c r="H599" s="458"/>
      <c r="I599" s="458"/>
      <c r="J599" s="458"/>
      <c r="K599" s="458"/>
      <c r="L599" s="458"/>
      <c r="M599" s="458"/>
      <c r="N599" s="458"/>
      <c r="O599" s="443"/>
      <c r="P599" s="447"/>
    </row>
    <row r="600" spans="1:16" s="497" customFormat="1" ht="15">
      <c r="A600" s="443"/>
      <c r="B600" s="443"/>
      <c r="C600" s="443"/>
      <c r="D600" s="443"/>
      <c r="E600" s="458"/>
      <c r="F600" s="458"/>
      <c r="G600" s="458"/>
      <c r="H600" s="458"/>
      <c r="I600" s="458"/>
      <c r="J600" s="458"/>
      <c r="K600" s="458"/>
      <c r="L600" s="458"/>
      <c r="M600" s="458"/>
      <c r="N600" s="458"/>
      <c r="O600" s="443"/>
      <c r="P600" s="447"/>
    </row>
    <row r="601" spans="1:16" s="497" customFormat="1" ht="15">
      <c r="A601" s="443"/>
      <c r="B601" s="443"/>
      <c r="C601" s="443"/>
      <c r="D601" s="443"/>
      <c r="E601" s="458"/>
      <c r="F601" s="458"/>
      <c r="G601" s="458"/>
      <c r="H601" s="458"/>
      <c r="I601" s="458"/>
      <c r="J601" s="458"/>
      <c r="K601" s="458"/>
      <c r="L601" s="458"/>
      <c r="M601" s="458"/>
      <c r="N601" s="458"/>
      <c r="O601" s="443"/>
      <c r="P601" s="447"/>
    </row>
    <row r="602" spans="1:16" s="497" customFormat="1" ht="15">
      <c r="A602" s="443"/>
      <c r="B602" s="443"/>
      <c r="C602" s="443"/>
      <c r="D602" s="443"/>
      <c r="E602" s="458"/>
      <c r="F602" s="458"/>
      <c r="G602" s="458"/>
      <c r="H602" s="458"/>
      <c r="I602" s="458"/>
      <c r="J602" s="458"/>
      <c r="K602" s="458"/>
      <c r="L602" s="458"/>
      <c r="M602" s="458"/>
      <c r="N602" s="458"/>
      <c r="O602" s="443"/>
      <c r="P602" s="447"/>
    </row>
    <row r="603" spans="1:16" s="497" customFormat="1" ht="15">
      <c r="A603" s="443"/>
      <c r="B603" s="443"/>
      <c r="C603" s="443"/>
      <c r="D603" s="443"/>
      <c r="E603" s="458"/>
      <c r="F603" s="458"/>
      <c r="G603" s="458"/>
      <c r="H603" s="458"/>
      <c r="I603" s="458"/>
      <c r="J603" s="458"/>
      <c r="K603" s="458"/>
      <c r="L603" s="458"/>
      <c r="M603" s="458"/>
      <c r="N603" s="458"/>
      <c r="O603" s="443"/>
      <c r="P603" s="447"/>
    </row>
    <row r="604" spans="1:16" s="497" customFormat="1" ht="15">
      <c r="A604" s="443"/>
      <c r="B604" s="443"/>
      <c r="C604" s="443"/>
      <c r="D604" s="443"/>
      <c r="E604" s="458"/>
      <c r="F604" s="458"/>
      <c r="G604" s="458"/>
      <c r="H604" s="458"/>
      <c r="I604" s="458"/>
      <c r="J604" s="458"/>
      <c r="K604" s="458"/>
      <c r="L604" s="458"/>
      <c r="M604" s="458"/>
      <c r="N604" s="458"/>
      <c r="O604" s="443"/>
      <c r="P604" s="447"/>
    </row>
    <row r="605" spans="1:16" s="497" customFormat="1" ht="15">
      <c r="A605" s="443"/>
      <c r="B605" s="443"/>
      <c r="C605" s="443"/>
      <c r="D605" s="443"/>
      <c r="E605" s="458"/>
      <c r="F605" s="458"/>
      <c r="G605" s="458"/>
      <c r="H605" s="458"/>
      <c r="I605" s="458"/>
      <c r="J605" s="458"/>
      <c r="K605" s="458"/>
      <c r="L605" s="458"/>
      <c r="M605" s="458"/>
      <c r="N605" s="458"/>
      <c r="O605" s="443"/>
      <c r="P605" s="447"/>
    </row>
    <row r="606" spans="1:16" s="497" customFormat="1" ht="15">
      <c r="A606" s="443"/>
      <c r="B606" s="443"/>
      <c r="C606" s="443"/>
      <c r="D606" s="443"/>
      <c r="E606" s="458"/>
      <c r="F606" s="458"/>
      <c r="G606" s="458"/>
      <c r="H606" s="458"/>
      <c r="I606" s="458"/>
      <c r="J606" s="458"/>
      <c r="K606" s="458"/>
      <c r="L606" s="458"/>
      <c r="M606" s="458"/>
      <c r="N606" s="458"/>
      <c r="O606" s="443"/>
      <c r="P606" s="447"/>
    </row>
    <row r="607" spans="1:16" s="497" customFormat="1" ht="15">
      <c r="A607" s="443"/>
      <c r="B607" s="443"/>
      <c r="C607" s="443"/>
      <c r="D607" s="443"/>
      <c r="E607" s="458"/>
      <c r="F607" s="458"/>
      <c r="G607" s="458"/>
      <c r="H607" s="458"/>
      <c r="I607" s="458"/>
      <c r="J607" s="458"/>
      <c r="K607" s="458"/>
      <c r="L607" s="458"/>
      <c r="M607" s="458"/>
      <c r="N607" s="458"/>
      <c r="O607" s="443"/>
      <c r="P607" s="447"/>
    </row>
    <row r="608" spans="1:16" s="497" customFormat="1" ht="15">
      <c r="A608" s="443"/>
      <c r="B608" s="443"/>
      <c r="C608" s="443"/>
      <c r="D608" s="443"/>
      <c r="E608" s="458"/>
      <c r="F608" s="458"/>
      <c r="G608" s="458"/>
      <c r="H608" s="458"/>
      <c r="I608" s="458"/>
      <c r="J608" s="458"/>
      <c r="K608" s="458"/>
      <c r="L608" s="458"/>
      <c r="M608" s="458"/>
      <c r="N608" s="458"/>
      <c r="O608" s="443"/>
      <c r="P608" s="447"/>
    </row>
    <row r="609" spans="1:16" s="497" customFormat="1" ht="15">
      <c r="A609" s="443"/>
      <c r="B609" s="443"/>
      <c r="C609" s="443"/>
      <c r="D609" s="443"/>
      <c r="E609" s="458"/>
      <c r="F609" s="458"/>
      <c r="G609" s="458"/>
      <c r="H609" s="458"/>
      <c r="I609" s="458"/>
      <c r="J609" s="458"/>
      <c r="K609" s="458"/>
      <c r="L609" s="458"/>
      <c r="M609" s="458"/>
      <c r="N609" s="458"/>
      <c r="O609" s="443"/>
      <c r="P609" s="447"/>
    </row>
    <row r="610" spans="1:16" s="497" customFormat="1" ht="15">
      <c r="A610" s="443"/>
      <c r="B610" s="443"/>
      <c r="C610" s="443"/>
      <c r="D610" s="443"/>
      <c r="E610" s="458"/>
      <c r="F610" s="458"/>
      <c r="G610" s="458"/>
      <c r="H610" s="458"/>
      <c r="I610" s="458"/>
      <c r="J610" s="458"/>
      <c r="K610" s="458"/>
      <c r="L610" s="458"/>
      <c r="M610" s="458"/>
      <c r="N610" s="458"/>
      <c r="O610" s="443"/>
      <c r="P610" s="447"/>
    </row>
    <row r="611" spans="1:16" s="497" customFormat="1" ht="15">
      <c r="A611" s="443"/>
      <c r="B611" s="443"/>
      <c r="C611" s="443"/>
      <c r="D611" s="443"/>
      <c r="E611" s="458"/>
      <c r="F611" s="458"/>
      <c r="G611" s="458"/>
      <c r="H611" s="458"/>
      <c r="I611" s="458"/>
      <c r="J611" s="458"/>
      <c r="K611" s="458"/>
      <c r="L611" s="458"/>
      <c r="M611" s="458"/>
      <c r="N611" s="458"/>
      <c r="O611" s="443"/>
      <c r="P611" s="447"/>
    </row>
    <row r="612" spans="1:16" s="497" customFormat="1" ht="15">
      <c r="A612" s="443"/>
      <c r="B612" s="443"/>
      <c r="C612" s="443"/>
      <c r="D612" s="443"/>
      <c r="E612" s="458"/>
      <c r="F612" s="458"/>
      <c r="G612" s="458"/>
      <c r="H612" s="458"/>
      <c r="I612" s="458"/>
      <c r="J612" s="458"/>
      <c r="K612" s="458"/>
      <c r="L612" s="458"/>
      <c r="M612" s="458"/>
      <c r="N612" s="458"/>
      <c r="O612" s="443"/>
      <c r="P612" s="447"/>
    </row>
    <row r="613" spans="1:16" s="497" customFormat="1" ht="15">
      <c r="A613" s="443"/>
      <c r="B613" s="443"/>
      <c r="C613" s="443"/>
      <c r="D613" s="443"/>
      <c r="E613" s="458"/>
      <c r="F613" s="458"/>
      <c r="G613" s="458"/>
      <c r="H613" s="458"/>
      <c r="I613" s="458"/>
      <c r="J613" s="458"/>
      <c r="K613" s="458"/>
      <c r="L613" s="458"/>
      <c r="M613" s="458"/>
      <c r="N613" s="458"/>
      <c r="O613" s="443"/>
      <c r="P613" s="447"/>
    </row>
    <row r="614" spans="1:16" s="497" customFormat="1" ht="15">
      <c r="A614" s="443"/>
      <c r="B614" s="443"/>
      <c r="C614" s="443"/>
      <c r="D614" s="443"/>
      <c r="E614" s="458"/>
      <c r="F614" s="458"/>
      <c r="G614" s="458"/>
      <c r="H614" s="458"/>
      <c r="I614" s="458"/>
      <c r="J614" s="458"/>
      <c r="K614" s="458"/>
      <c r="L614" s="458"/>
      <c r="M614" s="458"/>
      <c r="N614" s="458"/>
      <c r="O614" s="443"/>
      <c r="P614" s="447"/>
    </row>
    <row r="615" spans="1:16" s="497" customFormat="1" ht="15">
      <c r="A615" s="443"/>
      <c r="B615" s="443"/>
      <c r="C615" s="443"/>
      <c r="D615" s="443"/>
      <c r="E615" s="458"/>
      <c r="F615" s="458"/>
      <c r="G615" s="458"/>
      <c r="H615" s="458"/>
      <c r="I615" s="458"/>
      <c r="J615" s="458"/>
      <c r="K615" s="458"/>
      <c r="L615" s="458"/>
      <c r="M615" s="458"/>
      <c r="N615" s="458"/>
      <c r="O615" s="443"/>
      <c r="P615" s="447"/>
    </row>
    <row r="616" spans="1:16" s="497" customFormat="1" ht="15">
      <c r="A616" s="443"/>
      <c r="B616" s="443"/>
      <c r="C616" s="443"/>
      <c r="D616" s="443"/>
      <c r="E616" s="458"/>
      <c r="F616" s="458"/>
      <c r="G616" s="458"/>
      <c r="H616" s="458"/>
      <c r="I616" s="458"/>
      <c r="J616" s="458"/>
      <c r="K616" s="458"/>
      <c r="L616" s="458"/>
      <c r="M616" s="458"/>
      <c r="N616" s="458"/>
      <c r="O616" s="443"/>
      <c r="P616" s="447"/>
    </row>
    <row r="617" spans="1:16" s="497" customFormat="1" ht="15">
      <c r="A617" s="443"/>
      <c r="B617" s="443"/>
      <c r="C617" s="443"/>
      <c r="D617" s="443"/>
      <c r="E617" s="458"/>
      <c r="F617" s="458"/>
      <c r="G617" s="458"/>
      <c r="H617" s="458"/>
      <c r="I617" s="458"/>
      <c r="J617" s="458"/>
      <c r="K617" s="458"/>
      <c r="L617" s="458"/>
      <c r="M617" s="458"/>
      <c r="N617" s="458"/>
      <c r="O617" s="443"/>
      <c r="P617" s="447"/>
    </row>
    <row r="618" spans="1:16" s="497" customFormat="1" ht="15">
      <c r="A618" s="443"/>
      <c r="B618" s="443"/>
      <c r="C618" s="443"/>
      <c r="D618" s="443"/>
      <c r="E618" s="458"/>
      <c r="F618" s="458"/>
      <c r="G618" s="458"/>
      <c r="H618" s="458"/>
      <c r="I618" s="458"/>
      <c r="J618" s="458"/>
      <c r="K618" s="458"/>
      <c r="L618" s="458"/>
      <c r="M618" s="458"/>
      <c r="N618" s="458"/>
      <c r="O618" s="443"/>
      <c r="P618" s="447"/>
    </row>
    <row r="619" spans="1:16" s="497" customFormat="1" ht="15">
      <c r="A619" s="443"/>
      <c r="B619" s="443"/>
      <c r="C619" s="443"/>
      <c r="D619" s="443"/>
      <c r="E619" s="458"/>
      <c r="F619" s="458"/>
      <c r="G619" s="458"/>
      <c r="H619" s="458"/>
      <c r="I619" s="458"/>
      <c r="J619" s="458"/>
      <c r="K619" s="458"/>
      <c r="L619" s="458"/>
      <c r="M619" s="458"/>
      <c r="N619" s="458"/>
      <c r="O619" s="443"/>
      <c r="P619" s="447"/>
    </row>
    <row r="620" spans="1:16" s="497" customFormat="1" ht="15">
      <c r="A620" s="443"/>
      <c r="B620" s="443"/>
      <c r="C620" s="443"/>
      <c r="D620" s="443"/>
      <c r="E620" s="458"/>
      <c r="F620" s="458"/>
      <c r="G620" s="458"/>
      <c r="H620" s="458"/>
      <c r="I620" s="458"/>
      <c r="J620" s="458"/>
      <c r="K620" s="458"/>
      <c r="L620" s="458"/>
      <c r="M620" s="458"/>
      <c r="N620" s="458"/>
      <c r="O620" s="443"/>
      <c r="P620" s="447"/>
    </row>
    <row r="621" spans="1:16" s="497" customFormat="1" ht="15">
      <c r="A621" s="443"/>
      <c r="B621" s="443"/>
      <c r="C621" s="443"/>
      <c r="D621" s="443"/>
      <c r="E621" s="458"/>
      <c r="F621" s="458"/>
      <c r="G621" s="458"/>
      <c r="H621" s="458"/>
      <c r="I621" s="458"/>
      <c r="J621" s="458"/>
      <c r="K621" s="458"/>
      <c r="L621" s="458"/>
      <c r="M621" s="458"/>
      <c r="N621" s="458"/>
      <c r="O621" s="443"/>
      <c r="P621" s="447"/>
    </row>
    <row r="622" spans="1:16" s="497" customFormat="1" ht="15">
      <c r="A622" s="443"/>
      <c r="B622" s="443"/>
      <c r="C622" s="443"/>
      <c r="D622" s="443"/>
      <c r="E622" s="458"/>
      <c r="F622" s="458"/>
      <c r="G622" s="458"/>
      <c r="H622" s="458"/>
      <c r="I622" s="458"/>
      <c r="J622" s="458"/>
      <c r="K622" s="458"/>
      <c r="L622" s="458"/>
      <c r="M622" s="458"/>
      <c r="N622" s="458"/>
      <c r="O622" s="443"/>
      <c r="P622" s="447"/>
    </row>
    <row r="623" spans="1:16" s="497" customFormat="1" ht="15">
      <c r="A623" s="443"/>
      <c r="B623" s="443"/>
      <c r="C623" s="443"/>
      <c r="D623" s="443"/>
      <c r="E623" s="458"/>
      <c r="F623" s="458"/>
      <c r="G623" s="458"/>
      <c r="H623" s="458"/>
      <c r="I623" s="458"/>
      <c r="J623" s="458"/>
      <c r="K623" s="458"/>
      <c r="L623" s="458"/>
      <c r="M623" s="458"/>
      <c r="N623" s="458"/>
      <c r="O623" s="443"/>
      <c r="P623" s="447"/>
    </row>
    <row r="624" spans="1:16" s="497" customFormat="1" ht="15">
      <c r="A624" s="443"/>
      <c r="B624" s="443"/>
      <c r="C624" s="443"/>
      <c r="D624" s="443"/>
      <c r="E624" s="458"/>
      <c r="F624" s="458"/>
      <c r="G624" s="458"/>
      <c r="H624" s="458"/>
      <c r="I624" s="458"/>
      <c r="J624" s="458"/>
      <c r="K624" s="458"/>
      <c r="L624" s="458"/>
      <c r="M624" s="458"/>
      <c r="N624" s="458"/>
      <c r="O624" s="443"/>
      <c r="P624" s="447"/>
    </row>
    <row r="625" spans="1:16" s="497" customFormat="1" ht="15">
      <c r="A625" s="443"/>
      <c r="B625" s="443"/>
      <c r="C625" s="443"/>
      <c r="D625" s="443"/>
      <c r="E625" s="458"/>
      <c r="F625" s="458"/>
      <c r="G625" s="458"/>
      <c r="H625" s="458"/>
      <c r="I625" s="458"/>
      <c r="J625" s="458"/>
      <c r="K625" s="458"/>
      <c r="L625" s="458"/>
      <c r="M625" s="458"/>
      <c r="N625" s="458"/>
      <c r="O625" s="443"/>
      <c r="P625" s="447"/>
    </row>
    <row r="626" spans="1:16" s="497" customFormat="1" ht="15">
      <c r="A626" s="443"/>
      <c r="B626" s="443"/>
      <c r="C626" s="443"/>
      <c r="D626" s="443"/>
      <c r="E626" s="458"/>
      <c r="F626" s="458"/>
      <c r="G626" s="458"/>
      <c r="H626" s="458"/>
      <c r="I626" s="458"/>
      <c r="J626" s="458"/>
      <c r="K626" s="458"/>
      <c r="L626" s="458"/>
      <c r="M626" s="458"/>
      <c r="N626" s="458"/>
      <c r="O626" s="443"/>
      <c r="P626" s="447"/>
    </row>
    <row r="627" spans="1:16" s="497" customFormat="1" ht="15">
      <c r="A627" s="443"/>
      <c r="B627" s="443"/>
      <c r="C627" s="443"/>
      <c r="D627" s="443"/>
      <c r="E627" s="458"/>
      <c r="F627" s="458"/>
      <c r="G627" s="458"/>
      <c r="H627" s="458"/>
      <c r="I627" s="458"/>
      <c r="J627" s="458"/>
      <c r="K627" s="458"/>
      <c r="L627" s="458"/>
      <c r="M627" s="458"/>
      <c r="N627" s="458"/>
      <c r="O627" s="443"/>
      <c r="P627" s="447"/>
    </row>
    <row r="628" spans="1:16" s="497" customFormat="1" ht="15">
      <c r="A628" s="443"/>
      <c r="B628" s="443"/>
      <c r="C628" s="443"/>
      <c r="D628" s="443"/>
      <c r="E628" s="458"/>
      <c r="F628" s="458"/>
      <c r="G628" s="458"/>
      <c r="H628" s="458"/>
      <c r="I628" s="458"/>
      <c r="J628" s="458"/>
      <c r="K628" s="458"/>
      <c r="L628" s="458"/>
      <c r="M628" s="458"/>
      <c r="N628" s="458"/>
      <c r="O628" s="443"/>
      <c r="P628" s="447"/>
    </row>
    <row r="629" spans="1:16" s="497" customFormat="1" ht="15">
      <c r="A629" s="443"/>
      <c r="B629" s="443"/>
      <c r="C629" s="443"/>
      <c r="D629" s="443"/>
      <c r="E629" s="458"/>
      <c r="F629" s="458"/>
      <c r="G629" s="458"/>
      <c r="H629" s="458"/>
      <c r="I629" s="458"/>
      <c r="J629" s="458"/>
      <c r="K629" s="458"/>
      <c r="L629" s="458"/>
      <c r="M629" s="458"/>
      <c r="N629" s="458"/>
      <c r="O629" s="443"/>
      <c r="P629" s="447"/>
    </row>
    <row r="630" spans="1:16" s="497" customFormat="1" ht="15">
      <c r="A630" s="443"/>
      <c r="B630" s="443"/>
      <c r="C630" s="443"/>
      <c r="D630" s="443"/>
      <c r="E630" s="458"/>
      <c r="F630" s="458"/>
      <c r="G630" s="458"/>
      <c r="H630" s="458"/>
      <c r="I630" s="458"/>
      <c r="J630" s="458"/>
      <c r="K630" s="458"/>
      <c r="L630" s="458"/>
      <c r="M630" s="458"/>
      <c r="N630" s="458"/>
      <c r="O630" s="443"/>
      <c r="P630" s="447"/>
    </row>
    <row r="631" spans="1:16" s="497" customFormat="1" ht="15">
      <c r="A631" s="443"/>
      <c r="B631" s="443"/>
      <c r="C631" s="443"/>
      <c r="D631" s="443"/>
      <c r="E631" s="458"/>
      <c r="F631" s="458"/>
      <c r="G631" s="458"/>
      <c r="H631" s="458"/>
      <c r="I631" s="458"/>
      <c r="J631" s="458"/>
      <c r="K631" s="458"/>
      <c r="L631" s="458"/>
      <c r="M631" s="458"/>
      <c r="N631" s="458"/>
      <c r="O631" s="443"/>
      <c r="P631" s="447"/>
    </row>
    <row r="632" spans="1:16" s="497" customFormat="1" ht="15">
      <c r="A632" s="443"/>
      <c r="B632" s="443"/>
      <c r="C632" s="443"/>
      <c r="D632" s="443"/>
      <c r="E632" s="458"/>
      <c r="F632" s="458"/>
      <c r="G632" s="458"/>
      <c r="H632" s="458"/>
      <c r="I632" s="458"/>
      <c r="J632" s="458"/>
      <c r="K632" s="458"/>
      <c r="L632" s="458"/>
      <c r="M632" s="458"/>
      <c r="N632" s="458"/>
      <c r="O632" s="443"/>
      <c r="P632" s="447"/>
    </row>
    <row r="633" spans="1:16" s="497" customFormat="1" ht="15">
      <c r="A633" s="443"/>
      <c r="B633" s="443"/>
      <c r="C633" s="443"/>
      <c r="D633" s="443"/>
      <c r="E633" s="458"/>
      <c r="F633" s="458"/>
      <c r="G633" s="458"/>
      <c r="H633" s="458"/>
      <c r="I633" s="458"/>
      <c r="J633" s="458"/>
      <c r="K633" s="458"/>
      <c r="L633" s="458"/>
      <c r="M633" s="458"/>
      <c r="N633" s="458"/>
      <c r="O633" s="443"/>
      <c r="P633" s="447"/>
    </row>
    <row r="634" spans="1:16" s="497" customFormat="1" ht="15">
      <c r="A634" s="443"/>
      <c r="B634" s="443"/>
      <c r="C634" s="443"/>
      <c r="D634" s="443"/>
      <c r="E634" s="458"/>
      <c r="F634" s="458"/>
      <c r="G634" s="458"/>
      <c r="H634" s="458"/>
      <c r="I634" s="458"/>
      <c r="J634" s="458"/>
      <c r="K634" s="458"/>
      <c r="L634" s="458"/>
      <c r="M634" s="458"/>
      <c r="N634" s="458"/>
      <c r="O634" s="443"/>
      <c r="P634" s="447"/>
    </row>
    <row r="635" spans="1:16" s="497" customFormat="1" ht="15">
      <c r="A635" s="443"/>
      <c r="B635" s="443"/>
      <c r="C635" s="443"/>
      <c r="D635" s="443"/>
      <c r="E635" s="458"/>
      <c r="F635" s="458"/>
      <c r="G635" s="458"/>
      <c r="H635" s="458"/>
      <c r="I635" s="458"/>
      <c r="J635" s="458"/>
      <c r="K635" s="458"/>
      <c r="L635" s="458"/>
      <c r="M635" s="458"/>
      <c r="N635" s="458"/>
      <c r="O635" s="443"/>
      <c r="P635" s="447"/>
    </row>
    <row r="636" spans="1:16" s="497" customFormat="1" ht="15">
      <c r="A636" s="443"/>
      <c r="B636" s="443"/>
      <c r="C636" s="443"/>
      <c r="D636" s="443"/>
      <c r="E636" s="458"/>
      <c r="F636" s="458"/>
      <c r="G636" s="458"/>
      <c r="H636" s="458"/>
      <c r="I636" s="458"/>
      <c r="J636" s="458"/>
      <c r="K636" s="458"/>
      <c r="L636" s="458"/>
      <c r="M636" s="458"/>
      <c r="N636" s="458"/>
      <c r="O636" s="443"/>
      <c r="P636" s="447"/>
    </row>
    <row r="637" spans="1:16" s="497" customFormat="1" ht="15">
      <c r="A637" s="443"/>
      <c r="B637" s="443"/>
      <c r="C637" s="443"/>
      <c r="D637" s="443"/>
      <c r="E637" s="458"/>
      <c r="F637" s="458"/>
      <c r="G637" s="458"/>
      <c r="H637" s="458"/>
      <c r="I637" s="458"/>
      <c r="J637" s="458"/>
      <c r="K637" s="458"/>
      <c r="L637" s="458"/>
      <c r="M637" s="458"/>
      <c r="N637" s="458"/>
      <c r="O637" s="443"/>
      <c r="P637" s="447"/>
    </row>
    <row r="638" spans="1:16" s="497" customFormat="1" ht="15">
      <c r="A638" s="443"/>
      <c r="B638" s="443"/>
      <c r="C638" s="443"/>
      <c r="D638" s="443"/>
      <c r="E638" s="458"/>
      <c r="F638" s="458"/>
      <c r="G638" s="458"/>
      <c r="H638" s="458"/>
      <c r="I638" s="458"/>
      <c r="J638" s="458"/>
      <c r="K638" s="458"/>
      <c r="L638" s="458"/>
      <c r="M638" s="458"/>
      <c r="N638" s="458"/>
      <c r="O638" s="443"/>
      <c r="P638" s="447"/>
    </row>
    <row r="639" spans="1:16" s="497" customFormat="1" ht="15">
      <c r="A639" s="443"/>
      <c r="B639" s="443"/>
      <c r="C639" s="443"/>
      <c r="D639" s="443"/>
      <c r="E639" s="458"/>
      <c r="F639" s="458"/>
      <c r="G639" s="458"/>
      <c r="H639" s="458"/>
      <c r="I639" s="458"/>
      <c r="J639" s="458"/>
      <c r="K639" s="458"/>
      <c r="L639" s="458"/>
      <c r="M639" s="458"/>
      <c r="N639" s="458"/>
      <c r="O639" s="443"/>
      <c r="P639" s="447"/>
    </row>
    <row r="640" spans="1:16" s="497" customFormat="1" ht="15">
      <c r="A640" s="443"/>
      <c r="B640" s="443"/>
      <c r="C640" s="443"/>
      <c r="D640" s="443"/>
      <c r="E640" s="458"/>
      <c r="F640" s="458"/>
      <c r="G640" s="458"/>
      <c r="H640" s="458"/>
      <c r="I640" s="458"/>
      <c r="J640" s="458"/>
      <c r="K640" s="458"/>
      <c r="L640" s="458"/>
      <c r="M640" s="458"/>
      <c r="N640" s="458"/>
      <c r="O640" s="443"/>
      <c r="P640" s="447"/>
    </row>
    <row r="641" spans="1:16" s="497" customFormat="1" ht="15">
      <c r="A641" s="443"/>
      <c r="B641" s="443"/>
      <c r="C641" s="443"/>
      <c r="D641" s="443"/>
      <c r="E641" s="458"/>
      <c r="F641" s="458"/>
      <c r="G641" s="458"/>
      <c r="H641" s="458"/>
      <c r="I641" s="458"/>
      <c r="J641" s="458"/>
      <c r="K641" s="458"/>
      <c r="L641" s="458"/>
      <c r="M641" s="458"/>
      <c r="N641" s="458"/>
      <c r="O641" s="443"/>
      <c r="P641" s="447"/>
    </row>
    <row r="642" spans="1:16" s="497" customFormat="1" ht="15">
      <c r="A642" s="443"/>
      <c r="B642" s="443"/>
      <c r="C642" s="443"/>
      <c r="D642" s="443"/>
      <c r="E642" s="458"/>
      <c r="F642" s="458"/>
      <c r="G642" s="458"/>
      <c r="H642" s="458"/>
      <c r="I642" s="458"/>
      <c r="J642" s="458"/>
      <c r="K642" s="458"/>
      <c r="L642" s="458"/>
      <c r="M642" s="458"/>
      <c r="N642" s="458"/>
      <c r="O642" s="443"/>
      <c r="P642" s="447"/>
    </row>
    <row r="643" spans="1:16" s="497" customFormat="1" ht="15">
      <c r="A643" s="443"/>
      <c r="B643" s="443"/>
      <c r="C643" s="443"/>
      <c r="D643" s="443"/>
      <c r="E643" s="458"/>
      <c r="F643" s="458"/>
      <c r="G643" s="458"/>
      <c r="H643" s="458"/>
      <c r="I643" s="458"/>
      <c r="J643" s="458"/>
      <c r="K643" s="458"/>
      <c r="L643" s="458"/>
      <c r="M643" s="458"/>
      <c r="N643" s="458"/>
      <c r="O643" s="443"/>
      <c r="P643" s="447"/>
    </row>
    <row r="644" spans="1:16" s="497" customFormat="1" ht="15">
      <c r="A644" s="443"/>
      <c r="B644" s="443"/>
      <c r="C644" s="443"/>
      <c r="D644" s="443"/>
      <c r="E644" s="458"/>
      <c r="F644" s="458"/>
      <c r="G644" s="458"/>
      <c r="H644" s="458"/>
      <c r="I644" s="458"/>
      <c r="J644" s="458"/>
      <c r="K644" s="458"/>
      <c r="L644" s="458"/>
      <c r="M644" s="458"/>
      <c r="N644" s="458"/>
      <c r="O644" s="443"/>
      <c r="P644" s="447"/>
    </row>
    <row r="645" spans="1:16" s="497" customFormat="1" ht="15">
      <c r="A645" s="443"/>
      <c r="B645" s="443"/>
      <c r="C645" s="443"/>
      <c r="D645" s="443"/>
      <c r="E645" s="458"/>
      <c r="F645" s="458"/>
      <c r="G645" s="458"/>
      <c r="H645" s="458"/>
      <c r="I645" s="458"/>
      <c r="J645" s="458"/>
      <c r="K645" s="458"/>
      <c r="L645" s="458"/>
      <c r="M645" s="458"/>
      <c r="N645" s="458"/>
      <c r="O645" s="443"/>
      <c r="P645" s="447"/>
    </row>
    <row r="646" spans="1:16" s="497" customFormat="1" ht="15">
      <c r="A646" s="443"/>
      <c r="B646" s="443"/>
      <c r="C646" s="443"/>
      <c r="D646" s="443"/>
      <c r="E646" s="458"/>
      <c r="F646" s="458"/>
      <c r="G646" s="458"/>
      <c r="H646" s="458"/>
      <c r="I646" s="458"/>
      <c r="J646" s="458"/>
      <c r="K646" s="458"/>
      <c r="L646" s="458"/>
      <c r="M646" s="458"/>
      <c r="N646" s="458"/>
      <c r="O646" s="443"/>
      <c r="P646" s="447"/>
    </row>
    <row r="647" spans="1:16" s="497" customFormat="1" ht="15">
      <c r="A647" s="443"/>
      <c r="B647" s="443"/>
      <c r="C647" s="443"/>
      <c r="D647" s="443"/>
      <c r="E647" s="458"/>
      <c r="F647" s="458"/>
      <c r="G647" s="458"/>
      <c r="H647" s="458"/>
      <c r="I647" s="458"/>
      <c r="J647" s="458"/>
      <c r="K647" s="458"/>
      <c r="L647" s="458"/>
      <c r="M647" s="458"/>
      <c r="N647" s="458"/>
      <c r="O647" s="443"/>
      <c r="P647" s="447"/>
    </row>
    <row r="648" spans="1:16" s="497" customFormat="1" ht="15">
      <c r="A648" s="443"/>
      <c r="B648" s="443"/>
      <c r="C648" s="443"/>
      <c r="D648" s="443"/>
      <c r="E648" s="458"/>
      <c r="F648" s="458"/>
      <c r="G648" s="458"/>
      <c r="H648" s="458"/>
      <c r="I648" s="458"/>
      <c r="J648" s="458"/>
      <c r="K648" s="458"/>
      <c r="L648" s="458"/>
      <c r="M648" s="458"/>
      <c r="N648" s="458"/>
      <c r="O648" s="443"/>
      <c r="P648" s="447"/>
    </row>
    <row r="649" spans="1:16" s="497" customFormat="1" ht="15">
      <c r="A649" s="443"/>
      <c r="B649" s="443"/>
      <c r="C649" s="443"/>
      <c r="D649" s="443"/>
      <c r="E649" s="458"/>
      <c r="F649" s="458"/>
      <c r="G649" s="458"/>
      <c r="H649" s="458"/>
      <c r="I649" s="458"/>
      <c r="J649" s="458"/>
      <c r="K649" s="458"/>
      <c r="L649" s="458"/>
      <c r="M649" s="458"/>
      <c r="N649" s="458"/>
      <c r="O649" s="443"/>
      <c r="P649" s="447"/>
    </row>
    <row r="650" spans="1:16" s="497" customFormat="1" ht="15">
      <c r="A650" s="443"/>
      <c r="B650" s="443"/>
      <c r="C650" s="443"/>
      <c r="D650" s="443"/>
      <c r="E650" s="458"/>
      <c r="F650" s="458"/>
      <c r="G650" s="458"/>
      <c r="H650" s="458"/>
      <c r="I650" s="458"/>
      <c r="J650" s="458"/>
      <c r="K650" s="458"/>
      <c r="L650" s="458"/>
      <c r="M650" s="458"/>
      <c r="N650" s="458"/>
      <c r="O650" s="443"/>
      <c r="P650" s="447"/>
    </row>
    <row r="651" spans="1:16" s="497" customFormat="1" ht="15">
      <c r="A651" s="443"/>
      <c r="B651" s="443"/>
      <c r="C651" s="443"/>
      <c r="D651" s="443"/>
      <c r="E651" s="458"/>
      <c r="F651" s="458"/>
      <c r="G651" s="458"/>
      <c r="H651" s="458"/>
      <c r="I651" s="458"/>
      <c r="J651" s="458"/>
      <c r="K651" s="458"/>
      <c r="L651" s="458"/>
      <c r="M651" s="458"/>
      <c r="N651" s="458"/>
      <c r="O651" s="443"/>
      <c r="P651" s="447"/>
    </row>
    <row r="652" spans="1:16" s="497" customFormat="1" ht="15">
      <c r="A652" s="443"/>
      <c r="B652" s="443"/>
      <c r="C652" s="443"/>
      <c r="D652" s="443"/>
      <c r="E652" s="458"/>
      <c r="F652" s="458"/>
      <c r="G652" s="458"/>
      <c r="H652" s="458"/>
      <c r="I652" s="458"/>
      <c r="J652" s="458"/>
      <c r="K652" s="458"/>
      <c r="L652" s="458"/>
      <c r="M652" s="458"/>
      <c r="N652" s="458"/>
      <c r="O652" s="443"/>
      <c r="P652" s="447"/>
    </row>
    <row r="653" spans="1:16" s="497" customFormat="1" ht="15">
      <c r="A653" s="443"/>
      <c r="B653" s="443"/>
      <c r="C653" s="443"/>
      <c r="D653" s="443"/>
      <c r="E653" s="458"/>
      <c r="F653" s="458"/>
      <c r="G653" s="458"/>
      <c r="H653" s="458"/>
      <c r="I653" s="458"/>
      <c r="J653" s="458"/>
      <c r="K653" s="458"/>
      <c r="L653" s="458"/>
      <c r="M653" s="458"/>
      <c r="N653" s="458"/>
      <c r="O653" s="443"/>
      <c r="P653" s="447"/>
    </row>
    <row r="654" spans="1:16" s="497" customFormat="1" ht="15">
      <c r="A654" s="443"/>
      <c r="B654" s="443"/>
      <c r="C654" s="443"/>
      <c r="D654" s="443"/>
      <c r="E654" s="458"/>
      <c r="F654" s="458"/>
      <c r="G654" s="458"/>
      <c r="H654" s="458"/>
      <c r="I654" s="458"/>
      <c r="J654" s="458"/>
      <c r="K654" s="458"/>
      <c r="L654" s="458"/>
      <c r="M654" s="458"/>
      <c r="N654" s="458"/>
      <c r="O654" s="443"/>
      <c r="P654" s="447"/>
    </row>
    <row r="655" spans="1:16" s="497" customFormat="1" ht="15">
      <c r="A655" s="443"/>
      <c r="B655" s="443"/>
      <c r="C655" s="443"/>
      <c r="D655" s="443"/>
      <c r="E655" s="458"/>
      <c r="F655" s="458"/>
      <c r="G655" s="458"/>
      <c r="H655" s="458"/>
      <c r="I655" s="458"/>
      <c r="J655" s="458"/>
      <c r="K655" s="458"/>
      <c r="L655" s="458"/>
      <c r="M655" s="458"/>
      <c r="N655" s="458"/>
      <c r="O655" s="443"/>
      <c r="P655" s="447"/>
    </row>
    <row r="656" spans="1:16" s="497" customFormat="1" ht="15">
      <c r="A656" s="443"/>
      <c r="B656" s="443"/>
      <c r="C656" s="443"/>
      <c r="D656" s="443"/>
      <c r="E656" s="458"/>
      <c r="F656" s="458"/>
      <c r="G656" s="458"/>
      <c r="H656" s="458"/>
      <c r="I656" s="458"/>
      <c r="J656" s="458"/>
      <c r="K656" s="458"/>
      <c r="L656" s="458"/>
      <c r="M656" s="458"/>
      <c r="N656" s="458"/>
      <c r="O656" s="443"/>
      <c r="P656" s="447"/>
    </row>
    <row r="657" spans="1:16" s="497" customFormat="1" ht="15">
      <c r="A657" s="443"/>
      <c r="B657" s="443"/>
      <c r="C657" s="443"/>
      <c r="D657" s="443"/>
      <c r="E657" s="458"/>
      <c r="F657" s="458"/>
      <c r="G657" s="458"/>
      <c r="H657" s="458"/>
      <c r="I657" s="458"/>
      <c r="J657" s="458"/>
      <c r="K657" s="458"/>
      <c r="L657" s="458"/>
      <c r="M657" s="458"/>
      <c r="N657" s="458"/>
      <c r="O657" s="443"/>
      <c r="P657" s="447"/>
    </row>
    <row r="658" spans="1:16" s="497" customFormat="1" ht="15">
      <c r="A658" s="443"/>
      <c r="B658" s="443"/>
      <c r="C658" s="443"/>
      <c r="D658" s="443"/>
      <c r="E658" s="458"/>
      <c r="F658" s="458"/>
      <c r="G658" s="458"/>
      <c r="H658" s="458"/>
      <c r="I658" s="458"/>
      <c r="J658" s="458"/>
      <c r="K658" s="458"/>
      <c r="L658" s="458"/>
      <c r="M658" s="458"/>
      <c r="N658" s="458"/>
      <c r="O658" s="443"/>
      <c r="P658" s="447"/>
    </row>
    <row r="659" spans="1:16" s="497" customFormat="1" ht="15">
      <c r="A659" s="443"/>
      <c r="B659" s="443"/>
      <c r="C659" s="443"/>
      <c r="D659" s="443"/>
      <c r="E659" s="458"/>
      <c r="F659" s="458"/>
      <c r="G659" s="458"/>
      <c r="H659" s="458"/>
      <c r="I659" s="458"/>
      <c r="J659" s="458"/>
      <c r="K659" s="458"/>
      <c r="L659" s="458"/>
      <c r="M659" s="458"/>
      <c r="N659" s="458"/>
      <c r="O659" s="443"/>
      <c r="P659" s="447"/>
    </row>
    <row r="660" spans="1:16" s="497" customFormat="1" ht="15">
      <c r="A660" s="443"/>
      <c r="B660" s="443"/>
      <c r="C660" s="443"/>
      <c r="D660" s="443"/>
      <c r="E660" s="458"/>
      <c r="F660" s="458"/>
      <c r="G660" s="458"/>
      <c r="H660" s="458"/>
      <c r="I660" s="458"/>
      <c r="J660" s="458"/>
      <c r="K660" s="458"/>
      <c r="L660" s="458"/>
      <c r="M660" s="458"/>
      <c r="N660" s="458"/>
      <c r="O660" s="443"/>
      <c r="P660" s="447"/>
    </row>
    <row r="661" spans="1:16" s="497" customFormat="1" ht="15">
      <c r="A661" s="443"/>
      <c r="B661" s="443"/>
      <c r="C661" s="443"/>
      <c r="D661" s="443"/>
      <c r="E661" s="458"/>
      <c r="F661" s="458"/>
      <c r="G661" s="458"/>
      <c r="H661" s="458"/>
      <c r="I661" s="458"/>
      <c r="J661" s="458"/>
      <c r="K661" s="458"/>
      <c r="L661" s="458"/>
      <c r="M661" s="458"/>
      <c r="N661" s="458"/>
      <c r="O661" s="443"/>
      <c r="P661" s="447"/>
    </row>
    <row r="662" spans="1:16" s="497" customFormat="1" ht="15">
      <c r="A662" s="443"/>
      <c r="B662" s="443"/>
      <c r="C662" s="443"/>
      <c r="D662" s="443"/>
      <c r="E662" s="458"/>
      <c r="F662" s="458"/>
      <c r="G662" s="458"/>
      <c r="H662" s="458"/>
      <c r="I662" s="458"/>
      <c r="J662" s="458"/>
      <c r="K662" s="458"/>
      <c r="L662" s="458"/>
      <c r="M662" s="458"/>
      <c r="N662" s="458"/>
      <c r="O662" s="443"/>
      <c r="P662" s="447"/>
    </row>
    <row r="663" spans="1:16" s="497" customFormat="1" ht="15">
      <c r="A663" s="443"/>
      <c r="B663" s="443"/>
      <c r="C663" s="443"/>
      <c r="D663" s="443"/>
      <c r="E663" s="458"/>
      <c r="F663" s="458"/>
      <c r="G663" s="458"/>
      <c r="H663" s="458"/>
      <c r="I663" s="458"/>
      <c r="J663" s="458"/>
      <c r="K663" s="458"/>
      <c r="L663" s="458"/>
      <c r="M663" s="458"/>
      <c r="N663" s="458"/>
      <c r="O663" s="443"/>
      <c r="P663" s="447"/>
    </row>
    <row r="664" spans="1:16" s="497" customFormat="1" ht="15">
      <c r="A664" s="443"/>
      <c r="B664" s="443"/>
      <c r="C664" s="443"/>
      <c r="D664" s="443"/>
      <c r="E664" s="458"/>
      <c r="F664" s="458"/>
      <c r="G664" s="458"/>
      <c r="H664" s="458"/>
      <c r="I664" s="458"/>
      <c r="J664" s="458"/>
      <c r="K664" s="458"/>
      <c r="L664" s="458"/>
      <c r="M664" s="458"/>
      <c r="N664" s="458"/>
      <c r="O664" s="443"/>
      <c r="P664" s="447"/>
    </row>
    <row r="665" spans="1:16" s="497" customFormat="1" ht="15">
      <c r="A665" s="443"/>
      <c r="B665" s="443"/>
      <c r="C665" s="443"/>
      <c r="D665" s="443"/>
      <c r="E665" s="458"/>
      <c r="F665" s="458"/>
      <c r="G665" s="458"/>
      <c r="H665" s="458"/>
      <c r="I665" s="458"/>
      <c r="J665" s="458"/>
      <c r="K665" s="458"/>
      <c r="L665" s="458"/>
      <c r="M665" s="458"/>
      <c r="N665" s="458"/>
      <c r="O665" s="443"/>
      <c r="P665" s="447"/>
    </row>
    <row r="666" spans="1:16" s="497" customFormat="1" ht="15">
      <c r="A666" s="443"/>
      <c r="B666" s="443"/>
      <c r="C666" s="443"/>
      <c r="D666" s="443"/>
      <c r="E666" s="458"/>
      <c r="F666" s="458"/>
      <c r="G666" s="458"/>
      <c r="H666" s="458"/>
      <c r="I666" s="458"/>
      <c r="J666" s="458"/>
      <c r="K666" s="458"/>
      <c r="L666" s="458"/>
      <c r="M666" s="458"/>
      <c r="N666" s="458"/>
      <c r="O666" s="443"/>
      <c r="P666" s="447"/>
    </row>
    <row r="667" spans="1:16" s="497" customFormat="1" ht="15">
      <c r="A667" s="443"/>
      <c r="B667" s="443"/>
      <c r="C667" s="443"/>
      <c r="D667" s="443"/>
      <c r="E667" s="458"/>
      <c r="F667" s="458"/>
      <c r="G667" s="458"/>
      <c r="H667" s="458"/>
      <c r="I667" s="458"/>
      <c r="J667" s="458"/>
      <c r="K667" s="458"/>
      <c r="L667" s="458"/>
      <c r="M667" s="458"/>
      <c r="N667" s="458"/>
      <c r="O667" s="443"/>
      <c r="P667" s="447"/>
    </row>
    <row r="668" spans="1:16" s="497" customFormat="1" ht="15">
      <c r="A668" s="443"/>
      <c r="B668" s="443"/>
      <c r="C668" s="443"/>
      <c r="D668" s="443"/>
      <c r="E668" s="458"/>
      <c r="F668" s="458"/>
      <c r="G668" s="458"/>
      <c r="H668" s="458"/>
      <c r="I668" s="458"/>
      <c r="J668" s="458"/>
      <c r="K668" s="458"/>
      <c r="L668" s="458"/>
      <c r="M668" s="458"/>
      <c r="N668" s="458"/>
      <c r="O668" s="443"/>
      <c r="P668" s="447"/>
    </row>
    <row r="669" spans="1:16" s="497" customFormat="1" ht="15">
      <c r="A669" s="443"/>
      <c r="B669" s="443"/>
      <c r="C669" s="443"/>
      <c r="D669" s="443"/>
      <c r="E669" s="458"/>
      <c r="F669" s="458"/>
      <c r="G669" s="458"/>
      <c r="H669" s="458"/>
      <c r="I669" s="458"/>
      <c r="J669" s="458"/>
      <c r="K669" s="458"/>
      <c r="L669" s="458"/>
      <c r="M669" s="458"/>
      <c r="N669" s="458"/>
      <c r="O669" s="443"/>
      <c r="P669" s="447"/>
    </row>
    <row r="670" spans="1:16" s="497" customFormat="1" ht="15">
      <c r="A670" s="443"/>
      <c r="B670" s="443"/>
      <c r="C670" s="443"/>
      <c r="D670" s="443"/>
      <c r="E670" s="458"/>
      <c r="F670" s="458"/>
      <c r="G670" s="458"/>
      <c r="H670" s="458"/>
      <c r="I670" s="458"/>
      <c r="J670" s="458"/>
      <c r="K670" s="458"/>
      <c r="L670" s="458"/>
      <c r="M670" s="458"/>
      <c r="N670" s="458"/>
      <c r="O670" s="443"/>
      <c r="P670" s="447"/>
    </row>
    <row r="671" spans="1:16" s="497" customFormat="1" ht="15">
      <c r="A671" s="443"/>
      <c r="B671" s="443"/>
      <c r="C671" s="443"/>
      <c r="D671" s="443"/>
      <c r="E671" s="458"/>
      <c r="F671" s="458"/>
      <c r="G671" s="458"/>
      <c r="H671" s="458"/>
      <c r="I671" s="458"/>
      <c r="J671" s="458"/>
      <c r="K671" s="458"/>
      <c r="L671" s="458"/>
      <c r="M671" s="458"/>
      <c r="N671" s="458"/>
      <c r="O671" s="443"/>
      <c r="P671" s="447"/>
    </row>
    <row r="672" spans="1:16" s="497" customFormat="1" ht="15">
      <c r="A672" s="443"/>
      <c r="B672" s="443"/>
      <c r="C672" s="443"/>
      <c r="D672" s="443"/>
      <c r="E672" s="458"/>
      <c r="F672" s="458"/>
      <c r="G672" s="458"/>
      <c r="H672" s="458"/>
      <c r="I672" s="458"/>
      <c r="J672" s="458"/>
      <c r="K672" s="458"/>
      <c r="L672" s="458"/>
      <c r="M672" s="458"/>
      <c r="N672" s="458"/>
      <c r="O672" s="443"/>
      <c r="P672" s="447"/>
    </row>
    <row r="673" spans="1:16" s="497" customFormat="1" ht="15">
      <c r="A673" s="443"/>
      <c r="B673" s="443"/>
      <c r="C673" s="443"/>
      <c r="D673" s="443"/>
      <c r="E673" s="458"/>
      <c r="F673" s="458"/>
      <c r="G673" s="458"/>
      <c r="H673" s="458"/>
      <c r="I673" s="458"/>
      <c r="J673" s="458"/>
      <c r="K673" s="458"/>
      <c r="L673" s="458"/>
      <c r="M673" s="458"/>
      <c r="N673" s="458"/>
      <c r="O673" s="443"/>
      <c r="P673" s="447"/>
    </row>
    <row r="674" spans="1:16" s="497" customFormat="1" ht="15">
      <c r="A674" s="443"/>
      <c r="B674" s="443"/>
      <c r="C674" s="443"/>
      <c r="D674" s="443"/>
      <c r="E674" s="458"/>
      <c r="F674" s="458"/>
      <c r="G674" s="458"/>
      <c r="H674" s="458"/>
      <c r="I674" s="458"/>
      <c r="J674" s="458"/>
      <c r="K674" s="458"/>
      <c r="L674" s="458"/>
      <c r="M674" s="458"/>
      <c r="N674" s="458"/>
      <c r="O674" s="443"/>
      <c r="P674" s="447"/>
    </row>
    <row r="675" spans="1:16" s="497" customFormat="1" ht="15">
      <c r="A675" s="443"/>
      <c r="B675" s="443"/>
      <c r="C675" s="443"/>
      <c r="D675" s="443"/>
      <c r="E675" s="458"/>
      <c r="F675" s="458"/>
      <c r="G675" s="458"/>
      <c r="H675" s="458"/>
      <c r="I675" s="458"/>
      <c r="J675" s="458"/>
      <c r="K675" s="458"/>
      <c r="L675" s="458"/>
      <c r="M675" s="458"/>
      <c r="N675" s="458"/>
      <c r="O675" s="443"/>
      <c r="P675" s="447"/>
    </row>
    <row r="676" spans="1:16" s="497" customFormat="1" ht="15">
      <c r="A676" s="443"/>
      <c r="B676" s="443"/>
      <c r="C676" s="443"/>
      <c r="D676" s="443"/>
      <c r="E676" s="458"/>
      <c r="F676" s="458"/>
      <c r="G676" s="458"/>
      <c r="H676" s="458"/>
      <c r="I676" s="458"/>
      <c r="J676" s="458"/>
      <c r="K676" s="458"/>
      <c r="L676" s="458"/>
      <c r="M676" s="458"/>
      <c r="N676" s="458"/>
      <c r="O676" s="443"/>
      <c r="P676" s="447"/>
    </row>
    <row r="677" spans="1:16" s="497" customFormat="1" ht="15">
      <c r="A677" s="443"/>
      <c r="B677" s="443"/>
      <c r="C677" s="443"/>
      <c r="D677" s="443"/>
      <c r="E677" s="458"/>
      <c r="F677" s="458"/>
      <c r="G677" s="458"/>
      <c r="H677" s="458"/>
      <c r="I677" s="458"/>
      <c r="J677" s="458"/>
      <c r="K677" s="458"/>
      <c r="L677" s="458"/>
      <c r="M677" s="458"/>
      <c r="N677" s="458"/>
      <c r="O677" s="443"/>
      <c r="P677" s="447"/>
    </row>
    <row r="678" spans="1:16" s="497" customFormat="1" ht="15">
      <c r="A678" s="443"/>
      <c r="B678" s="443"/>
      <c r="C678" s="443"/>
      <c r="D678" s="443"/>
      <c r="E678" s="458"/>
      <c r="F678" s="458"/>
      <c r="G678" s="458"/>
      <c r="H678" s="458"/>
      <c r="I678" s="458"/>
      <c r="J678" s="458"/>
      <c r="K678" s="458"/>
      <c r="L678" s="458"/>
      <c r="M678" s="458"/>
      <c r="N678" s="458"/>
      <c r="O678" s="443"/>
      <c r="P678" s="447"/>
    </row>
    <row r="679" spans="1:16" s="497" customFormat="1" ht="15">
      <c r="A679" s="443"/>
      <c r="B679" s="443"/>
      <c r="C679" s="443"/>
      <c r="D679" s="443"/>
      <c r="E679" s="458"/>
      <c r="F679" s="458"/>
      <c r="G679" s="458"/>
      <c r="H679" s="458"/>
      <c r="I679" s="458"/>
      <c r="J679" s="458"/>
      <c r="K679" s="458"/>
      <c r="L679" s="458"/>
      <c r="M679" s="458"/>
      <c r="N679" s="458"/>
      <c r="O679" s="443"/>
      <c r="P679" s="447"/>
    </row>
    <row r="680" spans="1:16" s="497" customFormat="1" ht="15">
      <c r="A680" s="443"/>
      <c r="B680" s="443"/>
      <c r="C680" s="443"/>
      <c r="D680" s="443"/>
      <c r="E680" s="458"/>
      <c r="F680" s="458"/>
      <c r="G680" s="458"/>
      <c r="H680" s="458"/>
      <c r="I680" s="458"/>
      <c r="J680" s="458"/>
      <c r="K680" s="458"/>
      <c r="L680" s="458"/>
      <c r="M680" s="458"/>
      <c r="N680" s="458"/>
      <c r="O680" s="443"/>
      <c r="P680" s="447"/>
    </row>
    <row r="681" spans="1:16" s="497" customFormat="1" ht="15">
      <c r="A681" s="443"/>
      <c r="B681" s="443"/>
      <c r="C681" s="443"/>
      <c r="D681" s="443"/>
      <c r="E681" s="458"/>
      <c r="F681" s="458"/>
      <c r="G681" s="458"/>
      <c r="H681" s="458"/>
      <c r="I681" s="458"/>
      <c r="J681" s="458"/>
      <c r="K681" s="458"/>
      <c r="L681" s="458"/>
      <c r="M681" s="458"/>
      <c r="N681" s="458"/>
      <c r="O681" s="443"/>
      <c r="P681" s="447"/>
    </row>
    <row r="682" spans="1:16" s="497" customFormat="1" ht="15">
      <c r="A682" s="443"/>
      <c r="B682" s="443"/>
      <c r="C682" s="443"/>
      <c r="D682" s="443"/>
      <c r="E682" s="458"/>
      <c r="F682" s="458"/>
      <c r="G682" s="458"/>
      <c r="H682" s="458"/>
      <c r="I682" s="458"/>
      <c r="J682" s="458"/>
      <c r="K682" s="458"/>
      <c r="L682" s="458"/>
      <c r="M682" s="458"/>
      <c r="N682" s="458"/>
      <c r="O682" s="443"/>
      <c r="P682" s="447"/>
    </row>
    <row r="683" spans="1:16" s="497" customFormat="1" ht="15">
      <c r="A683" s="443"/>
      <c r="B683" s="443"/>
      <c r="C683" s="443"/>
      <c r="D683" s="443"/>
      <c r="E683" s="458"/>
      <c r="F683" s="458"/>
      <c r="G683" s="458"/>
      <c r="H683" s="458"/>
      <c r="I683" s="458"/>
      <c r="J683" s="458"/>
      <c r="K683" s="458"/>
      <c r="L683" s="458"/>
      <c r="M683" s="458"/>
      <c r="N683" s="458"/>
      <c r="O683" s="443"/>
      <c r="P683" s="447"/>
    </row>
    <row r="684" spans="1:16" s="497" customFormat="1" ht="15">
      <c r="A684" s="443"/>
      <c r="B684" s="443"/>
      <c r="C684" s="443"/>
      <c r="D684" s="443"/>
      <c r="E684" s="458"/>
      <c r="F684" s="458"/>
      <c r="G684" s="458"/>
      <c r="H684" s="458"/>
      <c r="I684" s="458"/>
      <c r="J684" s="458"/>
      <c r="K684" s="458"/>
      <c r="L684" s="458"/>
      <c r="M684" s="458"/>
      <c r="N684" s="458"/>
      <c r="O684" s="443"/>
      <c r="P684" s="447"/>
    </row>
    <row r="685" spans="1:16" s="497" customFormat="1" ht="15">
      <c r="A685" s="443"/>
      <c r="B685" s="443"/>
      <c r="C685" s="443"/>
      <c r="D685" s="443"/>
      <c r="E685" s="458"/>
      <c r="F685" s="458"/>
      <c r="G685" s="458"/>
      <c r="H685" s="458"/>
      <c r="I685" s="458"/>
      <c r="J685" s="458"/>
      <c r="K685" s="458"/>
      <c r="L685" s="458"/>
      <c r="M685" s="458"/>
      <c r="N685" s="458"/>
      <c r="O685" s="443"/>
      <c r="P685" s="447"/>
    </row>
    <row r="686" spans="1:16" s="497" customFormat="1" ht="15">
      <c r="A686" s="443"/>
      <c r="B686" s="443"/>
      <c r="C686" s="443"/>
      <c r="D686" s="443"/>
      <c r="E686" s="458"/>
      <c r="F686" s="458"/>
      <c r="G686" s="458"/>
      <c r="H686" s="458"/>
      <c r="I686" s="458"/>
      <c r="J686" s="458"/>
      <c r="K686" s="458"/>
      <c r="L686" s="458"/>
      <c r="M686" s="458"/>
      <c r="N686" s="458"/>
      <c r="O686" s="443"/>
      <c r="P686" s="447"/>
    </row>
    <row r="687" spans="1:16" s="497" customFormat="1" ht="15">
      <c r="A687" s="443"/>
      <c r="B687" s="443"/>
      <c r="C687" s="443"/>
      <c r="D687" s="443"/>
      <c r="E687" s="458"/>
      <c r="F687" s="458"/>
      <c r="G687" s="458"/>
      <c r="H687" s="458"/>
      <c r="I687" s="458"/>
      <c r="J687" s="458"/>
      <c r="K687" s="458"/>
      <c r="L687" s="458"/>
      <c r="M687" s="458"/>
      <c r="N687" s="458"/>
      <c r="O687" s="443"/>
      <c r="P687" s="447"/>
    </row>
    <row r="688" spans="1:16" s="497" customFormat="1" ht="15">
      <c r="A688" s="443"/>
      <c r="B688" s="443"/>
      <c r="C688" s="443"/>
      <c r="D688" s="443"/>
      <c r="E688" s="458"/>
      <c r="F688" s="458"/>
      <c r="G688" s="458"/>
      <c r="H688" s="458"/>
      <c r="I688" s="458"/>
      <c r="J688" s="458"/>
      <c r="K688" s="458"/>
      <c r="L688" s="458"/>
      <c r="M688" s="458"/>
      <c r="N688" s="458"/>
      <c r="O688" s="443"/>
      <c r="P688" s="447"/>
    </row>
    <row r="689" spans="1:16" s="497" customFormat="1" ht="15">
      <c r="A689" s="443"/>
      <c r="B689" s="443"/>
      <c r="C689" s="443"/>
      <c r="D689" s="443"/>
      <c r="E689" s="458"/>
      <c r="F689" s="458"/>
      <c r="G689" s="458"/>
      <c r="H689" s="458"/>
      <c r="I689" s="458"/>
      <c r="J689" s="458"/>
      <c r="K689" s="458"/>
      <c r="L689" s="458"/>
      <c r="M689" s="458"/>
      <c r="N689" s="458"/>
      <c r="O689" s="443"/>
      <c r="P689" s="447"/>
    </row>
    <row r="690" spans="1:16" s="497" customFormat="1" ht="15">
      <c r="A690" s="443"/>
      <c r="B690" s="443"/>
      <c r="C690" s="443"/>
      <c r="D690" s="443"/>
      <c r="E690" s="458"/>
      <c r="F690" s="458"/>
      <c r="G690" s="458"/>
      <c r="H690" s="458"/>
      <c r="I690" s="458"/>
      <c r="J690" s="458"/>
      <c r="K690" s="458"/>
      <c r="L690" s="458"/>
      <c r="M690" s="458"/>
      <c r="N690" s="458"/>
      <c r="O690" s="443"/>
      <c r="P690" s="447"/>
    </row>
    <row r="691" spans="1:16" s="497" customFormat="1" ht="15">
      <c r="A691" s="443"/>
      <c r="B691" s="443"/>
      <c r="C691" s="443"/>
      <c r="D691" s="443"/>
      <c r="E691" s="458"/>
      <c r="F691" s="458"/>
      <c r="G691" s="458"/>
      <c r="H691" s="458"/>
      <c r="I691" s="458"/>
      <c r="J691" s="458"/>
      <c r="K691" s="458"/>
      <c r="L691" s="458"/>
      <c r="M691" s="458"/>
      <c r="N691" s="458"/>
      <c r="O691" s="443"/>
      <c r="P691" s="447"/>
    </row>
    <row r="692" spans="1:16" s="497" customFormat="1" ht="15">
      <c r="A692" s="443"/>
      <c r="B692" s="443"/>
      <c r="C692" s="443"/>
      <c r="D692" s="443"/>
      <c r="E692" s="458"/>
      <c r="F692" s="458"/>
      <c r="G692" s="458"/>
      <c r="H692" s="458"/>
      <c r="I692" s="458"/>
      <c r="J692" s="458"/>
      <c r="K692" s="458"/>
      <c r="L692" s="458"/>
      <c r="M692" s="458"/>
      <c r="N692" s="458"/>
      <c r="O692" s="443"/>
      <c r="P692" s="447"/>
    </row>
    <row r="693" spans="1:16" s="497" customFormat="1" ht="15">
      <c r="A693" s="443"/>
      <c r="B693" s="443"/>
      <c r="C693" s="443"/>
      <c r="D693" s="443"/>
      <c r="E693" s="458"/>
      <c r="F693" s="458"/>
      <c r="G693" s="458"/>
      <c r="H693" s="458"/>
      <c r="I693" s="458"/>
      <c r="J693" s="458"/>
      <c r="K693" s="458"/>
      <c r="L693" s="458"/>
      <c r="M693" s="458"/>
      <c r="N693" s="458"/>
      <c r="O693" s="443"/>
      <c r="P693" s="447"/>
    </row>
    <row r="694" spans="1:16" s="497" customFormat="1" ht="15">
      <c r="A694" s="443"/>
      <c r="B694" s="443"/>
      <c r="C694" s="443"/>
      <c r="D694" s="443"/>
      <c r="E694" s="458"/>
      <c r="F694" s="458"/>
      <c r="G694" s="458"/>
      <c r="H694" s="458"/>
      <c r="I694" s="458"/>
      <c r="J694" s="458"/>
      <c r="K694" s="458"/>
      <c r="L694" s="458"/>
      <c r="M694" s="458"/>
      <c r="N694" s="458"/>
      <c r="O694" s="443"/>
      <c r="P694" s="447"/>
    </row>
    <row r="695" spans="1:16" s="497" customFormat="1" ht="15">
      <c r="A695" s="443"/>
      <c r="B695" s="443"/>
      <c r="C695" s="443"/>
      <c r="D695" s="443"/>
      <c r="E695" s="458"/>
      <c r="F695" s="458"/>
      <c r="G695" s="458"/>
      <c r="H695" s="458"/>
      <c r="I695" s="458"/>
      <c r="J695" s="458"/>
      <c r="K695" s="458"/>
      <c r="L695" s="458"/>
      <c r="M695" s="458"/>
      <c r="N695" s="458"/>
      <c r="O695" s="443"/>
      <c r="P695" s="447"/>
    </row>
    <row r="696" spans="1:16" s="497" customFormat="1" ht="15">
      <c r="A696" s="443"/>
      <c r="B696" s="443"/>
      <c r="C696" s="443"/>
      <c r="D696" s="443"/>
      <c r="E696" s="458"/>
      <c r="F696" s="458"/>
      <c r="G696" s="458"/>
      <c r="H696" s="458"/>
      <c r="I696" s="458"/>
      <c r="J696" s="458"/>
      <c r="K696" s="458"/>
      <c r="L696" s="458"/>
      <c r="M696" s="458"/>
      <c r="N696" s="458"/>
      <c r="O696" s="443"/>
      <c r="P696" s="447"/>
    </row>
    <row r="697" spans="1:16" s="497" customFormat="1" ht="15">
      <c r="A697" s="443"/>
      <c r="B697" s="443"/>
      <c r="C697" s="443"/>
      <c r="D697" s="443"/>
      <c r="E697" s="458"/>
      <c r="F697" s="458"/>
      <c r="G697" s="458"/>
      <c r="H697" s="458"/>
      <c r="I697" s="458"/>
      <c r="J697" s="458"/>
      <c r="K697" s="458"/>
      <c r="L697" s="458"/>
      <c r="M697" s="458"/>
      <c r="N697" s="458"/>
      <c r="O697" s="443"/>
      <c r="P697" s="447"/>
    </row>
    <row r="698" spans="1:16" s="497" customFormat="1" ht="15">
      <c r="A698" s="443"/>
      <c r="B698" s="443"/>
      <c r="C698" s="443"/>
      <c r="D698" s="443"/>
      <c r="E698" s="458"/>
      <c r="F698" s="458"/>
      <c r="G698" s="458"/>
      <c r="H698" s="458"/>
      <c r="I698" s="458"/>
      <c r="J698" s="458"/>
      <c r="K698" s="458"/>
      <c r="L698" s="458"/>
      <c r="M698" s="458"/>
      <c r="N698" s="458"/>
      <c r="O698" s="443"/>
      <c r="P698" s="447"/>
    </row>
    <row r="699" spans="1:16" s="497" customFormat="1" ht="15">
      <c r="A699" s="443"/>
      <c r="B699" s="443"/>
      <c r="C699" s="443"/>
      <c r="D699" s="443"/>
      <c r="E699" s="458"/>
      <c r="F699" s="458"/>
      <c r="G699" s="458"/>
      <c r="H699" s="458"/>
      <c r="I699" s="458"/>
      <c r="J699" s="458"/>
      <c r="K699" s="458"/>
      <c r="L699" s="458"/>
      <c r="M699" s="458"/>
      <c r="N699" s="458"/>
      <c r="O699" s="443"/>
      <c r="P699" s="447"/>
    </row>
    <row r="700" spans="1:16" s="497" customFormat="1" ht="15">
      <c r="A700" s="443"/>
      <c r="B700" s="443"/>
      <c r="C700" s="443"/>
      <c r="D700" s="443"/>
      <c r="E700" s="458"/>
      <c r="F700" s="458"/>
      <c r="G700" s="458"/>
      <c r="H700" s="458"/>
      <c r="I700" s="458"/>
      <c r="J700" s="458"/>
      <c r="K700" s="458"/>
      <c r="L700" s="458"/>
      <c r="M700" s="458"/>
      <c r="N700" s="458"/>
      <c r="O700" s="443"/>
      <c r="P700" s="447"/>
    </row>
    <row r="701" spans="1:16" s="497" customFormat="1" ht="15">
      <c r="A701" s="443"/>
      <c r="B701" s="443"/>
      <c r="C701" s="443"/>
      <c r="D701" s="443"/>
      <c r="E701" s="458"/>
      <c r="F701" s="458"/>
      <c r="G701" s="458"/>
      <c r="H701" s="458"/>
      <c r="I701" s="458"/>
      <c r="J701" s="458"/>
      <c r="K701" s="458"/>
      <c r="L701" s="458"/>
      <c r="M701" s="458"/>
      <c r="N701" s="458"/>
      <c r="O701" s="443"/>
      <c r="P701" s="447"/>
    </row>
    <row r="702" spans="1:16" s="497" customFormat="1" ht="15">
      <c r="A702" s="443"/>
      <c r="B702" s="443"/>
      <c r="C702" s="443"/>
      <c r="D702" s="443"/>
      <c r="E702" s="458"/>
      <c r="F702" s="458"/>
      <c r="G702" s="458"/>
      <c r="H702" s="458"/>
      <c r="I702" s="458"/>
      <c r="J702" s="458"/>
      <c r="K702" s="458"/>
      <c r="L702" s="458"/>
      <c r="M702" s="458"/>
      <c r="N702" s="458"/>
      <c r="O702" s="443"/>
      <c r="P702" s="447"/>
    </row>
    <row r="703" spans="1:16" s="497" customFormat="1" ht="15">
      <c r="A703" s="443"/>
      <c r="B703" s="443"/>
      <c r="C703" s="443"/>
      <c r="D703" s="443"/>
      <c r="E703" s="458"/>
      <c r="F703" s="458"/>
      <c r="G703" s="458"/>
      <c r="H703" s="458"/>
      <c r="I703" s="458"/>
      <c r="J703" s="458"/>
      <c r="K703" s="458"/>
      <c r="L703" s="458"/>
      <c r="M703" s="458"/>
      <c r="N703" s="458"/>
      <c r="O703" s="443"/>
      <c r="P703" s="447"/>
    </row>
    <row r="704" spans="1:16" s="497" customFormat="1" ht="15">
      <c r="A704" s="443"/>
      <c r="B704" s="443"/>
      <c r="C704" s="443"/>
      <c r="D704" s="443"/>
      <c r="E704" s="458"/>
      <c r="F704" s="458"/>
      <c r="G704" s="458"/>
      <c r="H704" s="458"/>
      <c r="I704" s="458"/>
      <c r="J704" s="458"/>
      <c r="K704" s="458"/>
      <c r="L704" s="458"/>
      <c r="M704" s="458"/>
      <c r="N704" s="458"/>
      <c r="O704" s="443"/>
      <c r="P704" s="447"/>
    </row>
    <row r="705" spans="1:16" s="497" customFormat="1" ht="15">
      <c r="A705" s="443"/>
      <c r="B705" s="443"/>
      <c r="C705" s="443"/>
      <c r="D705" s="443"/>
      <c r="E705" s="458"/>
      <c r="F705" s="458"/>
      <c r="G705" s="458"/>
      <c r="H705" s="458"/>
      <c r="I705" s="458"/>
      <c r="J705" s="458"/>
      <c r="K705" s="458"/>
      <c r="L705" s="458"/>
      <c r="M705" s="458"/>
      <c r="N705" s="458"/>
      <c r="O705" s="443"/>
      <c r="P705" s="447"/>
    </row>
    <row r="706" spans="1:16" s="497" customFormat="1" ht="15">
      <c r="A706" s="443"/>
      <c r="B706" s="443"/>
      <c r="C706" s="443"/>
      <c r="D706" s="443"/>
      <c r="E706" s="458"/>
      <c r="F706" s="458"/>
      <c r="G706" s="458"/>
      <c r="H706" s="458"/>
      <c r="I706" s="458"/>
      <c r="J706" s="458"/>
      <c r="K706" s="458"/>
      <c r="L706" s="458"/>
      <c r="M706" s="458"/>
      <c r="N706" s="458"/>
      <c r="O706" s="443"/>
      <c r="P706" s="447"/>
    </row>
    <row r="707" spans="1:16" s="497" customFormat="1" ht="15">
      <c r="A707" s="443"/>
      <c r="B707" s="443"/>
      <c r="C707" s="443"/>
      <c r="D707" s="443"/>
      <c r="E707" s="458"/>
      <c r="F707" s="458"/>
      <c r="G707" s="458"/>
      <c r="H707" s="458"/>
      <c r="I707" s="458"/>
      <c r="J707" s="458"/>
      <c r="K707" s="458"/>
      <c r="L707" s="458"/>
      <c r="M707" s="458"/>
      <c r="N707" s="458"/>
      <c r="O707" s="443"/>
      <c r="P707" s="447"/>
    </row>
    <row r="708" spans="1:16" s="497" customFormat="1" ht="15">
      <c r="A708" s="443"/>
      <c r="B708" s="443"/>
      <c r="C708" s="443"/>
      <c r="D708" s="443"/>
      <c r="E708" s="458"/>
      <c r="F708" s="458"/>
      <c r="G708" s="458"/>
      <c r="H708" s="458"/>
      <c r="I708" s="458"/>
      <c r="J708" s="458"/>
      <c r="K708" s="458"/>
      <c r="L708" s="458"/>
      <c r="M708" s="458"/>
      <c r="N708" s="458"/>
      <c r="O708" s="443"/>
      <c r="P708" s="447"/>
    </row>
    <row r="709" spans="1:16" s="497" customFormat="1" ht="15">
      <c r="A709" s="443"/>
      <c r="B709" s="443"/>
      <c r="C709" s="443"/>
      <c r="D709" s="443"/>
      <c r="E709" s="458"/>
      <c r="F709" s="458"/>
      <c r="G709" s="458"/>
      <c r="H709" s="458"/>
      <c r="I709" s="458"/>
      <c r="J709" s="458"/>
      <c r="K709" s="458"/>
      <c r="L709" s="458"/>
      <c r="M709" s="458"/>
      <c r="N709" s="458"/>
      <c r="O709" s="443"/>
      <c r="P709" s="447"/>
    </row>
    <row r="710" spans="1:16" s="497" customFormat="1" ht="15">
      <c r="A710" s="443"/>
      <c r="B710" s="443"/>
      <c r="C710" s="443"/>
      <c r="D710" s="443"/>
      <c r="E710" s="458"/>
      <c r="F710" s="458"/>
      <c r="G710" s="458"/>
      <c r="H710" s="458"/>
      <c r="I710" s="458"/>
      <c r="J710" s="458"/>
      <c r="K710" s="458"/>
      <c r="L710" s="458"/>
      <c r="M710" s="458"/>
      <c r="N710" s="458"/>
      <c r="O710" s="443"/>
      <c r="P710" s="447"/>
    </row>
    <row r="711" spans="1:16" s="497" customFormat="1" ht="15">
      <c r="A711" s="443"/>
      <c r="B711" s="443"/>
      <c r="C711" s="443"/>
      <c r="D711" s="443"/>
      <c r="E711" s="458"/>
      <c r="F711" s="458"/>
      <c r="G711" s="458"/>
      <c r="H711" s="458"/>
      <c r="I711" s="458"/>
      <c r="J711" s="458"/>
      <c r="K711" s="458"/>
      <c r="L711" s="458"/>
      <c r="M711" s="458"/>
      <c r="N711" s="458"/>
      <c r="O711" s="443"/>
      <c r="P711" s="447"/>
    </row>
    <row r="712" spans="1:16" s="497" customFormat="1" ht="15">
      <c r="A712" s="443"/>
      <c r="B712" s="443"/>
      <c r="C712" s="443"/>
      <c r="D712" s="443"/>
      <c r="E712" s="458"/>
      <c r="F712" s="458"/>
      <c r="G712" s="458"/>
      <c r="H712" s="458"/>
      <c r="I712" s="458"/>
      <c r="J712" s="458"/>
      <c r="K712" s="458"/>
      <c r="L712" s="458"/>
      <c r="M712" s="458"/>
      <c r="N712" s="458"/>
      <c r="O712" s="443"/>
      <c r="P712" s="447"/>
    </row>
    <row r="713" spans="1:16" s="497" customFormat="1" ht="15">
      <c r="A713" s="443"/>
      <c r="B713" s="443"/>
      <c r="C713" s="443"/>
      <c r="D713" s="443"/>
      <c r="E713" s="458"/>
      <c r="F713" s="458"/>
      <c r="G713" s="458"/>
      <c r="H713" s="458"/>
      <c r="I713" s="458"/>
      <c r="J713" s="458"/>
      <c r="K713" s="458"/>
      <c r="L713" s="458"/>
      <c r="M713" s="458"/>
      <c r="N713" s="458"/>
      <c r="O713" s="443"/>
      <c r="P713" s="447"/>
    </row>
    <row r="714" spans="1:16" s="497" customFormat="1" ht="15">
      <c r="A714" s="443"/>
      <c r="B714" s="443"/>
      <c r="C714" s="443"/>
      <c r="D714" s="443"/>
      <c r="E714" s="458"/>
      <c r="F714" s="458"/>
      <c r="G714" s="458"/>
      <c r="H714" s="458"/>
      <c r="I714" s="458"/>
      <c r="J714" s="458"/>
      <c r="K714" s="458"/>
      <c r="L714" s="458"/>
      <c r="M714" s="458"/>
      <c r="N714" s="458"/>
      <c r="O714" s="443"/>
      <c r="P714" s="447"/>
    </row>
    <row r="715" spans="1:16" s="497" customFormat="1" ht="15">
      <c r="A715" s="443"/>
      <c r="B715" s="443"/>
      <c r="C715" s="443"/>
      <c r="D715" s="443"/>
      <c r="E715" s="458"/>
      <c r="F715" s="458"/>
      <c r="G715" s="458"/>
      <c r="H715" s="458"/>
      <c r="I715" s="458"/>
      <c r="J715" s="458"/>
      <c r="K715" s="458"/>
      <c r="L715" s="458"/>
      <c r="M715" s="458"/>
      <c r="N715" s="458"/>
      <c r="O715" s="443"/>
      <c r="P715" s="447"/>
    </row>
    <row r="716" spans="1:16" s="497" customFormat="1" ht="15">
      <c r="A716" s="443"/>
      <c r="B716" s="443"/>
      <c r="C716" s="443"/>
      <c r="D716" s="443"/>
      <c r="E716" s="458"/>
      <c r="F716" s="458"/>
      <c r="G716" s="458"/>
      <c r="H716" s="458"/>
      <c r="I716" s="458"/>
      <c r="J716" s="458"/>
      <c r="K716" s="458"/>
      <c r="L716" s="458"/>
      <c r="M716" s="458"/>
      <c r="N716" s="458"/>
      <c r="O716" s="443"/>
      <c r="P716" s="447"/>
    </row>
    <row r="717" spans="1:16" s="497" customFormat="1" ht="15">
      <c r="A717" s="443"/>
      <c r="B717" s="443"/>
      <c r="C717" s="443"/>
      <c r="D717" s="443"/>
      <c r="E717" s="458"/>
      <c r="F717" s="458"/>
      <c r="G717" s="458"/>
      <c r="H717" s="458"/>
      <c r="I717" s="458"/>
      <c r="J717" s="458"/>
      <c r="K717" s="458"/>
      <c r="L717" s="458"/>
      <c r="M717" s="458"/>
      <c r="N717" s="458"/>
      <c r="O717" s="443"/>
      <c r="P717" s="447"/>
    </row>
    <row r="718" spans="1:16" s="497" customFormat="1" ht="15">
      <c r="A718" s="443"/>
      <c r="B718" s="443"/>
      <c r="C718" s="443"/>
      <c r="D718" s="443"/>
      <c r="E718" s="458"/>
      <c r="F718" s="458"/>
      <c r="G718" s="458"/>
      <c r="H718" s="458"/>
      <c r="I718" s="458"/>
      <c r="J718" s="458"/>
      <c r="K718" s="458"/>
      <c r="L718" s="458"/>
      <c r="M718" s="458"/>
      <c r="N718" s="458"/>
      <c r="O718" s="443"/>
      <c r="P718" s="447"/>
    </row>
    <row r="719" spans="1:16" s="497" customFormat="1" ht="15">
      <c r="A719" s="443"/>
      <c r="B719" s="443"/>
      <c r="C719" s="443"/>
      <c r="D719" s="443"/>
      <c r="E719" s="458"/>
      <c r="F719" s="458"/>
      <c r="G719" s="458"/>
      <c r="H719" s="458"/>
      <c r="I719" s="458"/>
      <c r="J719" s="458"/>
      <c r="K719" s="458"/>
      <c r="L719" s="458"/>
      <c r="M719" s="458"/>
      <c r="N719" s="458"/>
      <c r="O719" s="443"/>
      <c r="P719" s="447"/>
    </row>
    <row r="720" spans="1:16" s="497" customFormat="1" ht="15">
      <c r="A720" s="443"/>
      <c r="B720" s="443"/>
      <c r="C720" s="443"/>
      <c r="D720" s="443"/>
      <c r="E720" s="458"/>
      <c r="F720" s="458"/>
      <c r="G720" s="458"/>
      <c r="H720" s="458"/>
      <c r="I720" s="458"/>
      <c r="J720" s="458"/>
      <c r="K720" s="458"/>
      <c r="L720" s="458"/>
      <c r="M720" s="458"/>
      <c r="N720" s="458"/>
      <c r="O720" s="443"/>
      <c r="P720" s="447"/>
    </row>
    <row r="721" spans="1:16" s="497" customFormat="1" ht="15">
      <c r="A721" s="443"/>
      <c r="B721" s="443"/>
      <c r="C721" s="443"/>
      <c r="D721" s="443"/>
      <c r="E721" s="458"/>
      <c r="F721" s="458"/>
      <c r="G721" s="458"/>
      <c r="H721" s="458"/>
      <c r="I721" s="458"/>
      <c r="J721" s="458"/>
      <c r="K721" s="458"/>
      <c r="L721" s="458"/>
      <c r="M721" s="458"/>
      <c r="N721" s="458"/>
      <c r="O721" s="443"/>
      <c r="P721" s="447"/>
    </row>
    <row r="722" spans="1:16" s="497" customFormat="1" ht="15">
      <c r="A722" s="443"/>
      <c r="B722" s="443"/>
      <c r="C722" s="443"/>
      <c r="D722" s="443"/>
      <c r="E722" s="458"/>
      <c r="F722" s="458"/>
      <c r="G722" s="458"/>
      <c r="H722" s="458"/>
      <c r="I722" s="458"/>
      <c r="J722" s="458"/>
      <c r="K722" s="458"/>
      <c r="L722" s="458"/>
      <c r="M722" s="458"/>
      <c r="N722" s="458"/>
      <c r="O722" s="443"/>
      <c r="P722" s="447"/>
    </row>
    <row r="723" spans="1:16" s="497" customFormat="1" ht="15">
      <c r="A723" s="443"/>
      <c r="B723" s="443"/>
      <c r="C723" s="443"/>
      <c r="D723" s="443"/>
      <c r="E723" s="458"/>
      <c r="F723" s="458"/>
      <c r="G723" s="458"/>
      <c r="H723" s="458"/>
      <c r="I723" s="458"/>
      <c r="J723" s="458"/>
      <c r="K723" s="458"/>
      <c r="L723" s="458"/>
      <c r="M723" s="458"/>
      <c r="N723" s="458"/>
      <c r="O723" s="443"/>
      <c r="P723" s="447"/>
    </row>
    <row r="724" spans="1:16" s="497" customFormat="1" ht="15">
      <c r="A724" s="443"/>
      <c r="B724" s="443"/>
      <c r="C724" s="443"/>
      <c r="D724" s="443"/>
      <c r="E724" s="458"/>
      <c r="F724" s="458"/>
      <c r="G724" s="458"/>
      <c r="H724" s="458"/>
      <c r="I724" s="458"/>
      <c r="J724" s="458"/>
      <c r="K724" s="458"/>
      <c r="L724" s="458"/>
      <c r="M724" s="458"/>
      <c r="N724" s="458"/>
      <c r="O724" s="443"/>
      <c r="P724" s="447"/>
    </row>
    <row r="725" spans="1:16" s="497" customFormat="1" ht="15">
      <c r="A725" s="443"/>
      <c r="B725" s="443"/>
      <c r="C725" s="443"/>
      <c r="D725" s="443"/>
      <c r="E725" s="458"/>
      <c r="F725" s="458"/>
      <c r="G725" s="458"/>
      <c r="H725" s="458"/>
      <c r="I725" s="458"/>
      <c r="J725" s="458"/>
      <c r="K725" s="458"/>
      <c r="L725" s="458"/>
      <c r="M725" s="458"/>
      <c r="N725" s="458"/>
      <c r="O725" s="443"/>
      <c r="P725" s="447"/>
    </row>
    <row r="726" spans="1:16" s="497" customFormat="1" ht="15">
      <c r="A726" s="443"/>
      <c r="B726" s="443"/>
      <c r="C726" s="443"/>
      <c r="D726" s="443"/>
      <c r="E726" s="458"/>
      <c r="F726" s="458"/>
      <c r="G726" s="458"/>
      <c r="H726" s="458"/>
      <c r="I726" s="458"/>
      <c r="J726" s="458"/>
      <c r="K726" s="458"/>
      <c r="L726" s="458"/>
      <c r="M726" s="458"/>
      <c r="N726" s="458"/>
      <c r="O726" s="443"/>
      <c r="P726" s="447"/>
    </row>
    <row r="727" spans="1:16" s="497" customFormat="1" ht="15">
      <c r="A727" s="443"/>
      <c r="B727" s="443"/>
      <c r="C727" s="443"/>
      <c r="D727" s="443"/>
      <c r="E727" s="458"/>
      <c r="F727" s="458"/>
      <c r="G727" s="458"/>
      <c r="H727" s="458"/>
      <c r="I727" s="458"/>
      <c r="J727" s="458"/>
      <c r="K727" s="458"/>
      <c r="L727" s="458"/>
      <c r="M727" s="458"/>
      <c r="N727" s="458"/>
      <c r="O727" s="443"/>
      <c r="P727" s="447"/>
    </row>
    <row r="728" spans="1:16" s="497" customFormat="1" ht="15">
      <c r="A728" s="443"/>
      <c r="B728" s="443"/>
      <c r="C728" s="443"/>
      <c r="D728" s="443"/>
      <c r="E728" s="458"/>
      <c r="F728" s="458"/>
      <c r="G728" s="458"/>
      <c r="H728" s="458"/>
      <c r="I728" s="458"/>
      <c r="J728" s="458"/>
      <c r="K728" s="458"/>
      <c r="L728" s="458"/>
      <c r="M728" s="458"/>
      <c r="N728" s="458"/>
      <c r="O728" s="443"/>
      <c r="P728" s="447"/>
    </row>
    <row r="729" spans="1:16" s="497" customFormat="1" ht="15">
      <c r="A729" s="443"/>
      <c r="B729" s="443"/>
      <c r="C729" s="443"/>
      <c r="D729" s="443"/>
      <c r="E729" s="458"/>
      <c r="F729" s="458"/>
      <c r="G729" s="458"/>
      <c r="H729" s="458"/>
      <c r="I729" s="458"/>
      <c r="J729" s="458"/>
      <c r="K729" s="458"/>
      <c r="L729" s="458"/>
      <c r="M729" s="458"/>
      <c r="N729" s="458"/>
      <c r="O729" s="443"/>
      <c r="P729" s="447"/>
    </row>
    <row r="730" spans="1:16" s="497" customFormat="1" ht="15">
      <c r="A730" s="443"/>
      <c r="B730" s="443"/>
      <c r="C730" s="443"/>
      <c r="D730" s="443"/>
      <c r="E730" s="458"/>
      <c r="F730" s="458"/>
      <c r="G730" s="458"/>
      <c r="H730" s="458"/>
      <c r="I730" s="458"/>
      <c r="J730" s="458"/>
      <c r="K730" s="458"/>
      <c r="L730" s="458"/>
      <c r="M730" s="458"/>
      <c r="N730" s="458"/>
      <c r="O730" s="443"/>
      <c r="P730" s="447"/>
    </row>
    <row r="731" spans="1:16" s="497" customFormat="1" ht="15">
      <c r="A731" s="443"/>
      <c r="B731" s="443"/>
      <c r="C731" s="443"/>
      <c r="D731" s="443"/>
      <c r="E731" s="458"/>
      <c r="F731" s="458"/>
      <c r="G731" s="458"/>
      <c r="H731" s="458"/>
      <c r="I731" s="458"/>
      <c r="J731" s="458"/>
      <c r="K731" s="458"/>
      <c r="L731" s="458"/>
      <c r="M731" s="458"/>
      <c r="N731" s="458"/>
      <c r="O731" s="443"/>
      <c r="P731" s="447"/>
    </row>
    <row r="732" spans="1:16" s="497" customFormat="1" ht="15">
      <c r="A732" s="443"/>
      <c r="B732" s="443"/>
      <c r="C732" s="443"/>
      <c r="D732" s="443"/>
      <c r="E732" s="458"/>
      <c r="F732" s="458"/>
      <c r="G732" s="458"/>
      <c r="H732" s="458"/>
      <c r="I732" s="458"/>
      <c r="J732" s="458"/>
      <c r="K732" s="458"/>
      <c r="L732" s="458"/>
      <c r="M732" s="458"/>
      <c r="N732" s="458"/>
      <c r="O732" s="443"/>
      <c r="P732" s="447"/>
    </row>
    <row r="733" spans="1:16" s="497" customFormat="1" ht="15">
      <c r="A733" s="443"/>
      <c r="B733" s="443"/>
      <c r="C733" s="443"/>
      <c r="D733" s="443"/>
      <c r="E733" s="458"/>
      <c r="F733" s="458"/>
      <c r="G733" s="458"/>
      <c r="H733" s="458"/>
      <c r="I733" s="458"/>
      <c r="J733" s="458"/>
      <c r="K733" s="458"/>
      <c r="L733" s="458"/>
      <c r="M733" s="458"/>
      <c r="N733" s="458"/>
      <c r="O733" s="443"/>
      <c r="P733" s="447"/>
    </row>
    <row r="734" spans="1:16" s="497" customFormat="1" ht="15">
      <c r="A734" s="443"/>
      <c r="B734" s="443"/>
      <c r="C734" s="443"/>
      <c r="D734" s="443"/>
      <c r="E734" s="458"/>
      <c r="F734" s="458"/>
      <c r="G734" s="458"/>
      <c r="H734" s="458"/>
      <c r="I734" s="458"/>
      <c r="J734" s="458"/>
      <c r="K734" s="458"/>
      <c r="L734" s="458"/>
      <c r="M734" s="458"/>
      <c r="N734" s="458"/>
      <c r="O734" s="443"/>
      <c r="P734" s="447"/>
    </row>
    <row r="735" spans="1:16" s="497" customFormat="1" ht="15">
      <c r="A735" s="443"/>
      <c r="B735" s="443"/>
      <c r="C735" s="443"/>
      <c r="D735" s="443"/>
      <c r="E735" s="458"/>
      <c r="F735" s="458"/>
      <c r="G735" s="458"/>
      <c r="H735" s="458"/>
      <c r="I735" s="458"/>
      <c r="J735" s="458"/>
      <c r="K735" s="458"/>
      <c r="L735" s="458"/>
      <c r="M735" s="458"/>
      <c r="N735" s="458"/>
      <c r="O735" s="443"/>
      <c r="P735" s="447"/>
    </row>
    <row r="736" spans="1:16" s="497" customFormat="1" ht="15">
      <c r="A736" s="443"/>
      <c r="B736" s="443"/>
      <c r="C736" s="443"/>
      <c r="D736" s="443"/>
      <c r="E736" s="458"/>
      <c r="F736" s="458"/>
      <c r="G736" s="458"/>
      <c r="H736" s="458"/>
      <c r="I736" s="458"/>
      <c r="J736" s="458"/>
      <c r="K736" s="458"/>
      <c r="L736" s="458"/>
      <c r="M736" s="458"/>
      <c r="N736" s="458"/>
      <c r="O736" s="443"/>
      <c r="P736" s="447"/>
    </row>
    <row r="737" spans="16:16" s="497" customFormat="1" ht="15">
      <c r="P737" s="447"/>
    </row>
    <row r="738" spans="16:16" s="497" customFormat="1" ht="15">
      <c r="P738" s="447"/>
    </row>
    <row r="739" spans="16:16" s="497" customFormat="1" ht="15">
      <c r="P739" s="447"/>
    </row>
    <row r="740" spans="16:16" s="497" customFormat="1" ht="15">
      <c r="P740" s="447"/>
    </row>
    <row r="741" spans="16:16" s="497" customFormat="1" ht="15">
      <c r="P741" s="447"/>
    </row>
    <row r="742" spans="16:16" s="497" customFormat="1" ht="15">
      <c r="P742" s="447"/>
    </row>
    <row r="743" spans="16:16" s="497" customFormat="1" ht="15">
      <c r="P743" s="447"/>
    </row>
    <row r="744" spans="16:16" s="497" customFormat="1" ht="15">
      <c r="P744" s="447"/>
    </row>
    <row r="745" spans="16:16" s="497" customFormat="1" ht="15">
      <c r="P745" s="447"/>
    </row>
    <row r="746" spans="16:16" s="497" customFormat="1" ht="15">
      <c r="P746" s="447"/>
    </row>
    <row r="747" spans="16:16" s="497" customFormat="1" ht="15">
      <c r="P747" s="447"/>
    </row>
    <row r="748" spans="16:16" s="497" customFormat="1" ht="15">
      <c r="P748" s="447"/>
    </row>
    <row r="749" spans="16:16" s="497" customFormat="1" ht="15">
      <c r="P749" s="447"/>
    </row>
    <row r="750" spans="16:16" s="497" customFormat="1" ht="15">
      <c r="P750" s="447"/>
    </row>
    <row r="751" spans="16:16" s="497" customFormat="1" ht="15">
      <c r="P751" s="447"/>
    </row>
    <row r="752" spans="16:16" s="497" customFormat="1" ht="15">
      <c r="P752" s="447"/>
    </row>
    <row r="753" spans="16:16" s="497" customFormat="1" ht="15">
      <c r="P753" s="447"/>
    </row>
    <row r="754" spans="16:16" s="497" customFormat="1" ht="15">
      <c r="P754" s="447"/>
    </row>
    <row r="755" spans="16:16" s="497" customFormat="1" ht="15">
      <c r="P755" s="447"/>
    </row>
    <row r="756" spans="16:16" s="497" customFormat="1" ht="15">
      <c r="P756" s="447"/>
    </row>
    <row r="757" spans="16:16" s="497" customFormat="1" ht="15">
      <c r="P757" s="447"/>
    </row>
    <row r="758" spans="16:16" s="497" customFormat="1" ht="15">
      <c r="P758" s="447"/>
    </row>
    <row r="759" spans="16:16" s="497" customFormat="1" ht="15">
      <c r="P759" s="447"/>
    </row>
    <row r="760" spans="16:16" s="497" customFormat="1" ht="15">
      <c r="P760" s="447"/>
    </row>
    <row r="761" spans="16:16" s="497" customFormat="1" ht="15">
      <c r="P761" s="447"/>
    </row>
    <row r="762" spans="16:16" s="497" customFormat="1" ht="15">
      <c r="P762" s="447"/>
    </row>
    <row r="763" spans="16:16" s="497" customFormat="1" ht="15">
      <c r="P763" s="447"/>
    </row>
    <row r="764" spans="16:16" s="497" customFormat="1" ht="15">
      <c r="P764" s="447"/>
    </row>
    <row r="765" spans="16:16" s="497" customFormat="1" ht="15">
      <c r="P765" s="447"/>
    </row>
    <row r="766" spans="16:16" s="497" customFormat="1" ht="15">
      <c r="P766" s="447"/>
    </row>
    <row r="767" spans="16:16" s="497" customFormat="1" ht="15">
      <c r="P767" s="447"/>
    </row>
    <row r="768" spans="16:16" s="497" customFormat="1" ht="15">
      <c r="P768" s="447"/>
    </row>
    <row r="769" spans="16:16" s="497" customFormat="1" ht="15">
      <c r="P769" s="447"/>
    </row>
    <row r="770" spans="16:16" s="497" customFormat="1" ht="15">
      <c r="P770" s="447"/>
    </row>
    <row r="771" spans="16:16" s="497" customFormat="1" ht="15">
      <c r="P771" s="447"/>
    </row>
    <row r="772" spans="16:16" s="497" customFormat="1" ht="15">
      <c r="P772" s="447"/>
    </row>
    <row r="773" spans="16:16" s="497" customFormat="1" ht="15">
      <c r="P773" s="447"/>
    </row>
    <row r="774" spans="16:16" s="497" customFormat="1" ht="15">
      <c r="P774" s="447"/>
    </row>
    <row r="775" spans="16:16" s="497" customFormat="1" ht="15">
      <c r="P775" s="447"/>
    </row>
    <row r="776" spans="16:16" s="497" customFormat="1" ht="15">
      <c r="P776" s="447"/>
    </row>
    <row r="777" spans="16:16" s="497" customFormat="1" ht="15">
      <c r="P777" s="447"/>
    </row>
    <row r="778" spans="16:16" s="497" customFormat="1" ht="15">
      <c r="P778" s="447"/>
    </row>
    <row r="779" spans="16:16" s="497" customFormat="1" ht="15">
      <c r="P779" s="447"/>
    </row>
    <row r="780" spans="16:16" s="497" customFormat="1" ht="15">
      <c r="P780" s="447"/>
    </row>
    <row r="781" spans="16:16" s="497" customFormat="1" ht="15">
      <c r="P781" s="447"/>
    </row>
    <row r="782" spans="16:16" s="497" customFormat="1" ht="15">
      <c r="P782" s="447"/>
    </row>
    <row r="783" spans="16:16" s="497" customFormat="1" ht="15">
      <c r="P783" s="447"/>
    </row>
    <row r="784" spans="16:16" s="497" customFormat="1" ht="15">
      <c r="P784" s="447"/>
    </row>
    <row r="785" spans="16:16" s="497" customFormat="1" ht="15">
      <c r="P785" s="447"/>
    </row>
    <row r="786" spans="16:16" s="497" customFormat="1" ht="15">
      <c r="P786" s="447"/>
    </row>
    <row r="787" spans="16:16" s="497" customFormat="1" ht="15">
      <c r="P787" s="447"/>
    </row>
    <row r="788" spans="16:16" s="497" customFormat="1" ht="15">
      <c r="P788" s="447"/>
    </row>
    <row r="789" spans="16:16" s="497" customFormat="1" ht="15">
      <c r="P789" s="447"/>
    </row>
    <row r="790" spans="16:16" s="497" customFormat="1" ht="15">
      <c r="P790" s="447"/>
    </row>
    <row r="791" spans="16:16" s="497" customFormat="1" ht="15">
      <c r="P791" s="447"/>
    </row>
    <row r="792" spans="16:16" s="497" customFormat="1" ht="15">
      <c r="P792" s="447"/>
    </row>
    <row r="793" spans="16:16" s="497" customFormat="1" ht="15">
      <c r="P793" s="447"/>
    </row>
    <row r="794" spans="16:16" s="497" customFormat="1" ht="15">
      <c r="P794" s="447"/>
    </row>
    <row r="795" spans="16:16" s="497" customFormat="1" ht="15">
      <c r="P795" s="447"/>
    </row>
    <row r="796" spans="16:16" s="497" customFormat="1" ht="15">
      <c r="P796" s="447"/>
    </row>
    <row r="797" spans="16:16" s="497" customFormat="1" ht="15">
      <c r="P797" s="447"/>
    </row>
    <row r="798" spans="16:16" s="497" customFormat="1" ht="15">
      <c r="P798" s="447"/>
    </row>
    <row r="799" spans="16:16" s="497" customFormat="1" ht="15">
      <c r="P799" s="447"/>
    </row>
    <row r="800" spans="16:16" s="497" customFormat="1" ht="15">
      <c r="P800" s="447"/>
    </row>
    <row r="801" spans="16:16" s="497" customFormat="1" ht="15">
      <c r="P801" s="447"/>
    </row>
    <row r="802" spans="16:16" s="497" customFormat="1" ht="15">
      <c r="P802" s="447"/>
    </row>
    <row r="803" spans="16:16" s="497" customFormat="1" ht="15">
      <c r="P803" s="447"/>
    </row>
    <row r="804" spans="16:16" s="497" customFormat="1" ht="15">
      <c r="P804" s="447"/>
    </row>
    <row r="805" spans="16:16" s="497" customFormat="1" ht="15">
      <c r="P805" s="447"/>
    </row>
    <row r="806" spans="16:16" s="497" customFormat="1" ht="15">
      <c r="P806" s="447"/>
    </row>
    <row r="807" spans="16:16" s="497" customFormat="1" ht="15">
      <c r="P807" s="447"/>
    </row>
    <row r="808" spans="16:16" s="497" customFormat="1" ht="15">
      <c r="P808" s="447"/>
    </row>
    <row r="809" spans="16:16" s="497" customFormat="1" ht="15">
      <c r="P809" s="447"/>
    </row>
    <row r="810" spans="16:16" s="497" customFormat="1" ht="15">
      <c r="P810" s="447"/>
    </row>
    <row r="811" spans="16:16" s="497" customFormat="1" ht="15">
      <c r="P811" s="447"/>
    </row>
    <row r="812" spans="16:16" s="497" customFormat="1" ht="15">
      <c r="P812" s="447"/>
    </row>
    <row r="813" spans="16:16" s="497" customFormat="1" ht="15">
      <c r="P813" s="447"/>
    </row>
    <row r="814" spans="16:16" s="497" customFormat="1" ht="15">
      <c r="P814" s="447"/>
    </row>
    <row r="815" spans="16:16" s="497" customFormat="1" ht="15">
      <c r="P815" s="447"/>
    </row>
    <row r="816" spans="16:16" s="497" customFormat="1" ht="15">
      <c r="P816" s="447"/>
    </row>
    <row r="817" spans="16:16" s="497" customFormat="1" ht="15">
      <c r="P817" s="447"/>
    </row>
    <row r="818" spans="16:16" s="497" customFormat="1" ht="15">
      <c r="P818" s="447"/>
    </row>
    <row r="819" spans="16:16" s="497" customFormat="1" ht="15">
      <c r="P819" s="447"/>
    </row>
    <row r="820" spans="16:16" s="497" customFormat="1" ht="15">
      <c r="P820" s="447"/>
    </row>
    <row r="821" spans="16:16" s="497" customFormat="1" ht="15">
      <c r="P821" s="447"/>
    </row>
    <row r="822" spans="16:16" s="497" customFormat="1" ht="15">
      <c r="P822" s="447"/>
    </row>
    <row r="823" spans="16:16" s="497" customFormat="1" ht="15">
      <c r="P823" s="447"/>
    </row>
    <row r="824" spans="16:16" s="497" customFormat="1" ht="15">
      <c r="P824" s="447"/>
    </row>
    <row r="825" spans="16:16" s="497" customFormat="1" ht="15">
      <c r="P825" s="447"/>
    </row>
    <row r="826" spans="16:16" s="497" customFormat="1" ht="15">
      <c r="P826" s="447"/>
    </row>
    <row r="827" spans="16:16" s="497" customFormat="1" ht="15">
      <c r="P827" s="447"/>
    </row>
    <row r="828" spans="16:16" s="497" customFormat="1" ht="15">
      <c r="P828" s="447"/>
    </row>
    <row r="829" spans="16:16" s="497" customFormat="1" ht="15">
      <c r="P829" s="447"/>
    </row>
    <row r="830" spans="16:16" s="497" customFormat="1" ht="15">
      <c r="P830" s="447"/>
    </row>
    <row r="831" spans="16:16" s="497" customFormat="1" ht="15">
      <c r="P831" s="447"/>
    </row>
    <row r="832" spans="16:16" s="497" customFormat="1" ht="15">
      <c r="P832" s="447"/>
    </row>
    <row r="833" spans="16:16" s="497" customFormat="1" ht="15">
      <c r="P833" s="447"/>
    </row>
    <row r="834" spans="16:16" s="497" customFormat="1" ht="15">
      <c r="P834" s="447"/>
    </row>
    <row r="835" spans="16:16" s="497" customFormat="1" ht="15">
      <c r="P835" s="447"/>
    </row>
    <row r="836" spans="16:16" s="497" customFormat="1" ht="15">
      <c r="P836" s="447"/>
    </row>
    <row r="837" spans="16:16" s="497" customFormat="1" ht="15">
      <c r="P837" s="447"/>
    </row>
    <row r="838" spans="16:16" s="497" customFormat="1" ht="15">
      <c r="P838" s="447"/>
    </row>
    <row r="839" spans="16:16" s="497" customFormat="1" ht="15">
      <c r="P839" s="447"/>
    </row>
    <row r="840" spans="16:16" s="497" customFormat="1" ht="15">
      <c r="P840" s="447"/>
    </row>
    <row r="841" spans="16:16" s="497" customFormat="1" ht="15">
      <c r="P841" s="447"/>
    </row>
    <row r="842" spans="16:16" s="497" customFormat="1" ht="15">
      <c r="P842" s="447"/>
    </row>
    <row r="843" spans="16:16" s="497" customFormat="1" ht="15">
      <c r="P843" s="447"/>
    </row>
    <row r="844" spans="16:16" s="497" customFormat="1" ht="15">
      <c r="P844" s="447"/>
    </row>
    <row r="845" spans="16:16" s="497" customFormat="1" ht="15">
      <c r="P845" s="447"/>
    </row>
    <row r="846" spans="16:16" s="497" customFormat="1" ht="15">
      <c r="P846" s="447"/>
    </row>
    <row r="847" spans="16:16" s="497" customFormat="1" ht="15">
      <c r="P847" s="447"/>
    </row>
    <row r="848" spans="16:16" s="497" customFormat="1" ht="15">
      <c r="P848" s="447"/>
    </row>
    <row r="849" spans="16:16" s="497" customFormat="1" ht="15">
      <c r="P849" s="447"/>
    </row>
    <row r="850" spans="16:16" s="497" customFormat="1" ht="15">
      <c r="P850" s="447"/>
    </row>
    <row r="851" spans="16:16" s="497" customFormat="1" ht="15">
      <c r="P851" s="447"/>
    </row>
    <row r="852" spans="16:16" s="497" customFormat="1" ht="15">
      <c r="P852" s="447"/>
    </row>
    <row r="853" spans="16:16" s="497" customFormat="1" ht="15">
      <c r="P853" s="447"/>
    </row>
    <row r="854" spans="16:16" s="497" customFormat="1" ht="15">
      <c r="P854" s="447"/>
    </row>
    <row r="855" spans="16:16" s="497" customFormat="1" ht="15">
      <c r="P855" s="447"/>
    </row>
    <row r="856" spans="16:16" s="497" customFormat="1" ht="15">
      <c r="P856" s="447"/>
    </row>
    <row r="857" spans="16:16" s="497" customFormat="1" ht="15">
      <c r="P857" s="447"/>
    </row>
    <row r="858" spans="16:16" s="497" customFormat="1" ht="15">
      <c r="P858" s="447"/>
    </row>
    <row r="859" spans="16:16" s="497" customFormat="1" ht="15">
      <c r="P859" s="447"/>
    </row>
    <row r="860" spans="16:16" s="497" customFormat="1" ht="15">
      <c r="P860" s="447"/>
    </row>
    <row r="861" spans="16:16" s="497" customFormat="1" ht="15">
      <c r="P861" s="447"/>
    </row>
    <row r="862" spans="16:16" s="497" customFormat="1" ht="15">
      <c r="P862" s="447"/>
    </row>
    <row r="863" spans="16:16" s="497" customFormat="1" ht="15">
      <c r="P863" s="447"/>
    </row>
    <row r="864" spans="16:16" s="497" customFormat="1" ht="15">
      <c r="P864" s="447"/>
    </row>
    <row r="865" spans="16:16" s="497" customFormat="1" ht="15">
      <c r="P865" s="447"/>
    </row>
    <row r="866" spans="16:16" s="497" customFormat="1" ht="15">
      <c r="P866" s="447"/>
    </row>
    <row r="867" spans="16:16" s="497" customFormat="1" ht="15">
      <c r="P867" s="447"/>
    </row>
    <row r="868" spans="16:16" s="497" customFormat="1" ht="15">
      <c r="P868" s="447"/>
    </row>
    <row r="869" spans="16:16" s="497" customFormat="1" ht="15">
      <c r="P869" s="447"/>
    </row>
    <row r="870" spans="16:16" s="497" customFormat="1" ht="15">
      <c r="P870" s="447"/>
    </row>
    <row r="871" spans="16:16" s="497" customFormat="1" ht="15">
      <c r="P871" s="447"/>
    </row>
    <row r="872" spans="16:16" s="497" customFormat="1" ht="15">
      <c r="P872" s="447"/>
    </row>
    <row r="873" spans="16:16" s="497" customFormat="1" ht="15">
      <c r="P873" s="447"/>
    </row>
    <row r="874" spans="16:16" s="497" customFormat="1" ht="15">
      <c r="P874" s="447"/>
    </row>
    <row r="875" spans="16:16" s="497" customFormat="1" ht="15">
      <c r="P875" s="447"/>
    </row>
    <row r="876" spans="16:16" s="497" customFormat="1" ht="15">
      <c r="P876" s="447"/>
    </row>
    <row r="877" spans="16:16" s="497" customFormat="1" ht="15">
      <c r="P877" s="447"/>
    </row>
    <row r="878" spans="16:16" s="497" customFormat="1" ht="15">
      <c r="P878" s="447"/>
    </row>
    <row r="879" spans="16:16" s="497" customFormat="1" ht="15">
      <c r="P879" s="447"/>
    </row>
    <row r="880" spans="16:16" s="497" customFormat="1" ht="15">
      <c r="P880" s="447"/>
    </row>
    <row r="881" spans="16:16" s="497" customFormat="1" ht="15">
      <c r="P881" s="447"/>
    </row>
    <row r="882" spans="16:16" s="497" customFormat="1" ht="15">
      <c r="P882" s="447"/>
    </row>
    <row r="883" spans="16:16" s="497" customFormat="1" ht="15">
      <c r="P883" s="447"/>
    </row>
    <row r="884" spans="16:16" s="497" customFormat="1" ht="15">
      <c r="P884" s="447"/>
    </row>
    <row r="885" spans="16:16" s="497" customFormat="1" ht="15">
      <c r="P885" s="447"/>
    </row>
    <row r="886" spans="16:16" s="497" customFormat="1" ht="15">
      <c r="P886" s="447"/>
    </row>
    <row r="887" spans="16:16" s="497" customFormat="1" ht="15">
      <c r="P887" s="447"/>
    </row>
    <row r="888" spans="16:16" s="497" customFormat="1" ht="15">
      <c r="P888" s="447"/>
    </row>
    <row r="889" spans="16:16" s="497" customFormat="1" ht="15">
      <c r="P889" s="447"/>
    </row>
    <row r="890" spans="16:16" s="497" customFormat="1" ht="15">
      <c r="P890" s="447"/>
    </row>
    <row r="891" spans="16:16" s="497" customFormat="1" ht="15">
      <c r="P891" s="447"/>
    </row>
    <row r="892" spans="16:16" s="497" customFormat="1" ht="15">
      <c r="P892" s="447"/>
    </row>
    <row r="893" spans="16:16" s="497" customFormat="1" ht="15">
      <c r="P893" s="447"/>
    </row>
    <row r="894" spans="16:16" s="497" customFormat="1" ht="15">
      <c r="P894" s="447"/>
    </row>
    <row r="895" spans="16:16" s="497" customFormat="1" ht="15">
      <c r="P895" s="447"/>
    </row>
    <row r="896" spans="16:16" s="497" customFormat="1" ht="15">
      <c r="P896" s="447"/>
    </row>
    <row r="897" spans="16:16" s="497" customFormat="1" ht="15">
      <c r="P897" s="447"/>
    </row>
    <row r="898" spans="16:16" s="497" customFormat="1" ht="15">
      <c r="P898" s="447"/>
    </row>
    <row r="899" spans="16:16" s="497" customFormat="1" ht="15">
      <c r="P899" s="447"/>
    </row>
    <row r="900" spans="16:16" s="497" customFormat="1" ht="15">
      <c r="P900" s="447"/>
    </row>
    <row r="901" spans="16:16" s="497" customFormat="1" ht="15">
      <c r="P901" s="447"/>
    </row>
    <row r="902" spans="16:16" s="497" customFormat="1" ht="15">
      <c r="P902" s="447"/>
    </row>
    <row r="903" spans="16:16" s="497" customFormat="1" ht="15">
      <c r="P903" s="447"/>
    </row>
    <row r="904" spans="16:16" s="497" customFormat="1" ht="15">
      <c r="P904" s="447"/>
    </row>
    <row r="905" spans="16:16" s="497" customFormat="1" ht="15">
      <c r="P905" s="447"/>
    </row>
    <row r="906" spans="16:16" s="497" customFormat="1" ht="15">
      <c r="P906" s="447"/>
    </row>
    <row r="907" spans="16:16" s="497" customFormat="1" ht="15">
      <c r="P907" s="447"/>
    </row>
    <row r="908" spans="16:16" s="497" customFormat="1" ht="15">
      <c r="P908" s="447"/>
    </row>
    <row r="909" spans="16:16" s="497" customFormat="1" ht="15">
      <c r="P909" s="447"/>
    </row>
    <row r="910" spans="16:16" s="497" customFormat="1" ht="15">
      <c r="P910" s="447"/>
    </row>
    <row r="911" spans="16:16" s="497" customFormat="1" ht="15">
      <c r="P911" s="447"/>
    </row>
    <row r="912" spans="16:16" s="497" customFormat="1" ht="15">
      <c r="P912" s="447"/>
    </row>
    <row r="913" spans="16:16" s="497" customFormat="1" ht="15">
      <c r="P913" s="447"/>
    </row>
    <row r="914" spans="16:16" s="497" customFormat="1" ht="15">
      <c r="P914" s="447"/>
    </row>
    <row r="915" spans="16:16" s="497" customFormat="1" ht="15">
      <c r="P915" s="447"/>
    </row>
    <row r="916" spans="16:16" s="497" customFormat="1" ht="15">
      <c r="P916" s="447"/>
    </row>
    <row r="917" spans="16:16" s="497" customFormat="1" ht="15">
      <c r="P917" s="447"/>
    </row>
    <row r="918" spans="16:16" s="497" customFormat="1" ht="15">
      <c r="P918" s="447"/>
    </row>
    <row r="919" spans="16:16" s="497" customFormat="1" ht="15">
      <c r="P919" s="447"/>
    </row>
    <row r="920" spans="16:16" s="497" customFormat="1" ht="15">
      <c r="P920" s="447"/>
    </row>
    <row r="921" spans="16:16" s="497" customFormat="1" ht="15">
      <c r="P921" s="447"/>
    </row>
    <row r="922" spans="16:16" s="497" customFormat="1" ht="15">
      <c r="P922" s="447"/>
    </row>
    <row r="923" spans="16:16" s="497" customFormat="1" ht="15">
      <c r="P923" s="447"/>
    </row>
    <row r="924" spans="16:16" s="497" customFormat="1" ht="15">
      <c r="P924" s="447"/>
    </row>
    <row r="925" spans="16:16" s="497" customFormat="1" ht="15">
      <c r="P925" s="447"/>
    </row>
    <row r="926" spans="16:16" s="497" customFormat="1" ht="15">
      <c r="P926" s="447"/>
    </row>
    <row r="927" spans="16:16" s="497" customFormat="1" ht="15">
      <c r="P927" s="447"/>
    </row>
    <row r="928" spans="16:16" s="497" customFormat="1" ht="15">
      <c r="P928" s="447"/>
    </row>
    <row r="929" spans="16:16" s="497" customFormat="1" ht="15">
      <c r="P929" s="447"/>
    </row>
    <row r="930" spans="16:16" s="497" customFormat="1" ht="15">
      <c r="P930" s="447"/>
    </row>
    <row r="931" spans="16:16" s="497" customFormat="1" ht="15">
      <c r="P931" s="447"/>
    </row>
    <row r="932" spans="16:16" s="497" customFormat="1" ht="15">
      <c r="P932" s="447"/>
    </row>
    <row r="933" spans="16:16" s="497" customFormat="1" ht="15">
      <c r="P933" s="447"/>
    </row>
    <row r="934" spans="16:16" s="497" customFormat="1" ht="15">
      <c r="P934" s="447"/>
    </row>
    <row r="935" spans="16:16" s="497" customFormat="1" ht="15">
      <c r="P935" s="447"/>
    </row>
    <row r="936" spans="16:16" s="497" customFormat="1" ht="15">
      <c r="P936" s="447"/>
    </row>
    <row r="937" spans="16:16" s="497" customFormat="1" ht="15">
      <c r="P937" s="447"/>
    </row>
    <row r="938" spans="16:16" s="497" customFormat="1" ht="15">
      <c r="P938" s="447"/>
    </row>
    <row r="939" spans="16:16" s="497" customFormat="1" ht="15">
      <c r="P939" s="447"/>
    </row>
    <row r="940" spans="16:16" s="497" customFormat="1" ht="15">
      <c r="P940" s="447"/>
    </row>
    <row r="941" spans="16:16" s="497" customFormat="1" ht="15">
      <c r="P941" s="447"/>
    </row>
    <row r="942" spans="16:16" s="497" customFormat="1" ht="15">
      <c r="P942" s="447"/>
    </row>
    <row r="943" spans="16:16" s="497" customFormat="1" ht="15">
      <c r="P943" s="447"/>
    </row>
    <row r="944" spans="16:16" s="497" customFormat="1" ht="15">
      <c r="P944" s="447"/>
    </row>
    <row r="945" spans="16:16" s="497" customFormat="1" ht="15">
      <c r="P945" s="447"/>
    </row>
    <row r="946" spans="16:16" s="497" customFormat="1" ht="15">
      <c r="P946" s="447"/>
    </row>
    <row r="947" spans="16:16" s="497" customFormat="1" ht="15">
      <c r="P947" s="447"/>
    </row>
    <row r="948" spans="16:16" s="497" customFormat="1" ht="15">
      <c r="P948" s="447"/>
    </row>
    <row r="949" spans="16:16" s="497" customFormat="1" ht="15">
      <c r="P949" s="447"/>
    </row>
    <row r="950" spans="16:16" s="497" customFormat="1" ht="15">
      <c r="P950" s="447"/>
    </row>
    <row r="951" spans="16:16" s="497" customFormat="1" ht="15">
      <c r="P951" s="447"/>
    </row>
    <row r="952" spans="16:16" s="497" customFormat="1" ht="15">
      <c r="P952" s="447"/>
    </row>
    <row r="953" spans="16:16" s="497" customFormat="1" ht="15">
      <c r="P953" s="447"/>
    </row>
    <row r="954" spans="16:16" s="497" customFormat="1" ht="15">
      <c r="P954" s="447"/>
    </row>
    <row r="955" spans="16:16" s="497" customFormat="1" ht="15">
      <c r="P955" s="447"/>
    </row>
    <row r="956" spans="16:16" s="497" customFormat="1" ht="15">
      <c r="P956" s="447"/>
    </row>
    <row r="957" spans="16:16" s="497" customFormat="1" ht="15">
      <c r="P957" s="447"/>
    </row>
    <row r="958" spans="16:16" s="497" customFormat="1" ht="15">
      <c r="P958" s="447"/>
    </row>
    <row r="959" spans="16:16" s="497" customFormat="1" ht="15">
      <c r="P959" s="447"/>
    </row>
    <row r="960" spans="16:16" s="497" customFormat="1" ht="15">
      <c r="P960" s="447"/>
    </row>
    <row r="961" spans="16:16" s="497" customFormat="1" ht="15">
      <c r="P961" s="447"/>
    </row>
    <row r="962" spans="16:16" s="497" customFormat="1" ht="15">
      <c r="P962" s="447"/>
    </row>
    <row r="963" spans="16:16" s="497" customFormat="1" ht="15">
      <c r="P963" s="447"/>
    </row>
    <row r="964" spans="16:16" s="497" customFormat="1" ht="15">
      <c r="P964" s="447"/>
    </row>
    <row r="965" spans="16:16" s="497" customFormat="1" ht="15">
      <c r="P965" s="447"/>
    </row>
    <row r="966" spans="16:16" s="497" customFormat="1" ht="15">
      <c r="P966" s="447"/>
    </row>
    <row r="967" spans="16:16" s="497" customFormat="1" ht="15">
      <c r="P967" s="447"/>
    </row>
    <row r="968" spans="16:16" s="497" customFormat="1" ht="15">
      <c r="P968" s="447"/>
    </row>
    <row r="969" spans="16:16" s="497" customFormat="1" ht="15">
      <c r="P969" s="447"/>
    </row>
    <row r="970" spans="16:16" s="497" customFormat="1" ht="15">
      <c r="P970" s="447"/>
    </row>
    <row r="971" spans="16:16" s="497" customFormat="1" ht="15">
      <c r="P971" s="447"/>
    </row>
    <row r="972" spans="16:16" s="497" customFormat="1" ht="15">
      <c r="P972" s="447"/>
    </row>
    <row r="973" spans="16:16" s="497" customFormat="1" ht="15">
      <c r="P973" s="447"/>
    </row>
    <row r="974" spans="16:16" s="497" customFormat="1" ht="15">
      <c r="P974" s="447"/>
    </row>
    <row r="975" spans="16:16" s="497" customFormat="1" ht="15">
      <c r="P975" s="447"/>
    </row>
    <row r="976" spans="16:16" s="497" customFormat="1" ht="15">
      <c r="P976" s="447"/>
    </row>
    <row r="977" spans="16:16" s="497" customFormat="1" ht="15">
      <c r="P977" s="447"/>
    </row>
    <row r="978" spans="16:16" s="497" customFormat="1" ht="15">
      <c r="P978" s="447"/>
    </row>
    <row r="979" spans="16:16" s="497" customFormat="1" ht="15">
      <c r="P979" s="447"/>
    </row>
    <row r="980" spans="16:16" s="497" customFormat="1" ht="15">
      <c r="P980" s="447"/>
    </row>
    <row r="981" spans="16:16" s="497" customFormat="1" ht="15">
      <c r="P981" s="447"/>
    </row>
    <row r="982" spans="16:16" s="497" customFormat="1" ht="15">
      <c r="P982" s="447"/>
    </row>
    <row r="983" spans="16:16" s="497" customFormat="1" ht="15">
      <c r="P983" s="447"/>
    </row>
    <row r="984" spans="16:16" s="497" customFormat="1" ht="15">
      <c r="P984" s="447"/>
    </row>
    <row r="985" spans="16:16" s="497" customFormat="1" ht="15">
      <c r="P985" s="447"/>
    </row>
    <row r="986" spans="16:16" s="497" customFormat="1" ht="15">
      <c r="P986" s="447"/>
    </row>
    <row r="987" spans="16:16" s="497" customFormat="1" ht="15">
      <c r="P987" s="447"/>
    </row>
    <row r="988" spans="16:16" s="497" customFormat="1" ht="15">
      <c r="P988" s="447"/>
    </row>
    <row r="989" spans="16:16" s="497" customFormat="1" ht="15">
      <c r="P989" s="447"/>
    </row>
    <row r="990" spans="16:16" s="497" customFormat="1" ht="15">
      <c r="P990" s="447"/>
    </row>
    <row r="991" spans="16:16" s="497" customFormat="1" ht="15">
      <c r="P991" s="447"/>
    </row>
    <row r="992" spans="16:16" s="497" customFormat="1" ht="15">
      <c r="P992" s="447"/>
    </row>
    <row r="993" spans="16:16" s="497" customFormat="1" ht="15">
      <c r="P993" s="447"/>
    </row>
    <row r="994" spans="16:16" s="497" customFormat="1" ht="15">
      <c r="P994" s="447"/>
    </row>
    <row r="995" spans="16:16" s="497" customFormat="1" ht="15">
      <c r="P995" s="447"/>
    </row>
    <row r="996" spans="16:16" s="497" customFormat="1" ht="15">
      <c r="P996" s="447"/>
    </row>
    <row r="997" spans="16:16" s="497" customFormat="1" ht="15">
      <c r="P997" s="447"/>
    </row>
    <row r="998" spans="16:16" s="497" customFormat="1" ht="15">
      <c r="P998" s="447"/>
    </row>
    <row r="999" spans="16:16" s="497" customFormat="1" ht="15">
      <c r="P999" s="447"/>
    </row>
    <row r="1000" spans="16:16" s="497" customFormat="1" ht="15">
      <c r="P1000" s="447"/>
    </row>
    <row r="1001" spans="16:16" s="497" customFormat="1" ht="15">
      <c r="P1001" s="447"/>
    </row>
    <row r="1002" spans="16:16" s="497" customFormat="1" ht="15">
      <c r="P1002" s="447"/>
    </row>
    <row r="1003" spans="16:16" s="497" customFormat="1" ht="15">
      <c r="P1003" s="447"/>
    </row>
    <row r="1004" spans="16:16" s="497" customFormat="1" ht="15">
      <c r="P1004" s="447"/>
    </row>
    <row r="1005" spans="16:16" s="497" customFormat="1" ht="15">
      <c r="P1005" s="447"/>
    </row>
    <row r="1006" spans="16:16" s="497" customFormat="1" ht="15">
      <c r="P1006" s="447"/>
    </row>
    <row r="1007" spans="16:16" s="497" customFormat="1" ht="15">
      <c r="P1007" s="447"/>
    </row>
    <row r="1008" spans="16:16" s="497" customFormat="1" ht="15">
      <c r="P1008" s="447"/>
    </row>
    <row r="1009" spans="16:16" s="497" customFormat="1" ht="15">
      <c r="P1009" s="447"/>
    </row>
    <row r="1010" spans="16:16" s="497" customFormat="1" ht="15">
      <c r="P1010" s="447"/>
    </row>
    <row r="1011" spans="16:16" s="497" customFormat="1" ht="15">
      <c r="P1011" s="447"/>
    </row>
    <row r="1012" spans="16:16" s="497" customFormat="1" ht="15">
      <c r="P1012" s="447"/>
    </row>
    <row r="1013" spans="16:16" s="497" customFormat="1" ht="15">
      <c r="P1013" s="447"/>
    </row>
    <row r="1014" spans="16:16" s="497" customFormat="1" ht="15">
      <c r="P1014" s="447"/>
    </row>
    <row r="1015" spans="16:16" s="497" customFormat="1" ht="15">
      <c r="P1015" s="447"/>
    </row>
    <row r="1016" spans="16:16" s="497" customFormat="1" ht="15">
      <c r="P1016" s="447"/>
    </row>
    <row r="1017" spans="16:16" s="497" customFormat="1" ht="15">
      <c r="P1017" s="447"/>
    </row>
    <row r="1018" spans="16:16" s="497" customFormat="1" ht="15">
      <c r="P1018" s="447"/>
    </row>
    <row r="1019" spans="16:16" s="497" customFormat="1" ht="15">
      <c r="P1019" s="447"/>
    </row>
    <row r="1020" spans="16:16" s="497" customFormat="1" ht="15">
      <c r="P1020" s="447"/>
    </row>
    <row r="1021" spans="16:16" s="497" customFormat="1" ht="15">
      <c r="P1021" s="447"/>
    </row>
    <row r="1022" spans="16:16" s="497" customFormat="1" ht="15">
      <c r="P1022" s="447"/>
    </row>
    <row r="1023" spans="16:16" s="497" customFormat="1" ht="15">
      <c r="P1023" s="447"/>
    </row>
    <row r="1024" spans="16:16" s="497" customFormat="1" ht="15">
      <c r="P1024" s="447"/>
    </row>
    <row r="1025" spans="16:16" s="497" customFormat="1" ht="15">
      <c r="P1025" s="447"/>
    </row>
    <row r="1026" spans="16:16" s="497" customFormat="1" ht="15">
      <c r="P1026" s="447"/>
    </row>
    <row r="1027" spans="16:16" s="497" customFormat="1" ht="15">
      <c r="P1027" s="447"/>
    </row>
    <row r="1028" spans="16:16" s="497" customFormat="1" ht="15">
      <c r="P1028" s="447"/>
    </row>
    <row r="1029" spans="16:16" s="497" customFormat="1" ht="15">
      <c r="P1029" s="447"/>
    </row>
    <row r="1030" spans="16:16" s="497" customFormat="1" ht="15">
      <c r="P1030" s="447"/>
    </row>
    <row r="1031" spans="16:16" s="497" customFormat="1" ht="15">
      <c r="P1031" s="447"/>
    </row>
    <row r="1032" spans="16:16" s="497" customFormat="1" ht="15">
      <c r="P1032" s="447"/>
    </row>
    <row r="1033" spans="16:16" s="497" customFormat="1" ht="15">
      <c r="P1033" s="447"/>
    </row>
    <row r="1034" spans="16:16" s="497" customFormat="1" ht="15">
      <c r="P1034" s="447"/>
    </row>
    <row r="1035" spans="16:16" s="497" customFormat="1" ht="15">
      <c r="P1035" s="447"/>
    </row>
    <row r="1036" spans="16:16" s="497" customFormat="1" ht="15">
      <c r="P1036" s="447"/>
    </row>
    <row r="1037" spans="16:16" s="497" customFormat="1" ht="15">
      <c r="P1037" s="447"/>
    </row>
    <row r="1038" spans="16:16" s="497" customFormat="1" ht="15">
      <c r="P1038" s="447"/>
    </row>
    <row r="1039" spans="16:16" s="497" customFormat="1" ht="15">
      <c r="P1039" s="447"/>
    </row>
    <row r="1040" spans="16:16" s="497" customFormat="1" ht="15">
      <c r="P1040" s="447"/>
    </row>
    <row r="1041" spans="16:16" s="497" customFormat="1" ht="15">
      <c r="P1041" s="447"/>
    </row>
    <row r="1042" spans="16:16" s="497" customFormat="1" ht="15">
      <c r="P1042" s="447"/>
    </row>
    <row r="1043" spans="16:16" s="497" customFormat="1" ht="15">
      <c r="P1043" s="447"/>
    </row>
    <row r="1044" spans="16:16" s="497" customFormat="1" ht="15">
      <c r="P1044" s="447"/>
    </row>
    <row r="1045" spans="16:16" s="497" customFormat="1" ht="15">
      <c r="P1045" s="447"/>
    </row>
    <row r="1046" spans="16:16" s="497" customFormat="1" ht="15">
      <c r="P1046" s="447"/>
    </row>
    <row r="1047" spans="16:16" s="497" customFormat="1" ht="15">
      <c r="P1047" s="447"/>
    </row>
    <row r="1048" spans="16:16" s="497" customFormat="1" ht="15">
      <c r="P1048" s="447"/>
    </row>
    <row r="1049" spans="16:16" s="497" customFormat="1" ht="15">
      <c r="P1049" s="447"/>
    </row>
    <row r="1050" spans="16:16" s="497" customFormat="1" ht="15">
      <c r="P1050" s="447"/>
    </row>
    <row r="1051" spans="16:16" s="497" customFormat="1" ht="15">
      <c r="P1051" s="447"/>
    </row>
    <row r="1052" spans="16:16" s="497" customFormat="1" ht="15">
      <c r="P1052" s="447"/>
    </row>
    <row r="1053" spans="16:16" s="497" customFormat="1" ht="15">
      <c r="P1053" s="447"/>
    </row>
    <row r="1054" spans="16:16" s="497" customFormat="1" ht="15">
      <c r="P1054" s="447"/>
    </row>
    <row r="1055" spans="16:16" s="497" customFormat="1" ht="15">
      <c r="P1055" s="447"/>
    </row>
    <row r="1056" spans="16:16" s="497" customFormat="1" ht="15">
      <c r="P1056" s="447"/>
    </row>
    <row r="1057" spans="16:16" s="497" customFormat="1" ht="15">
      <c r="P1057" s="447"/>
    </row>
    <row r="1058" spans="16:16" s="497" customFormat="1" ht="15">
      <c r="P1058" s="447"/>
    </row>
    <row r="1059" spans="16:16" s="497" customFormat="1" ht="15">
      <c r="P1059" s="447"/>
    </row>
    <row r="1060" spans="16:16" s="497" customFormat="1" ht="15">
      <c r="P1060" s="447"/>
    </row>
    <row r="1061" spans="16:16" s="497" customFormat="1" ht="15">
      <c r="P1061" s="447"/>
    </row>
    <row r="1062" spans="16:16" s="497" customFormat="1" ht="15">
      <c r="P1062" s="447"/>
    </row>
    <row r="1063" spans="16:16" s="497" customFormat="1" ht="15">
      <c r="P1063" s="447"/>
    </row>
    <row r="1064" spans="16:16" s="497" customFormat="1" ht="15">
      <c r="P1064" s="447"/>
    </row>
    <row r="1065" spans="16:16" s="497" customFormat="1" ht="15">
      <c r="P1065" s="447"/>
    </row>
    <row r="1066" spans="16:16" s="497" customFormat="1" ht="15">
      <c r="P1066" s="447"/>
    </row>
    <row r="1067" spans="16:16" s="497" customFormat="1" ht="15">
      <c r="P1067" s="447"/>
    </row>
    <row r="1068" spans="16:16" s="497" customFormat="1" ht="15">
      <c r="P1068" s="447"/>
    </row>
    <row r="1069" spans="16:16" s="497" customFormat="1" ht="15">
      <c r="P1069" s="447"/>
    </row>
    <row r="1070" spans="16:16" s="497" customFormat="1" ht="15">
      <c r="P1070" s="447"/>
    </row>
    <row r="1071" spans="16:16" s="497" customFormat="1" ht="15">
      <c r="P1071" s="447"/>
    </row>
    <row r="1072" spans="16:16" s="497" customFormat="1" ht="15">
      <c r="P1072" s="447"/>
    </row>
    <row r="1073" spans="16:16" s="497" customFormat="1" ht="15">
      <c r="P1073" s="447"/>
    </row>
    <row r="1074" spans="16:16" s="497" customFormat="1" ht="15">
      <c r="P1074" s="447"/>
    </row>
    <row r="1075" spans="16:16" s="497" customFormat="1" ht="15">
      <c r="P1075" s="447"/>
    </row>
    <row r="1076" spans="16:16" s="497" customFormat="1" ht="15">
      <c r="P1076" s="447"/>
    </row>
    <row r="1077" spans="16:16" s="497" customFormat="1" ht="15">
      <c r="P1077" s="447"/>
    </row>
    <row r="1078" spans="16:16" s="497" customFormat="1" ht="15">
      <c r="P1078" s="447"/>
    </row>
    <row r="1079" spans="16:16" s="497" customFormat="1" ht="15">
      <c r="P1079" s="447"/>
    </row>
    <row r="1080" spans="16:16" s="497" customFormat="1" ht="15">
      <c r="P1080" s="447"/>
    </row>
    <row r="1081" spans="16:16" s="497" customFormat="1" ht="15">
      <c r="P1081" s="447"/>
    </row>
    <row r="1082" spans="16:16" s="497" customFormat="1" ht="15">
      <c r="P1082" s="447"/>
    </row>
    <row r="1083" spans="16:16" s="497" customFormat="1" ht="15">
      <c r="P1083" s="447"/>
    </row>
    <row r="1084" spans="16:16" s="497" customFormat="1" ht="15">
      <c r="P1084" s="447"/>
    </row>
    <row r="1085" spans="16:16" s="497" customFormat="1" ht="15">
      <c r="P1085" s="447"/>
    </row>
    <row r="1086" spans="16:16" s="497" customFormat="1" ht="15">
      <c r="P1086" s="447"/>
    </row>
    <row r="1087" spans="16:16" s="497" customFormat="1" ht="15">
      <c r="P1087" s="447"/>
    </row>
    <row r="1088" spans="16:16" s="497" customFormat="1" ht="15">
      <c r="P1088" s="447"/>
    </row>
    <row r="1089" spans="16:16" s="497" customFormat="1" ht="15">
      <c r="P1089" s="447"/>
    </row>
    <row r="1090" spans="16:16" s="497" customFormat="1" ht="15">
      <c r="P1090" s="447"/>
    </row>
    <row r="1091" spans="16:16" s="497" customFormat="1" ht="15">
      <c r="P1091" s="447"/>
    </row>
    <row r="1092" spans="16:16" s="497" customFormat="1" ht="15">
      <c r="P1092" s="447"/>
    </row>
    <row r="1093" spans="16:16" s="497" customFormat="1" ht="15">
      <c r="P1093" s="447"/>
    </row>
    <row r="1094" spans="16:16" s="497" customFormat="1" ht="15">
      <c r="P1094" s="447"/>
    </row>
    <row r="1095" spans="16:16" s="497" customFormat="1" ht="15">
      <c r="P1095" s="447"/>
    </row>
    <row r="1096" spans="16:16" s="497" customFormat="1" ht="15">
      <c r="P1096" s="447"/>
    </row>
    <row r="1097" spans="16:16" s="497" customFormat="1" ht="15">
      <c r="P1097" s="447"/>
    </row>
    <row r="1098" spans="16:16" s="497" customFormat="1" ht="15">
      <c r="P1098" s="447"/>
    </row>
    <row r="1099" spans="16:16" s="497" customFormat="1" ht="15">
      <c r="P1099" s="447"/>
    </row>
    <row r="1100" spans="16:16" s="497" customFormat="1" ht="15">
      <c r="P1100" s="447"/>
    </row>
    <row r="1101" spans="16:16" s="497" customFormat="1" ht="15">
      <c r="P1101" s="447"/>
    </row>
    <row r="1102" spans="16:16" s="497" customFormat="1" ht="15">
      <c r="P1102" s="447"/>
    </row>
    <row r="1103" spans="16:16" s="497" customFormat="1" ht="15">
      <c r="P1103" s="447"/>
    </row>
    <row r="1104" spans="16:16" s="497" customFormat="1" ht="15">
      <c r="P1104" s="447"/>
    </row>
    <row r="1105" spans="16:16" s="497" customFormat="1" ht="15">
      <c r="P1105" s="447"/>
    </row>
    <row r="1106" spans="16:16" s="497" customFormat="1" ht="15">
      <c r="P1106" s="447"/>
    </row>
    <row r="1107" spans="16:16" s="497" customFormat="1" ht="15">
      <c r="P1107" s="447"/>
    </row>
    <row r="1108" spans="16:16" s="497" customFormat="1" ht="15">
      <c r="P1108" s="447"/>
    </row>
    <row r="1109" spans="16:16" s="497" customFormat="1" ht="15">
      <c r="P1109" s="447"/>
    </row>
    <row r="1110" spans="16:16" s="497" customFormat="1" ht="15">
      <c r="P1110" s="447"/>
    </row>
    <row r="1111" spans="16:16" s="497" customFormat="1" ht="15">
      <c r="P1111" s="447"/>
    </row>
    <row r="1112" spans="16:16" s="497" customFormat="1" ht="15">
      <c r="P1112" s="447"/>
    </row>
    <row r="1113" spans="16:16" s="497" customFormat="1" ht="15">
      <c r="P1113" s="447"/>
    </row>
    <row r="1114" spans="16:16" s="497" customFormat="1" ht="15">
      <c r="P1114" s="447"/>
    </row>
    <row r="1115" spans="16:16" s="497" customFormat="1" ht="15">
      <c r="P1115" s="447"/>
    </row>
    <row r="1116" spans="16:16" s="497" customFormat="1" ht="15">
      <c r="P1116" s="447"/>
    </row>
    <row r="1117" spans="16:16" s="497" customFormat="1" ht="15">
      <c r="P1117" s="447"/>
    </row>
    <row r="1118" spans="16:16" s="497" customFormat="1" ht="15">
      <c r="P1118" s="447"/>
    </row>
    <row r="1119" spans="16:16" s="497" customFormat="1" ht="15">
      <c r="P1119" s="447"/>
    </row>
    <row r="1120" spans="16:16" s="497" customFormat="1" ht="15">
      <c r="P1120" s="447"/>
    </row>
    <row r="1121" spans="16:16" s="497" customFormat="1" ht="15">
      <c r="P1121" s="447"/>
    </row>
    <row r="1122" spans="16:16" s="497" customFormat="1" ht="15">
      <c r="P1122" s="447"/>
    </row>
    <row r="1123" spans="16:16" s="497" customFormat="1" ht="15">
      <c r="P1123" s="447"/>
    </row>
    <row r="1124" spans="16:16" s="497" customFormat="1" ht="15">
      <c r="P1124" s="447"/>
    </row>
    <row r="1125" spans="16:16" s="497" customFormat="1" ht="15">
      <c r="P1125" s="447"/>
    </row>
    <row r="1126" spans="16:16" s="497" customFormat="1" ht="15">
      <c r="P1126" s="447"/>
    </row>
    <row r="1127" spans="16:16" s="497" customFormat="1" ht="15">
      <c r="P1127" s="447"/>
    </row>
    <row r="1128" spans="16:16" s="497" customFormat="1" ht="15">
      <c r="P1128" s="447"/>
    </row>
    <row r="1129" spans="16:16" s="497" customFormat="1" ht="15">
      <c r="P1129" s="447"/>
    </row>
    <row r="1130" spans="16:16" s="497" customFormat="1" ht="15">
      <c r="P1130" s="447"/>
    </row>
    <row r="1131" spans="16:16" s="497" customFormat="1" ht="15">
      <c r="P1131" s="447"/>
    </row>
    <row r="1132" spans="16:16" s="497" customFormat="1" ht="15">
      <c r="P1132" s="447"/>
    </row>
    <row r="1133" spans="16:16" s="497" customFormat="1" ht="15">
      <c r="P1133" s="447"/>
    </row>
    <row r="1134" spans="16:16" s="497" customFormat="1" ht="15">
      <c r="P1134" s="447"/>
    </row>
    <row r="1135" spans="16:16" s="497" customFormat="1" ht="15">
      <c r="P1135" s="447"/>
    </row>
    <row r="1136" spans="16:16" s="497" customFormat="1" ht="15">
      <c r="P1136" s="447"/>
    </row>
    <row r="1137" spans="16:16" s="497" customFormat="1" ht="15">
      <c r="P1137" s="447"/>
    </row>
    <row r="1138" spans="16:16" s="497" customFormat="1" ht="15">
      <c r="P1138" s="447"/>
    </row>
    <row r="1139" spans="16:16" s="497" customFormat="1" ht="15">
      <c r="P1139" s="447"/>
    </row>
    <row r="1140" spans="16:16" s="497" customFormat="1" ht="15">
      <c r="P1140" s="447"/>
    </row>
    <row r="1141" spans="16:16" s="497" customFormat="1" ht="15">
      <c r="P1141" s="447"/>
    </row>
    <row r="1142" spans="16:16" s="497" customFormat="1" ht="15">
      <c r="P1142" s="447"/>
    </row>
    <row r="1143" spans="16:16" s="497" customFormat="1" ht="15">
      <c r="P1143" s="447"/>
    </row>
    <row r="1144" spans="16:16" s="497" customFormat="1" ht="15">
      <c r="P1144" s="447"/>
    </row>
    <row r="1145" spans="16:16" s="497" customFormat="1" ht="15">
      <c r="P1145" s="447"/>
    </row>
    <row r="1146" spans="16:16" s="497" customFormat="1" ht="15">
      <c r="P1146" s="447"/>
    </row>
    <row r="1147" spans="16:16" s="497" customFormat="1" ht="15">
      <c r="P1147" s="447"/>
    </row>
    <row r="1148" spans="16:16" s="497" customFormat="1" ht="15">
      <c r="P1148" s="447"/>
    </row>
    <row r="1149" spans="16:16" s="497" customFormat="1" ht="15">
      <c r="P1149" s="447"/>
    </row>
    <row r="1150" spans="16:16" s="497" customFormat="1" ht="15">
      <c r="P1150" s="447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>
    <tabColor rgb="FF002060"/>
  </sheetPr>
  <dimension ref="A1:T1150"/>
  <sheetViews>
    <sheetView workbookViewId="0">
      <selection activeCell="T3" sqref="T3:T12"/>
    </sheetView>
  </sheetViews>
  <sheetFormatPr defaultRowHeight="12.75"/>
  <cols>
    <col min="1" max="4" width="9.140625" style="443"/>
    <col min="5" max="6" width="5.140625" style="458" customWidth="1"/>
    <col min="7" max="7" width="6" style="458" customWidth="1"/>
    <col min="8" max="14" width="5.140625" style="458" customWidth="1"/>
    <col min="15" max="15" width="9.140625" style="443"/>
    <col min="16" max="16" width="9.140625" style="497"/>
    <col min="17" max="20" width="9.140625" style="473"/>
    <col min="21" max="16384" width="9.140625" style="497"/>
  </cols>
  <sheetData>
    <row r="1" spans="1:20" s="443" customFormat="1" ht="23.25">
      <c r="A1" s="495" t="s">
        <v>523</v>
      </c>
      <c r="E1" s="458"/>
      <c r="F1" s="458"/>
      <c r="G1" s="458"/>
      <c r="H1" s="458"/>
      <c r="I1" s="458"/>
      <c r="J1" s="458"/>
      <c r="K1" s="458"/>
      <c r="L1" s="458"/>
      <c r="M1" s="458"/>
      <c r="N1" s="458"/>
      <c r="Q1" s="496" t="s">
        <v>417</v>
      </c>
      <c r="R1" s="496" t="s">
        <v>524</v>
      </c>
      <c r="S1" s="496" t="s">
        <v>525</v>
      </c>
      <c r="T1" s="496" t="s">
        <v>526</v>
      </c>
    </row>
    <row r="2" spans="1:20" ht="15">
      <c r="B2" s="445" t="s">
        <v>421</v>
      </c>
      <c r="C2" s="445"/>
      <c r="D2" s="445"/>
      <c r="F2" s="446" t="s">
        <v>422</v>
      </c>
      <c r="G2" s="446" t="s">
        <v>423</v>
      </c>
      <c r="P2" s="447"/>
      <c r="Q2" s="447" t="s">
        <v>456</v>
      </c>
      <c r="R2" s="447" t="s">
        <v>457</v>
      </c>
      <c r="S2" s="447" t="s">
        <v>425</v>
      </c>
      <c r="T2" s="447" t="s">
        <v>460</v>
      </c>
    </row>
    <row r="3" spans="1:20" ht="15">
      <c r="B3" s="443" t="s">
        <v>426</v>
      </c>
      <c r="C3" s="448">
        <v>3.5008273438823068</v>
      </c>
      <c r="D3" s="449" t="s">
        <v>427</v>
      </c>
      <c r="F3" s="446">
        <f>MIN(XX_value)</f>
        <v>3</v>
      </c>
      <c r="G3" s="446">
        <f>MAX(XX_value)</f>
        <v>100</v>
      </c>
      <c r="P3" s="447"/>
      <c r="Q3" s="450">
        <v>3</v>
      </c>
      <c r="R3" s="450">
        <v>0</v>
      </c>
      <c r="S3" s="450">
        <v>0</v>
      </c>
      <c r="T3" s="443">
        <v>1</v>
      </c>
    </row>
    <row r="4" spans="1:20" ht="15">
      <c r="B4" s="443" t="s">
        <v>430</v>
      </c>
      <c r="C4" s="448">
        <v>1.0629800000000103</v>
      </c>
      <c r="D4" s="449" t="s">
        <v>427</v>
      </c>
      <c r="F4" s="446">
        <f>MIN(YY_value)</f>
        <v>0</v>
      </c>
      <c r="G4" s="446">
        <f>MAX(YY_value)</f>
        <v>1000</v>
      </c>
      <c r="P4" s="447"/>
      <c r="Q4" s="450">
        <v>3</v>
      </c>
      <c r="R4" s="450">
        <v>0</v>
      </c>
      <c r="S4" s="450">
        <v>300</v>
      </c>
      <c r="T4" s="443">
        <v>1</v>
      </c>
    </row>
    <row r="5" spans="1:20" ht="15">
      <c r="B5" s="443" t="s">
        <v>390</v>
      </c>
      <c r="C5" s="448">
        <v>217.26688621904472</v>
      </c>
      <c r="D5" s="449" t="s">
        <v>427</v>
      </c>
      <c r="F5" s="446">
        <f>MIN(ZZ_value)</f>
        <v>0</v>
      </c>
      <c r="G5" s="446">
        <f>MAX(ZZ_value)</f>
        <v>10000</v>
      </c>
      <c r="P5" s="447"/>
      <c r="Q5" s="450">
        <v>3</v>
      </c>
      <c r="R5" s="450">
        <v>0</v>
      </c>
      <c r="S5" s="450">
        <v>300.01</v>
      </c>
      <c r="T5" s="443">
        <v>0.92</v>
      </c>
    </row>
    <row r="6" spans="1:20" ht="15">
      <c r="G6" s="446"/>
      <c r="P6" s="447"/>
      <c r="Q6" s="450">
        <v>3</v>
      </c>
      <c r="R6" s="450">
        <v>0</v>
      </c>
      <c r="S6" s="450">
        <v>600</v>
      </c>
      <c r="T6" s="443">
        <v>0.92</v>
      </c>
    </row>
    <row r="7" spans="1:20" ht="15">
      <c r="B7" s="445" t="s">
        <v>424</v>
      </c>
      <c r="C7" s="445"/>
      <c r="D7" s="445"/>
      <c r="P7" s="447"/>
      <c r="Q7" s="450">
        <v>3</v>
      </c>
      <c r="R7" s="450">
        <v>0</v>
      </c>
      <c r="S7" s="450">
        <v>600.01</v>
      </c>
      <c r="T7" s="443">
        <v>0.92</v>
      </c>
    </row>
    <row r="8" spans="1:20" ht="15">
      <c r="B8" s="443" t="s">
        <v>461</v>
      </c>
      <c r="C8" s="468">
        <f>SUMPRODUCT(D37:D44,D46:D53)</f>
        <v>0.99999999999999911</v>
      </c>
      <c r="D8" s="449" t="s">
        <v>427</v>
      </c>
      <c r="P8" s="447"/>
      <c r="Q8" s="450">
        <v>3</v>
      </c>
      <c r="R8" s="450">
        <v>0</v>
      </c>
      <c r="S8" s="450">
        <v>10000</v>
      </c>
      <c r="T8" s="443">
        <v>0.92</v>
      </c>
    </row>
    <row r="9" spans="1:20" ht="15">
      <c r="P9" s="447"/>
      <c r="Q9" s="450">
        <v>3</v>
      </c>
      <c r="R9" s="450">
        <v>0.4</v>
      </c>
      <c r="S9" s="450">
        <v>0</v>
      </c>
      <c r="T9" s="443">
        <v>1</v>
      </c>
    </row>
    <row r="10" spans="1:20" ht="15">
      <c r="B10" s="445" t="s">
        <v>431</v>
      </c>
      <c r="C10" s="445"/>
      <c r="D10" s="445"/>
      <c r="F10" s="446"/>
      <c r="P10" s="447"/>
      <c r="Q10" s="450">
        <v>3</v>
      </c>
      <c r="R10" s="450">
        <v>0.4</v>
      </c>
      <c r="S10" s="450">
        <v>300</v>
      </c>
      <c r="T10" s="443">
        <v>1</v>
      </c>
    </row>
    <row r="11" spans="1:20" ht="15">
      <c r="B11" s="443" t="s">
        <v>433</v>
      </c>
      <c r="C11" s="450">
        <f>INDEX(XX_value,MATCH(XX,XX_value,1))</f>
        <v>3.5</v>
      </c>
      <c r="D11" s="449" t="s">
        <v>427</v>
      </c>
      <c r="F11" s="446"/>
      <c r="P11" s="447"/>
      <c r="Q11" s="450">
        <v>3</v>
      </c>
      <c r="R11" s="450">
        <v>0.4</v>
      </c>
      <c r="S11" s="450">
        <v>300.01</v>
      </c>
      <c r="T11" s="443">
        <v>0.92</v>
      </c>
    </row>
    <row r="12" spans="1:20" ht="15">
      <c r="B12" s="443" t="s">
        <v>434</v>
      </c>
      <c r="C12" s="450">
        <f>INDEX(XX_value,MATCH(XX,XX_value,1)+1)</f>
        <v>4.49</v>
      </c>
      <c r="D12" s="449" t="s">
        <v>427</v>
      </c>
      <c r="F12" s="446"/>
      <c r="P12" s="447"/>
      <c r="Q12" s="450">
        <v>3</v>
      </c>
      <c r="R12" s="450">
        <v>0.4</v>
      </c>
      <c r="S12" s="450">
        <v>600</v>
      </c>
      <c r="T12" s="443">
        <v>0.92</v>
      </c>
    </row>
    <row r="13" spans="1:20" ht="15">
      <c r="B13" s="443" t="s">
        <v>435</v>
      </c>
      <c r="C13" s="450">
        <f>INDEX(YY_value,MATCH(YY,YY_value,1))</f>
        <v>0.8</v>
      </c>
      <c r="D13" s="449" t="s">
        <v>427</v>
      </c>
      <c r="F13" s="446"/>
      <c r="P13" s="447"/>
      <c r="Q13" s="450">
        <v>3</v>
      </c>
      <c r="R13" s="450">
        <v>0.4</v>
      </c>
      <c r="S13" s="450">
        <v>600.01</v>
      </c>
      <c r="T13" s="443">
        <v>0.92</v>
      </c>
    </row>
    <row r="14" spans="1:20" ht="15">
      <c r="B14" s="443" t="s">
        <v>436</v>
      </c>
      <c r="C14" s="450">
        <f>INDEX(YY_value,MATCH(YY,YY_value,1)+1)</f>
        <v>1.2</v>
      </c>
      <c r="D14" s="449" t="s">
        <v>427</v>
      </c>
      <c r="F14" s="446"/>
      <c r="P14" s="447"/>
      <c r="Q14" s="450">
        <v>3</v>
      </c>
      <c r="R14" s="450">
        <v>0.4</v>
      </c>
      <c r="S14" s="450">
        <v>10000</v>
      </c>
      <c r="T14" s="443">
        <v>0.92</v>
      </c>
    </row>
    <row r="15" spans="1:20" ht="15">
      <c r="B15" s="443" t="s">
        <v>462</v>
      </c>
      <c r="C15" s="450">
        <f>INDEX(ZZ_value,MATCH(ZZ,ZZ_value,1))</f>
        <v>0</v>
      </c>
      <c r="D15" s="449" t="s">
        <v>427</v>
      </c>
      <c r="P15" s="447"/>
      <c r="Q15" s="450">
        <v>3</v>
      </c>
      <c r="R15" s="450">
        <v>0.8</v>
      </c>
      <c r="S15" s="450">
        <v>0</v>
      </c>
      <c r="T15" s="443">
        <v>1</v>
      </c>
    </row>
    <row r="16" spans="1:20" ht="15">
      <c r="B16" s="443" t="s">
        <v>463</v>
      </c>
      <c r="C16" s="450">
        <f>INDEX(ZZ_value,MATCH(ZZ,ZZ_value,1)+1)</f>
        <v>300</v>
      </c>
      <c r="D16" s="449" t="s">
        <v>427</v>
      </c>
      <c r="F16" s="446" t="s">
        <v>432</v>
      </c>
      <c r="P16" s="447"/>
      <c r="Q16" s="450">
        <v>3</v>
      </c>
      <c r="R16" s="450">
        <v>0.8</v>
      </c>
      <c r="S16" s="450">
        <v>300</v>
      </c>
      <c r="T16" s="443">
        <v>1</v>
      </c>
    </row>
    <row r="17" spans="2:20" s="497" customFormat="1" ht="15">
      <c r="B17" s="443" t="s">
        <v>464</v>
      </c>
      <c r="C17" s="469">
        <f t="shared" ref="C17" si="0">INDEX(TT_value,F17,0)</f>
        <v>1</v>
      </c>
      <c r="D17" s="449" t="s">
        <v>427</v>
      </c>
      <c r="E17" s="458"/>
      <c r="F17" s="446">
        <f t="array" ref="F17">MATCH(1,(XX_value=xx_1)*(YY_value=yy_1)*(ZZ_value=zz_1),0)</f>
        <v>135</v>
      </c>
      <c r="G17" s="458"/>
      <c r="H17" s="458"/>
      <c r="I17" s="458"/>
      <c r="J17" s="458"/>
      <c r="K17" s="458"/>
      <c r="L17" s="458"/>
      <c r="M17" s="458"/>
      <c r="N17" s="458"/>
      <c r="O17" s="443"/>
      <c r="P17" s="447"/>
      <c r="Q17" s="450">
        <v>3</v>
      </c>
      <c r="R17" s="450">
        <v>0.8</v>
      </c>
      <c r="S17" s="450">
        <v>300.01</v>
      </c>
      <c r="T17" s="443">
        <v>0.93</v>
      </c>
    </row>
    <row r="18" spans="2:20" s="497" customFormat="1" ht="15">
      <c r="B18" s="443" t="s">
        <v>465</v>
      </c>
      <c r="C18" s="469">
        <f t="shared" ref="C18" si="1">INDEX(TT_value,F18,0)</f>
        <v>1</v>
      </c>
      <c r="D18" s="449" t="s">
        <v>427</v>
      </c>
      <c r="E18" s="458"/>
      <c r="F18" s="446">
        <f t="array" ref="F18">MATCH(1,(XX_value=xx_2)*(YY_value=yy_1)*(ZZ_value=zz_1),0)</f>
        <v>195</v>
      </c>
      <c r="G18" s="458"/>
      <c r="H18" s="458"/>
      <c r="I18" s="458"/>
      <c r="J18" s="458"/>
      <c r="K18" s="458"/>
      <c r="L18" s="458"/>
      <c r="M18" s="458"/>
      <c r="N18" s="458"/>
      <c r="O18" s="443"/>
      <c r="P18" s="447"/>
      <c r="Q18" s="450">
        <v>3</v>
      </c>
      <c r="R18" s="450">
        <v>0.8</v>
      </c>
      <c r="S18" s="450">
        <v>600</v>
      </c>
      <c r="T18" s="443">
        <v>0.93</v>
      </c>
    </row>
    <row r="19" spans="2:20" s="497" customFormat="1" ht="15">
      <c r="B19" s="443" t="s">
        <v>466</v>
      </c>
      <c r="C19" s="469">
        <f t="shared" ref="C19" si="2">INDEX(TT_value,F19,0)</f>
        <v>1</v>
      </c>
      <c r="D19" s="449" t="s">
        <v>427</v>
      </c>
      <c r="E19" s="458"/>
      <c r="F19" s="446">
        <f t="array" ref="F19">MATCH(1,(XX_value=xx_1)*(YY_value=yy_2)*(ZZ_value=zz_1),0)</f>
        <v>141</v>
      </c>
      <c r="G19" s="458"/>
      <c r="H19" s="458"/>
      <c r="I19" s="458"/>
      <c r="J19" s="458"/>
      <c r="K19" s="458"/>
      <c r="L19" s="458"/>
      <c r="M19" s="458"/>
      <c r="N19" s="458"/>
      <c r="O19" s="443"/>
      <c r="P19" s="447"/>
      <c r="Q19" s="450">
        <v>3</v>
      </c>
      <c r="R19" s="450">
        <v>0.8</v>
      </c>
      <c r="S19" s="450">
        <v>600.01</v>
      </c>
      <c r="T19" s="443">
        <v>0.93</v>
      </c>
    </row>
    <row r="20" spans="2:20" s="497" customFormat="1" ht="15">
      <c r="B20" s="443" t="s">
        <v>467</v>
      </c>
      <c r="C20" s="469">
        <f t="shared" ref="C20" si="3">INDEX(TT_value,F20,0)</f>
        <v>1</v>
      </c>
      <c r="D20" s="449" t="s">
        <v>427</v>
      </c>
      <c r="E20" s="458"/>
      <c r="F20" s="446">
        <f t="array" ref="F20">MATCH(1,(XX_value=xx_2)*(YY_value=yy_2)*(ZZ_value=zz_1),0)</f>
        <v>201</v>
      </c>
      <c r="G20" s="458"/>
      <c r="H20" s="458"/>
      <c r="I20" s="458"/>
      <c r="J20" s="458"/>
      <c r="K20" s="458"/>
      <c r="L20" s="458"/>
      <c r="M20" s="458"/>
      <c r="N20" s="458"/>
      <c r="O20" s="443"/>
      <c r="P20" s="447"/>
      <c r="Q20" s="450">
        <v>3</v>
      </c>
      <c r="R20" s="450">
        <v>0.8</v>
      </c>
      <c r="S20" s="450">
        <v>10000</v>
      </c>
      <c r="T20" s="443">
        <v>0.93</v>
      </c>
    </row>
    <row r="21" spans="2:20" s="497" customFormat="1" ht="15">
      <c r="B21" s="443" t="s">
        <v>468</v>
      </c>
      <c r="C21" s="469">
        <f t="shared" ref="C21" si="4">INDEX(TT_value,F21,0)</f>
        <v>1</v>
      </c>
      <c r="D21" s="449" t="s">
        <v>427</v>
      </c>
      <c r="E21" s="458"/>
      <c r="F21" s="446">
        <f t="array" ref="F21">MATCH(1,(XX_value=xx_1)*(YY_value=yy_1)*(ZZ_value=zz_2),0)</f>
        <v>136</v>
      </c>
      <c r="G21" s="458"/>
      <c r="H21" s="458"/>
      <c r="I21" s="458"/>
      <c r="J21" s="458"/>
      <c r="K21" s="458"/>
      <c r="L21" s="458"/>
      <c r="M21" s="458"/>
      <c r="N21" s="458"/>
      <c r="O21" s="443"/>
      <c r="P21" s="447"/>
      <c r="Q21" s="450">
        <v>3</v>
      </c>
      <c r="R21" s="450">
        <v>1.2</v>
      </c>
      <c r="S21" s="450">
        <v>0</v>
      </c>
      <c r="T21" s="443">
        <v>1</v>
      </c>
    </row>
    <row r="22" spans="2:20" s="497" customFormat="1" ht="15">
      <c r="B22" s="443" t="s">
        <v>469</v>
      </c>
      <c r="C22" s="469">
        <f t="shared" ref="C22" si="5">INDEX(TT_value,F22,0)</f>
        <v>1</v>
      </c>
      <c r="D22" s="449" t="s">
        <v>427</v>
      </c>
      <c r="E22" s="458"/>
      <c r="F22" s="446">
        <f t="array" ref="F22">MATCH(1,(XX_value=xx_2)*(YY_value=yy_1)*(ZZ_value=zz_2),0)</f>
        <v>196</v>
      </c>
      <c r="G22" s="458"/>
      <c r="H22" s="458"/>
      <c r="I22" s="458"/>
      <c r="J22" s="458"/>
      <c r="K22" s="458"/>
      <c r="L22" s="458"/>
      <c r="M22" s="458"/>
      <c r="N22" s="458"/>
      <c r="O22" s="443"/>
      <c r="P22" s="447"/>
      <c r="Q22" s="450">
        <v>3</v>
      </c>
      <c r="R22" s="450">
        <v>1.2</v>
      </c>
      <c r="S22" s="450">
        <v>300</v>
      </c>
      <c r="T22" s="443">
        <v>1</v>
      </c>
    </row>
    <row r="23" spans="2:20" s="497" customFormat="1" ht="15">
      <c r="B23" s="443" t="s">
        <v>470</v>
      </c>
      <c r="C23" s="469">
        <f t="shared" ref="C23" si="6">INDEX(TT_value,F23,0)</f>
        <v>1</v>
      </c>
      <c r="D23" s="449" t="s">
        <v>427</v>
      </c>
      <c r="E23" s="458"/>
      <c r="F23" s="446">
        <f t="array" ref="F23">MATCH(1,(XX_value=xx_1)*(YY_value=yy_2)*(ZZ_value=zz_2),0)</f>
        <v>142</v>
      </c>
      <c r="G23" s="458"/>
      <c r="H23" s="458"/>
      <c r="I23" s="458"/>
      <c r="J23" s="458"/>
      <c r="K23" s="458"/>
      <c r="L23" s="458"/>
      <c r="M23" s="458"/>
      <c r="N23" s="458"/>
      <c r="O23" s="443"/>
      <c r="P23" s="447"/>
      <c r="Q23" s="450">
        <v>3</v>
      </c>
      <c r="R23" s="450">
        <v>1.2</v>
      </c>
      <c r="S23" s="450">
        <v>300.01</v>
      </c>
      <c r="T23" s="443">
        <v>0.93</v>
      </c>
    </row>
    <row r="24" spans="2:20" s="497" customFormat="1" ht="15">
      <c r="B24" s="443" t="s">
        <v>471</v>
      </c>
      <c r="C24" s="469">
        <f t="shared" ref="C24" si="7">INDEX(TT_value,F24,0)</f>
        <v>1</v>
      </c>
      <c r="D24" s="449" t="s">
        <v>427</v>
      </c>
      <c r="E24" s="458"/>
      <c r="F24" s="446">
        <f t="array" ref="F24">MATCH(1,(XX_value=xx_2)*(YY_value=yy_2)*(ZZ_value=zz_2),0)</f>
        <v>202</v>
      </c>
      <c r="G24" s="458"/>
      <c r="H24" s="458"/>
      <c r="I24" s="458"/>
      <c r="J24" s="458"/>
      <c r="K24" s="458"/>
      <c r="L24" s="458"/>
      <c r="M24" s="458"/>
      <c r="N24" s="458"/>
      <c r="O24" s="443"/>
      <c r="P24" s="447"/>
      <c r="Q24" s="450">
        <v>3</v>
      </c>
      <c r="R24" s="450">
        <v>1.2</v>
      </c>
      <c r="S24" s="450">
        <v>600</v>
      </c>
      <c r="T24" s="443">
        <v>0.93</v>
      </c>
    </row>
    <row r="25" spans="2:20" s="497" customFormat="1" ht="15">
      <c r="B25" s="443"/>
      <c r="C25" s="443"/>
      <c r="D25" s="449"/>
      <c r="E25" s="458"/>
      <c r="F25" s="458"/>
      <c r="G25" s="458"/>
      <c r="H25" s="458"/>
      <c r="I25" s="458"/>
      <c r="J25" s="458"/>
      <c r="K25" s="458"/>
      <c r="L25" s="458"/>
      <c r="M25" s="458"/>
      <c r="N25" s="458"/>
      <c r="O25" s="443"/>
      <c r="P25" s="447"/>
      <c r="Q25" s="450">
        <v>3</v>
      </c>
      <c r="R25" s="450">
        <v>1.2</v>
      </c>
      <c r="S25" s="450">
        <v>600.01</v>
      </c>
      <c r="T25" s="443">
        <v>0.93</v>
      </c>
    </row>
    <row r="26" spans="2:20" s="497" customFormat="1" ht="15">
      <c r="B26" s="445" t="s">
        <v>441</v>
      </c>
      <c r="C26" s="445"/>
      <c r="D26" s="445"/>
      <c r="E26" s="445"/>
      <c r="F26" s="445"/>
      <c r="G26" s="445"/>
      <c r="H26" s="445"/>
      <c r="I26" s="445"/>
      <c r="J26" s="445"/>
      <c r="K26" s="445"/>
      <c r="L26" s="445"/>
      <c r="M26" s="445"/>
      <c r="N26" s="445"/>
      <c r="O26" s="443"/>
      <c r="P26" s="447"/>
      <c r="Q26" s="450">
        <v>3</v>
      </c>
      <c r="R26" s="450">
        <v>1.2</v>
      </c>
      <c r="S26" s="450">
        <v>10000</v>
      </c>
      <c r="T26" s="443">
        <v>0.93</v>
      </c>
    </row>
    <row r="27" spans="2:20" s="497" customFormat="1" ht="15">
      <c r="B27" s="443"/>
      <c r="C27" s="443"/>
      <c r="D27" s="443"/>
      <c r="E27" s="458"/>
      <c r="F27" s="458"/>
      <c r="G27" s="458"/>
      <c r="H27" s="458"/>
      <c r="I27" s="458"/>
      <c r="J27" s="458"/>
      <c r="K27" s="458"/>
      <c r="L27" s="458"/>
      <c r="M27" s="458"/>
      <c r="N27" s="458"/>
      <c r="O27" s="443"/>
      <c r="P27" s="447"/>
      <c r="Q27" s="450">
        <v>3</v>
      </c>
      <c r="R27" s="450">
        <v>1.6</v>
      </c>
      <c r="S27" s="450">
        <v>0</v>
      </c>
      <c r="T27" s="443">
        <v>1</v>
      </c>
    </row>
    <row r="28" spans="2:20" s="497" customFormat="1" ht="15">
      <c r="B28" s="453" t="s">
        <v>442</v>
      </c>
      <c r="C28" s="443"/>
      <c r="D28" s="443"/>
      <c r="E28" s="453">
        <v>1</v>
      </c>
      <c r="F28" s="458">
        <f>xx_1</f>
        <v>3.5</v>
      </c>
      <c r="G28" s="458">
        <f>yy_1</f>
        <v>0.8</v>
      </c>
      <c r="H28" s="458">
        <f>zz_1</f>
        <v>0</v>
      </c>
      <c r="I28" s="458">
        <f>F28*G28</f>
        <v>2.8000000000000003</v>
      </c>
      <c r="J28" s="458">
        <f>F28*H28</f>
        <v>0</v>
      </c>
      <c r="K28" s="458">
        <f>G28*H28</f>
        <v>0</v>
      </c>
      <c r="L28" s="470">
        <f>F28*G28*H28</f>
        <v>0</v>
      </c>
      <c r="M28" s="471" t="s">
        <v>443</v>
      </c>
      <c r="N28" s="472">
        <f t="shared" ref="N28" si="8">f_111</f>
        <v>1</v>
      </c>
      <c r="O28" s="443"/>
      <c r="P28" s="447"/>
      <c r="Q28" s="450">
        <v>3</v>
      </c>
      <c r="R28" s="450">
        <v>1.6</v>
      </c>
      <c r="S28" s="450">
        <v>300</v>
      </c>
      <c r="T28" s="443">
        <v>1</v>
      </c>
    </row>
    <row r="29" spans="2:20" s="497" customFormat="1" ht="15">
      <c r="B29" s="453" t="s">
        <v>444</v>
      </c>
      <c r="C29" s="443"/>
      <c r="D29" s="443"/>
      <c r="E29" s="453">
        <v>1</v>
      </c>
      <c r="F29" s="458">
        <f>xx_2</f>
        <v>4.49</v>
      </c>
      <c r="G29" s="458">
        <f>yy_1</f>
        <v>0.8</v>
      </c>
      <c r="H29" s="458">
        <f>zz_1</f>
        <v>0</v>
      </c>
      <c r="I29" s="458">
        <f t="shared" ref="I29:I35" si="9">F29*G29</f>
        <v>3.5920000000000005</v>
      </c>
      <c r="J29" s="458">
        <f t="shared" ref="J29:J35" si="10">F29*H29</f>
        <v>0</v>
      </c>
      <c r="K29" s="458">
        <f t="shared" ref="K29:K35" si="11">G29*H29</f>
        <v>0</v>
      </c>
      <c r="L29" s="470">
        <f t="shared" ref="L29:L35" si="12">F29*G29*H29</f>
        <v>0</v>
      </c>
      <c r="M29" s="458"/>
      <c r="N29" s="472">
        <f>f_211</f>
        <v>1</v>
      </c>
      <c r="O29" s="443"/>
      <c r="P29" s="447"/>
      <c r="Q29" s="450">
        <v>3</v>
      </c>
      <c r="R29" s="450">
        <v>1.6</v>
      </c>
      <c r="S29" s="450">
        <v>300.01</v>
      </c>
      <c r="T29" s="443">
        <v>0.93</v>
      </c>
    </row>
    <row r="30" spans="2:20" s="497" customFormat="1" ht="15">
      <c r="B30" s="453" t="s">
        <v>445</v>
      </c>
      <c r="C30" s="443"/>
      <c r="D30" s="443"/>
      <c r="E30" s="453">
        <v>1</v>
      </c>
      <c r="F30" s="458">
        <f>xx_1</f>
        <v>3.5</v>
      </c>
      <c r="G30" s="458">
        <f>yy_2</f>
        <v>1.2</v>
      </c>
      <c r="H30" s="458">
        <f>zz_1</f>
        <v>0</v>
      </c>
      <c r="I30" s="458">
        <f t="shared" si="9"/>
        <v>4.2</v>
      </c>
      <c r="J30" s="458">
        <f t="shared" si="10"/>
        <v>0</v>
      </c>
      <c r="K30" s="458">
        <f t="shared" si="11"/>
        <v>0</v>
      </c>
      <c r="L30" s="470">
        <f t="shared" si="12"/>
        <v>0</v>
      </c>
      <c r="M30" s="458"/>
      <c r="N30" s="472">
        <f>f_121</f>
        <v>1</v>
      </c>
      <c r="O30" s="443"/>
      <c r="P30" s="447"/>
      <c r="Q30" s="450">
        <v>3</v>
      </c>
      <c r="R30" s="450">
        <v>1.6</v>
      </c>
      <c r="S30" s="450">
        <v>600</v>
      </c>
      <c r="T30" s="443">
        <v>0.93</v>
      </c>
    </row>
    <row r="31" spans="2:20" s="497" customFormat="1" ht="15">
      <c r="B31" s="453" t="s">
        <v>448</v>
      </c>
      <c r="C31" s="443" t="s">
        <v>446</v>
      </c>
      <c r="D31" s="443"/>
      <c r="E31" s="453">
        <v>1</v>
      </c>
      <c r="F31" s="458">
        <f>xx_2</f>
        <v>4.49</v>
      </c>
      <c r="G31" s="458">
        <f>yy_2</f>
        <v>1.2</v>
      </c>
      <c r="H31" s="458">
        <f>zz_1</f>
        <v>0</v>
      </c>
      <c r="I31" s="458">
        <f t="shared" si="9"/>
        <v>5.3879999999999999</v>
      </c>
      <c r="J31" s="458">
        <f t="shared" si="10"/>
        <v>0</v>
      </c>
      <c r="K31" s="458">
        <f t="shared" si="11"/>
        <v>0</v>
      </c>
      <c r="L31" s="470">
        <f t="shared" si="12"/>
        <v>0</v>
      </c>
      <c r="M31" s="458" t="s">
        <v>447</v>
      </c>
      <c r="N31" s="472">
        <f>f_221</f>
        <v>1</v>
      </c>
      <c r="O31" s="443"/>
      <c r="P31" s="447"/>
      <c r="Q31" s="450">
        <v>3</v>
      </c>
      <c r="R31" s="450">
        <v>1.6</v>
      </c>
      <c r="S31" s="450">
        <v>600.01</v>
      </c>
      <c r="T31" s="443">
        <v>0.93</v>
      </c>
    </row>
    <row r="32" spans="2:20" s="497" customFormat="1" ht="15">
      <c r="B32" s="453" t="s">
        <v>472</v>
      </c>
      <c r="C32" s="443"/>
      <c r="D32" s="443"/>
      <c r="E32" s="453">
        <v>1</v>
      </c>
      <c r="F32" s="458">
        <f>xx_1</f>
        <v>3.5</v>
      </c>
      <c r="G32" s="458">
        <f>yy_1</f>
        <v>0.8</v>
      </c>
      <c r="H32" s="458">
        <f>zz_2</f>
        <v>300</v>
      </c>
      <c r="I32" s="458">
        <f t="shared" si="9"/>
        <v>2.8000000000000003</v>
      </c>
      <c r="J32" s="458">
        <f t="shared" si="10"/>
        <v>1050</v>
      </c>
      <c r="K32" s="458">
        <f t="shared" si="11"/>
        <v>240</v>
      </c>
      <c r="L32" s="470">
        <f t="shared" si="12"/>
        <v>840.00000000000011</v>
      </c>
      <c r="M32" s="458"/>
      <c r="N32" s="472">
        <f>f_112</f>
        <v>1</v>
      </c>
      <c r="O32" s="443"/>
      <c r="P32" s="447"/>
      <c r="Q32" s="450">
        <v>3</v>
      </c>
      <c r="R32" s="450">
        <v>1.6</v>
      </c>
      <c r="S32" s="450">
        <v>10000</v>
      </c>
      <c r="T32" s="443">
        <v>0.93</v>
      </c>
    </row>
    <row r="33" spans="2:20" s="497" customFormat="1" ht="15">
      <c r="B33" s="453" t="s">
        <v>473</v>
      </c>
      <c r="C33" s="443"/>
      <c r="D33" s="443"/>
      <c r="E33" s="453">
        <v>1</v>
      </c>
      <c r="F33" s="458">
        <f>xx_2</f>
        <v>4.49</v>
      </c>
      <c r="G33" s="458">
        <f>yy_1</f>
        <v>0.8</v>
      </c>
      <c r="H33" s="458">
        <f>zz_2</f>
        <v>300</v>
      </c>
      <c r="I33" s="458">
        <f t="shared" si="9"/>
        <v>3.5920000000000005</v>
      </c>
      <c r="J33" s="458">
        <f t="shared" si="10"/>
        <v>1347</v>
      </c>
      <c r="K33" s="458">
        <f t="shared" si="11"/>
        <v>240</v>
      </c>
      <c r="L33" s="470">
        <f t="shared" si="12"/>
        <v>1077.6000000000001</v>
      </c>
      <c r="M33" s="458"/>
      <c r="N33" s="472">
        <f>f_212</f>
        <v>1</v>
      </c>
      <c r="O33" s="443"/>
      <c r="P33" s="447"/>
      <c r="Q33" s="450">
        <v>3</v>
      </c>
      <c r="R33" s="450">
        <v>2.4</v>
      </c>
      <c r="S33" s="450">
        <v>0</v>
      </c>
      <c r="T33" s="443">
        <v>1</v>
      </c>
    </row>
    <row r="34" spans="2:20" s="497" customFormat="1" ht="15">
      <c r="B34" s="453" t="s">
        <v>474</v>
      </c>
      <c r="C34" s="443"/>
      <c r="D34" s="443"/>
      <c r="E34" s="453">
        <v>1</v>
      </c>
      <c r="F34" s="458">
        <f>xx_1</f>
        <v>3.5</v>
      </c>
      <c r="G34" s="458">
        <f>yy_2</f>
        <v>1.2</v>
      </c>
      <c r="H34" s="458">
        <f>zz_2</f>
        <v>300</v>
      </c>
      <c r="I34" s="458">
        <f t="shared" si="9"/>
        <v>4.2</v>
      </c>
      <c r="J34" s="458">
        <f t="shared" si="10"/>
        <v>1050</v>
      </c>
      <c r="K34" s="458">
        <f t="shared" si="11"/>
        <v>360</v>
      </c>
      <c r="L34" s="470">
        <f t="shared" si="12"/>
        <v>1260</v>
      </c>
      <c r="M34" s="458"/>
      <c r="N34" s="472">
        <f>f_122</f>
        <v>1</v>
      </c>
      <c r="O34" s="443"/>
      <c r="P34" s="447"/>
      <c r="Q34" s="450">
        <v>3</v>
      </c>
      <c r="R34" s="450">
        <v>2.4</v>
      </c>
      <c r="S34" s="450">
        <v>300</v>
      </c>
      <c r="T34" s="443">
        <v>1</v>
      </c>
    </row>
    <row r="35" spans="2:20" s="497" customFormat="1" ht="15">
      <c r="B35" s="453" t="s">
        <v>475</v>
      </c>
      <c r="C35" s="443"/>
      <c r="D35" s="443"/>
      <c r="E35" s="453">
        <v>1</v>
      </c>
      <c r="F35" s="458">
        <f>xx_2</f>
        <v>4.49</v>
      </c>
      <c r="G35" s="458">
        <f>yy_2</f>
        <v>1.2</v>
      </c>
      <c r="H35" s="458">
        <f>zz_2</f>
        <v>300</v>
      </c>
      <c r="I35" s="458">
        <f t="shared" si="9"/>
        <v>5.3879999999999999</v>
      </c>
      <c r="J35" s="458">
        <f t="shared" si="10"/>
        <v>1347</v>
      </c>
      <c r="K35" s="458">
        <f t="shared" si="11"/>
        <v>360</v>
      </c>
      <c r="L35" s="470">
        <f t="shared" si="12"/>
        <v>1616.3999999999999</v>
      </c>
      <c r="M35" s="458"/>
      <c r="N35" s="472">
        <f>f_222</f>
        <v>1</v>
      </c>
      <c r="O35" s="443"/>
      <c r="P35" s="447"/>
      <c r="Q35" s="450">
        <v>3</v>
      </c>
      <c r="R35" s="450">
        <v>2.4</v>
      </c>
      <c r="S35" s="450">
        <v>300.01</v>
      </c>
      <c r="T35" s="443">
        <v>0.94</v>
      </c>
    </row>
    <row r="36" spans="2:20" s="497" customFormat="1" ht="15">
      <c r="B36" s="443"/>
      <c r="C36" s="443"/>
      <c r="D36" s="443"/>
      <c r="E36" s="458"/>
      <c r="F36" s="458"/>
      <c r="G36" s="458"/>
      <c r="H36" s="458"/>
      <c r="I36" s="458"/>
      <c r="J36" s="458"/>
      <c r="K36" s="458"/>
      <c r="L36" s="458"/>
      <c r="M36" s="458"/>
      <c r="N36" s="458"/>
      <c r="O36" s="443"/>
      <c r="P36" s="447"/>
      <c r="Q36" s="450">
        <v>3</v>
      </c>
      <c r="R36" s="450">
        <v>2.4</v>
      </c>
      <c r="S36" s="450">
        <v>600</v>
      </c>
      <c r="T36" s="443">
        <v>0.94</v>
      </c>
    </row>
    <row r="37" spans="2:20" s="497" customFormat="1" ht="15">
      <c r="B37" s="453" t="s">
        <v>442</v>
      </c>
      <c r="C37" s="443"/>
      <c r="D37" s="453">
        <f t="array" ref="D37:D44">MMULT(MINVERSE(E28:L35),N28:N35)</f>
        <v>0.99999999999999911</v>
      </c>
      <c r="E37" s="458"/>
      <c r="F37" s="458"/>
      <c r="G37" s="458"/>
      <c r="H37" s="458"/>
      <c r="I37" s="458"/>
      <c r="J37" s="458"/>
      <c r="K37" s="458"/>
      <c r="L37" s="458"/>
      <c r="M37" s="458"/>
      <c r="N37" s="458"/>
      <c r="O37" s="443"/>
      <c r="P37" s="447"/>
      <c r="Q37" s="450">
        <v>3</v>
      </c>
      <c r="R37" s="450">
        <v>2.4</v>
      </c>
      <c r="S37" s="450">
        <v>600.01</v>
      </c>
      <c r="T37" s="443">
        <v>0.94</v>
      </c>
    </row>
    <row r="38" spans="2:20" s="497" customFormat="1" ht="15">
      <c r="B38" s="453" t="s">
        <v>444</v>
      </c>
      <c r="C38" s="443"/>
      <c r="D38" s="453">
        <v>0</v>
      </c>
      <c r="E38" s="458"/>
      <c r="F38" s="458"/>
      <c r="G38" s="458"/>
      <c r="H38" s="458"/>
      <c r="I38" s="458"/>
      <c r="J38" s="458"/>
      <c r="K38" s="458"/>
      <c r="L38" s="458"/>
      <c r="M38" s="458"/>
      <c r="N38" s="458"/>
      <c r="O38" s="443"/>
      <c r="P38" s="447"/>
      <c r="Q38" s="450">
        <v>3</v>
      </c>
      <c r="R38" s="450">
        <v>2.4</v>
      </c>
      <c r="S38" s="450">
        <v>10000</v>
      </c>
      <c r="T38" s="443">
        <v>0.94</v>
      </c>
    </row>
    <row r="39" spans="2:20" s="497" customFormat="1" ht="15">
      <c r="B39" s="453" t="s">
        <v>445</v>
      </c>
      <c r="C39" s="443"/>
      <c r="D39" s="453">
        <v>0</v>
      </c>
      <c r="E39" s="458"/>
      <c r="F39" s="458"/>
      <c r="G39" s="458"/>
      <c r="H39" s="458"/>
      <c r="I39" s="458"/>
      <c r="J39" s="458"/>
      <c r="K39" s="458"/>
      <c r="L39" s="458"/>
      <c r="M39" s="458"/>
      <c r="N39" s="458"/>
      <c r="O39" s="443"/>
      <c r="P39" s="447"/>
      <c r="Q39" s="450">
        <v>3</v>
      </c>
      <c r="R39" s="450">
        <v>3.2</v>
      </c>
      <c r="S39" s="450">
        <v>0</v>
      </c>
      <c r="T39" s="443">
        <v>1</v>
      </c>
    </row>
    <row r="40" spans="2:20" s="497" customFormat="1" ht="15">
      <c r="B40" s="453" t="s">
        <v>448</v>
      </c>
      <c r="C40" s="443" t="s">
        <v>446</v>
      </c>
      <c r="D40" s="453">
        <v>0</v>
      </c>
      <c r="E40" s="458"/>
      <c r="F40" s="458"/>
      <c r="G40" s="458"/>
      <c r="H40" s="458"/>
      <c r="I40" s="458"/>
      <c r="J40" s="458"/>
      <c r="K40" s="458"/>
      <c r="L40" s="458"/>
      <c r="M40" s="458"/>
      <c r="N40" s="458"/>
      <c r="O40" s="443"/>
      <c r="P40" s="447"/>
      <c r="Q40" s="450">
        <v>3</v>
      </c>
      <c r="R40" s="450">
        <v>3.2</v>
      </c>
      <c r="S40" s="450">
        <v>300</v>
      </c>
      <c r="T40" s="443">
        <v>1</v>
      </c>
    </row>
    <row r="41" spans="2:20" s="497" customFormat="1" ht="15">
      <c r="B41" s="453" t="s">
        <v>472</v>
      </c>
      <c r="C41" s="443"/>
      <c r="D41" s="453">
        <v>0</v>
      </c>
      <c r="E41" s="458"/>
      <c r="F41" s="458"/>
      <c r="G41" s="458"/>
      <c r="H41" s="458"/>
      <c r="I41" s="458"/>
      <c r="J41" s="458"/>
      <c r="K41" s="458"/>
      <c r="L41" s="458"/>
      <c r="M41" s="458"/>
      <c r="N41" s="458"/>
      <c r="O41" s="443"/>
      <c r="P41" s="447"/>
      <c r="Q41" s="450">
        <v>3</v>
      </c>
      <c r="R41" s="450">
        <v>3.2</v>
      </c>
      <c r="S41" s="450">
        <v>300.01</v>
      </c>
      <c r="T41" s="443">
        <v>0.95</v>
      </c>
    </row>
    <row r="42" spans="2:20" s="497" customFormat="1" ht="15">
      <c r="B42" s="453" t="s">
        <v>473</v>
      </c>
      <c r="C42" s="443"/>
      <c r="D42" s="453">
        <v>0</v>
      </c>
      <c r="E42" s="458"/>
      <c r="F42" s="458"/>
      <c r="G42" s="458"/>
      <c r="H42" s="458"/>
      <c r="I42" s="458"/>
      <c r="J42" s="458"/>
      <c r="K42" s="458"/>
      <c r="L42" s="458"/>
      <c r="M42" s="458"/>
      <c r="N42" s="458"/>
      <c r="O42" s="443"/>
      <c r="P42" s="447"/>
      <c r="Q42" s="450">
        <v>3</v>
      </c>
      <c r="R42" s="450">
        <v>3.2</v>
      </c>
      <c r="S42" s="450">
        <v>600</v>
      </c>
      <c r="T42" s="443">
        <v>0.95</v>
      </c>
    </row>
    <row r="43" spans="2:20" s="497" customFormat="1" ht="15">
      <c r="B43" s="453" t="s">
        <v>474</v>
      </c>
      <c r="C43" s="443"/>
      <c r="D43" s="453">
        <v>0</v>
      </c>
      <c r="E43" s="458"/>
      <c r="F43" s="458"/>
      <c r="G43" s="458"/>
      <c r="H43" s="458"/>
      <c r="I43" s="458"/>
      <c r="J43" s="458"/>
      <c r="K43" s="458"/>
      <c r="L43" s="458"/>
      <c r="M43" s="458"/>
      <c r="N43" s="458"/>
      <c r="O43" s="443"/>
      <c r="P43" s="447"/>
      <c r="Q43" s="450">
        <v>3</v>
      </c>
      <c r="R43" s="450">
        <v>3.2</v>
      </c>
      <c r="S43" s="450">
        <v>600.01</v>
      </c>
      <c r="T43" s="443">
        <v>0.95</v>
      </c>
    </row>
    <row r="44" spans="2:20" s="497" customFormat="1" ht="15">
      <c r="B44" s="453" t="s">
        <v>475</v>
      </c>
      <c r="C44" s="443"/>
      <c r="D44" s="453">
        <v>0</v>
      </c>
      <c r="E44" s="458"/>
      <c r="F44" s="458"/>
      <c r="G44" s="458"/>
      <c r="H44" s="458"/>
      <c r="I44" s="458"/>
      <c r="J44" s="458"/>
      <c r="K44" s="458"/>
      <c r="L44" s="458"/>
      <c r="M44" s="458"/>
      <c r="N44" s="458"/>
      <c r="O44" s="443"/>
      <c r="P44" s="447"/>
      <c r="Q44" s="450">
        <v>3</v>
      </c>
      <c r="R44" s="450">
        <v>3.2</v>
      </c>
      <c r="S44" s="450">
        <v>10000</v>
      </c>
      <c r="T44" s="443">
        <v>0.95</v>
      </c>
    </row>
    <row r="45" spans="2:20" s="497" customFormat="1" ht="15">
      <c r="B45" s="443"/>
      <c r="C45" s="443"/>
      <c r="D45" s="443"/>
      <c r="E45" s="458"/>
      <c r="F45" s="458"/>
      <c r="G45" s="458"/>
      <c r="H45" s="458"/>
      <c r="I45" s="458"/>
      <c r="J45" s="458"/>
      <c r="K45" s="458"/>
      <c r="L45" s="458"/>
      <c r="M45" s="458"/>
      <c r="N45" s="458"/>
      <c r="O45" s="443"/>
      <c r="P45" s="447"/>
      <c r="Q45" s="450">
        <v>3</v>
      </c>
      <c r="R45" s="450">
        <v>4.8</v>
      </c>
      <c r="S45" s="450">
        <v>0</v>
      </c>
      <c r="T45" s="443">
        <v>1</v>
      </c>
    </row>
    <row r="46" spans="2:20" s="497" customFormat="1" ht="15">
      <c r="B46" s="453">
        <v>1</v>
      </c>
      <c r="C46" s="443"/>
      <c r="D46" s="453">
        <v>1</v>
      </c>
      <c r="E46" s="458"/>
      <c r="F46" s="458"/>
      <c r="G46" s="458"/>
      <c r="H46" s="458"/>
      <c r="I46" s="458"/>
      <c r="J46" s="458"/>
      <c r="K46" s="458"/>
      <c r="L46" s="458"/>
      <c r="M46" s="458"/>
      <c r="N46" s="458"/>
      <c r="O46" s="443"/>
      <c r="P46" s="447"/>
      <c r="Q46" s="450">
        <v>3</v>
      </c>
      <c r="R46" s="450">
        <v>4.8</v>
      </c>
      <c r="S46" s="450">
        <v>300</v>
      </c>
      <c r="T46" s="443">
        <v>1</v>
      </c>
    </row>
    <row r="47" spans="2:20" s="497" customFormat="1" ht="15">
      <c r="B47" s="453" t="s">
        <v>426</v>
      </c>
      <c r="C47" s="443"/>
      <c r="D47" s="453">
        <f>C3</f>
        <v>3.5008273438823068</v>
      </c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43"/>
      <c r="P47" s="447"/>
      <c r="Q47" s="450">
        <v>3</v>
      </c>
      <c r="R47" s="450">
        <v>4.8</v>
      </c>
      <c r="S47" s="450">
        <v>300.01</v>
      </c>
      <c r="T47" s="443">
        <v>0.97</v>
      </c>
    </row>
    <row r="48" spans="2:20" s="497" customFormat="1" ht="15">
      <c r="B48" s="453" t="s">
        <v>430</v>
      </c>
      <c r="C48" s="443"/>
      <c r="D48" s="453">
        <f>C4</f>
        <v>1.0629800000000103</v>
      </c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43"/>
      <c r="P48" s="447"/>
      <c r="Q48" s="450">
        <v>3</v>
      </c>
      <c r="R48" s="450">
        <v>4.8</v>
      </c>
      <c r="S48" s="450">
        <v>600</v>
      </c>
      <c r="T48" s="443">
        <v>0.97</v>
      </c>
    </row>
    <row r="49" spans="2:20" s="497" customFormat="1" ht="15">
      <c r="B49" s="453" t="s">
        <v>390</v>
      </c>
      <c r="C49" s="443" t="s">
        <v>446</v>
      </c>
      <c r="D49" s="453">
        <f>C5</f>
        <v>217.26688621904472</v>
      </c>
      <c r="E49" s="458"/>
      <c r="F49" s="458"/>
      <c r="G49" s="458"/>
      <c r="H49" s="458"/>
      <c r="I49" s="458"/>
      <c r="J49" s="458"/>
      <c r="K49" s="458"/>
      <c r="L49" s="458"/>
      <c r="M49" s="458"/>
      <c r="N49" s="458"/>
      <c r="O49" s="443"/>
      <c r="P49" s="447"/>
      <c r="Q49" s="450">
        <v>3</v>
      </c>
      <c r="R49" s="450">
        <v>4.8</v>
      </c>
      <c r="S49" s="450">
        <v>600.01</v>
      </c>
      <c r="T49" s="443">
        <v>0.96</v>
      </c>
    </row>
    <row r="50" spans="2:20" s="497" customFormat="1" ht="15">
      <c r="B50" s="453" t="s">
        <v>449</v>
      </c>
      <c r="C50" s="443"/>
      <c r="D50" s="453">
        <f>D47*D48</f>
        <v>3.7213094500000503</v>
      </c>
      <c r="E50" s="458"/>
      <c r="F50" s="458"/>
      <c r="G50" s="458"/>
      <c r="H50" s="458"/>
      <c r="I50" s="458"/>
      <c r="J50" s="458"/>
      <c r="K50" s="458"/>
      <c r="L50" s="458"/>
      <c r="M50" s="458"/>
      <c r="N50" s="458"/>
      <c r="O50" s="443"/>
      <c r="P50" s="447"/>
      <c r="Q50" s="450">
        <v>3</v>
      </c>
      <c r="R50" s="450">
        <v>4.8</v>
      </c>
      <c r="S50" s="450">
        <v>10000</v>
      </c>
      <c r="T50" s="443">
        <v>0.96</v>
      </c>
    </row>
    <row r="51" spans="2:20" s="497" customFormat="1" ht="15">
      <c r="B51" s="453" t="s">
        <v>476</v>
      </c>
      <c r="C51" s="443"/>
      <c r="D51" s="453">
        <f>D47*D49</f>
        <v>760.61385619579767</v>
      </c>
      <c r="E51" s="458"/>
      <c r="F51" s="458"/>
      <c r="G51" s="458"/>
      <c r="H51" s="458"/>
      <c r="I51" s="458"/>
      <c r="J51" s="458"/>
      <c r="K51" s="458"/>
      <c r="L51" s="458"/>
      <c r="M51" s="458"/>
      <c r="N51" s="458"/>
      <c r="O51" s="443"/>
      <c r="P51" s="447"/>
      <c r="Q51" s="450">
        <v>3</v>
      </c>
      <c r="R51" s="450">
        <v>6.4</v>
      </c>
      <c r="S51" s="450">
        <v>0</v>
      </c>
      <c r="T51" s="443">
        <v>1</v>
      </c>
    </row>
    <row r="52" spans="2:20" s="497" customFormat="1" ht="15">
      <c r="B52" s="453" t="s">
        <v>477</v>
      </c>
      <c r="C52" s="443"/>
      <c r="D52" s="453">
        <f>D48*D49</f>
        <v>230.95035471312238</v>
      </c>
      <c r="E52" s="458"/>
      <c r="F52" s="458"/>
      <c r="G52" s="458"/>
      <c r="H52" s="458"/>
      <c r="I52" s="458"/>
      <c r="J52" s="458"/>
      <c r="K52" s="458"/>
      <c r="L52" s="458"/>
      <c r="M52" s="458"/>
      <c r="N52" s="458"/>
      <c r="O52" s="443"/>
      <c r="P52" s="447"/>
      <c r="Q52" s="450">
        <v>3</v>
      </c>
      <c r="R52" s="450">
        <v>6.4</v>
      </c>
      <c r="S52" s="450">
        <v>300</v>
      </c>
      <c r="T52" s="443">
        <v>1</v>
      </c>
    </row>
    <row r="53" spans="2:20" s="497" customFormat="1" ht="15">
      <c r="B53" s="453" t="s">
        <v>478</v>
      </c>
      <c r="C53" s="443"/>
      <c r="D53" s="453">
        <f>D47*D48*D49</f>
        <v>808.51731685901677</v>
      </c>
      <c r="E53" s="458"/>
      <c r="F53" s="458"/>
      <c r="G53" s="458"/>
      <c r="H53" s="458"/>
      <c r="I53" s="458"/>
      <c r="J53" s="458"/>
      <c r="K53" s="458"/>
      <c r="L53" s="458"/>
      <c r="M53" s="458"/>
      <c r="N53" s="458"/>
      <c r="O53" s="443"/>
      <c r="P53" s="447"/>
      <c r="Q53" s="450">
        <v>3</v>
      </c>
      <c r="R53" s="450">
        <v>6.4</v>
      </c>
      <c r="S53" s="450">
        <v>300.01</v>
      </c>
      <c r="T53" s="443">
        <v>1</v>
      </c>
    </row>
    <row r="54" spans="2:20" s="497" customFormat="1" ht="15">
      <c r="B54" s="443"/>
      <c r="C54" s="443"/>
      <c r="D54" s="443"/>
      <c r="E54" s="458"/>
      <c r="F54" s="458"/>
      <c r="G54" s="458"/>
      <c r="H54" s="458"/>
      <c r="I54" s="458"/>
      <c r="J54" s="458"/>
      <c r="K54" s="458"/>
      <c r="L54" s="458"/>
      <c r="M54" s="458"/>
      <c r="N54" s="458"/>
      <c r="O54" s="443"/>
      <c r="P54" s="447"/>
      <c r="Q54" s="450">
        <v>3</v>
      </c>
      <c r="R54" s="450">
        <v>6.4</v>
      </c>
      <c r="S54" s="450">
        <v>600</v>
      </c>
      <c r="T54" s="443">
        <v>1</v>
      </c>
    </row>
    <row r="55" spans="2:20" s="497" customFormat="1" ht="15">
      <c r="B55" s="445" t="s">
        <v>450</v>
      </c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  <c r="N55" s="445"/>
      <c r="O55" s="443"/>
      <c r="P55" s="447"/>
      <c r="Q55" s="450">
        <v>3</v>
      </c>
      <c r="R55" s="450">
        <v>6.4</v>
      </c>
      <c r="S55" s="450">
        <v>600.01</v>
      </c>
      <c r="T55" s="443">
        <v>0.97</v>
      </c>
    </row>
    <row r="56" spans="2:20" s="497" customFormat="1" ht="15">
      <c r="B56" s="443"/>
      <c r="C56" s="443"/>
      <c r="D56" s="443"/>
      <c r="E56" s="458"/>
      <c r="F56" s="458"/>
      <c r="G56" s="458"/>
      <c r="H56" s="458"/>
      <c r="I56" s="458"/>
      <c r="J56" s="458"/>
      <c r="K56" s="458"/>
      <c r="L56" s="458"/>
      <c r="M56" s="458"/>
      <c r="N56" s="458"/>
      <c r="O56" s="443"/>
      <c r="P56" s="447"/>
      <c r="Q56" s="450">
        <v>3</v>
      </c>
      <c r="R56" s="450">
        <v>6.4</v>
      </c>
      <c r="S56" s="450">
        <v>10000</v>
      </c>
      <c r="T56" s="443">
        <v>0.97</v>
      </c>
    </row>
    <row r="57" spans="2:20" s="497" customFormat="1" ht="15">
      <c r="B57" s="443"/>
      <c r="C57" s="443"/>
      <c r="D57" s="443"/>
      <c r="E57" s="458"/>
      <c r="F57" s="458"/>
      <c r="G57" s="458"/>
      <c r="H57" s="458"/>
      <c r="I57" s="458"/>
      <c r="J57" s="458"/>
      <c r="K57" s="458"/>
      <c r="L57" s="458"/>
      <c r="M57" s="458"/>
      <c r="N57" s="458"/>
      <c r="O57" s="443"/>
      <c r="P57" s="447"/>
      <c r="Q57" s="450">
        <v>3</v>
      </c>
      <c r="R57" s="450">
        <v>1000</v>
      </c>
      <c r="S57" s="450">
        <v>0</v>
      </c>
      <c r="T57" s="443">
        <v>1</v>
      </c>
    </row>
    <row r="58" spans="2:20" s="497" customFormat="1" ht="15">
      <c r="B58" s="443"/>
      <c r="C58" s="443"/>
      <c r="D58" s="443"/>
      <c r="E58" s="458"/>
      <c r="F58" s="458"/>
      <c r="G58" s="458"/>
      <c r="H58" s="458"/>
      <c r="I58" s="458"/>
      <c r="J58" s="458"/>
      <c r="K58" s="458"/>
      <c r="L58" s="458"/>
      <c r="M58" s="458"/>
      <c r="N58" s="458"/>
      <c r="O58" s="443"/>
      <c r="P58" s="447"/>
      <c r="Q58" s="450">
        <v>3</v>
      </c>
      <c r="R58" s="450">
        <v>1000</v>
      </c>
      <c r="S58" s="450">
        <v>300</v>
      </c>
      <c r="T58" s="443">
        <v>1</v>
      </c>
    </row>
    <row r="59" spans="2:20" s="497" customFormat="1" ht="15">
      <c r="B59" s="443"/>
      <c r="C59" s="443"/>
      <c r="D59" s="443"/>
      <c r="E59" s="458"/>
      <c r="F59" s="458"/>
      <c r="G59" s="458"/>
      <c r="H59" s="458"/>
      <c r="I59" s="458"/>
      <c r="J59" s="458"/>
      <c r="K59" s="458"/>
      <c r="L59" s="458"/>
      <c r="M59" s="458"/>
      <c r="N59" s="458"/>
      <c r="O59" s="443"/>
      <c r="P59" s="447"/>
      <c r="Q59" s="450">
        <v>3</v>
      </c>
      <c r="R59" s="450">
        <v>1000</v>
      </c>
      <c r="S59" s="450">
        <v>300.01</v>
      </c>
      <c r="T59" s="443">
        <v>1</v>
      </c>
    </row>
    <row r="60" spans="2:20" s="497" customFormat="1" ht="15">
      <c r="B60" s="443"/>
      <c r="C60" s="443"/>
      <c r="D60" s="443"/>
      <c r="E60" s="458"/>
      <c r="F60" s="458"/>
      <c r="G60" s="458"/>
      <c r="H60" s="458"/>
      <c r="I60" s="458"/>
      <c r="J60" s="458"/>
      <c r="K60" s="458"/>
      <c r="L60" s="458"/>
      <c r="M60" s="458"/>
      <c r="N60" s="458"/>
      <c r="O60" s="443"/>
      <c r="P60" s="447"/>
      <c r="Q60" s="450">
        <v>3</v>
      </c>
      <c r="R60" s="450">
        <v>1000</v>
      </c>
      <c r="S60" s="450">
        <v>600</v>
      </c>
      <c r="T60" s="443">
        <v>1</v>
      </c>
    </row>
    <row r="61" spans="2:20" s="497" customFormat="1" ht="15">
      <c r="B61" s="443"/>
      <c r="C61" s="443"/>
      <c r="D61" s="443"/>
      <c r="E61" s="458"/>
      <c r="F61" s="458"/>
      <c r="G61" s="458"/>
      <c r="H61" s="458"/>
      <c r="I61" s="458"/>
      <c r="J61" s="458"/>
      <c r="K61" s="458"/>
      <c r="L61" s="458"/>
      <c r="M61" s="458"/>
      <c r="N61" s="458"/>
      <c r="O61" s="443"/>
      <c r="P61" s="447"/>
      <c r="Q61" s="450">
        <v>3</v>
      </c>
      <c r="R61" s="450">
        <v>1000</v>
      </c>
      <c r="S61" s="450">
        <v>600.01</v>
      </c>
      <c r="T61" s="443">
        <v>0.97</v>
      </c>
    </row>
    <row r="62" spans="2:20" s="497" customFormat="1" ht="15">
      <c r="B62" s="443"/>
      <c r="C62" s="443"/>
      <c r="D62" s="443"/>
      <c r="E62" s="458"/>
      <c r="F62" s="458"/>
      <c r="G62" s="458"/>
      <c r="H62" s="458"/>
      <c r="I62" s="458"/>
      <c r="J62" s="458"/>
      <c r="K62" s="458"/>
      <c r="L62" s="458"/>
      <c r="M62" s="458"/>
      <c r="N62" s="458"/>
      <c r="O62" s="443"/>
      <c r="P62" s="447"/>
      <c r="Q62" s="450">
        <v>3</v>
      </c>
      <c r="R62" s="450">
        <v>1000</v>
      </c>
      <c r="S62" s="450">
        <v>10000</v>
      </c>
      <c r="T62" s="443">
        <v>0.97</v>
      </c>
    </row>
    <row r="63" spans="2:20" s="497" customFormat="1" ht="15">
      <c r="B63" s="443"/>
      <c r="C63" s="443"/>
      <c r="D63" s="443"/>
      <c r="E63" s="458"/>
      <c r="F63" s="458"/>
      <c r="G63" s="458"/>
      <c r="H63" s="458"/>
      <c r="I63" s="458"/>
      <c r="J63" s="458"/>
      <c r="K63" s="458"/>
      <c r="L63" s="458"/>
      <c r="M63" s="458"/>
      <c r="N63" s="458"/>
      <c r="O63" s="443"/>
      <c r="P63" s="447"/>
      <c r="Q63" s="450">
        <v>3.49</v>
      </c>
      <c r="R63" s="450">
        <v>0</v>
      </c>
      <c r="S63" s="450">
        <v>0</v>
      </c>
      <c r="T63" s="443">
        <v>1</v>
      </c>
    </row>
    <row r="64" spans="2:20" s="497" customFormat="1" ht="15">
      <c r="B64" s="443"/>
      <c r="C64" s="443"/>
      <c r="D64" s="443"/>
      <c r="E64" s="458"/>
      <c r="F64" s="458"/>
      <c r="G64" s="458"/>
      <c r="H64" s="458"/>
      <c r="I64" s="458"/>
      <c r="J64" s="458"/>
      <c r="K64" s="458"/>
      <c r="L64" s="458"/>
      <c r="M64" s="458"/>
      <c r="N64" s="458"/>
      <c r="O64" s="443"/>
      <c r="P64" s="447"/>
      <c r="Q64" s="450">
        <v>3.49</v>
      </c>
      <c r="R64" s="450">
        <v>0</v>
      </c>
      <c r="S64" s="450">
        <v>300</v>
      </c>
      <c r="T64" s="443">
        <v>1</v>
      </c>
    </row>
    <row r="65" spans="16:20" s="497" customFormat="1" ht="15">
      <c r="P65" s="447"/>
      <c r="Q65" s="450">
        <v>3.49</v>
      </c>
      <c r="R65" s="450">
        <v>0</v>
      </c>
      <c r="S65" s="450">
        <v>300.01</v>
      </c>
      <c r="T65" s="443">
        <v>0.92</v>
      </c>
    </row>
    <row r="66" spans="16:20" s="497" customFormat="1" ht="15">
      <c r="P66" s="447"/>
      <c r="Q66" s="450">
        <v>3.49</v>
      </c>
      <c r="R66" s="450">
        <v>0</v>
      </c>
      <c r="S66" s="450">
        <v>600</v>
      </c>
      <c r="T66" s="443">
        <v>0.92</v>
      </c>
    </row>
    <row r="67" spans="16:20" s="497" customFormat="1" ht="15">
      <c r="P67" s="447"/>
      <c r="Q67" s="450">
        <v>3.49</v>
      </c>
      <c r="R67" s="450">
        <v>0</v>
      </c>
      <c r="S67" s="450">
        <v>600.01</v>
      </c>
      <c r="T67" s="443">
        <v>0.92</v>
      </c>
    </row>
    <row r="68" spans="16:20" s="497" customFormat="1" ht="15">
      <c r="P68" s="447"/>
      <c r="Q68" s="450">
        <v>3.49</v>
      </c>
      <c r="R68" s="450">
        <v>0</v>
      </c>
      <c r="S68" s="450">
        <v>10000</v>
      </c>
      <c r="T68" s="443">
        <v>0.92</v>
      </c>
    </row>
    <row r="69" spans="16:20" s="497" customFormat="1" ht="15">
      <c r="P69" s="447"/>
      <c r="Q69" s="450">
        <v>3.49</v>
      </c>
      <c r="R69" s="450">
        <v>0.4</v>
      </c>
      <c r="S69" s="450">
        <v>0</v>
      </c>
      <c r="T69" s="443">
        <v>1</v>
      </c>
    </row>
    <row r="70" spans="16:20" s="497" customFormat="1" ht="15">
      <c r="P70" s="447"/>
      <c r="Q70" s="450">
        <v>3.49</v>
      </c>
      <c r="R70" s="450">
        <v>0.4</v>
      </c>
      <c r="S70" s="450">
        <v>300</v>
      </c>
      <c r="T70" s="443">
        <v>1</v>
      </c>
    </row>
    <row r="71" spans="16:20" s="497" customFormat="1" ht="15">
      <c r="P71" s="447"/>
      <c r="Q71" s="450">
        <v>3.49</v>
      </c>
      <c r="R71" s="450">
        <v>0.4</v>
      </c>
      <c r="S71" s="450">
        <v>300.01</v>
      </c>
      <c r="T71" s="443">
        <v>0.92</v>
      </c>
    </row>
    <row r="72" spans="16:20" s="497" customFormat="1" ht="15">
      <c r="P72" s="447"/>
      <c r="Q72" s="450">
        <v>3.49</v>
      </c>
      <c r="R72" s="450">
        <v>0.4</v>
      </c>
      <c r="S72" s="450">
        <v>600</v>
      </c>
      <c r="T72" s="443">
        <v>0.92</v>
      </c>
    </row>
    <row r="73" spans="16:20" s="497" customFormat="1" ht="15">
      <c r="P73" s="447"/>
      <c r="Q73" s="450">
        <v>3.49</v>
      </c>
      <c r="R73" s="450">
        <v>0.4</v>
      </c>
      <c r="S73" s="450">
        <v>600.01</v>
      </c>
      <c r="T73" s="443">
        <v>0.92</v>
      </c>
    </row>
    <row r="74" spans="16:20" s="497" customFormat="1" ht="15">
      <c r="P74" s="447"/>
      <c r="Q74" s="450">
        <v>3.49</v>
      </c>
      <c r="R74" s="450">
        <v>0.4</v>
      </c>
      <c r="S74" s="450">
        <v>10000</v>
      </c>
      <c r="T74" s="443">
        <v>0.92</v>
      </c>
    </row>
    <row r="75" spans="16:20" s="497" customFormat="1" ht="15">
      <c r="P75" s="447"/>
      <c r="Q75" s="450">
        <v>3.49</v>
      </c>
      <c r="R75" s="450">
        <v>0.8</v>
      </c>
      <c r="S75" s="450">
        <v>0</v>
      </c>
      <c r="T75" s="443">
        <v>1</v>
      </c>
    </row>
    <row r="76" spans="16:20" s="497" customFormat="1" ht="15">
      <c r="P76" s="447"/>
      <c r="Q76" s="450">
        <v>3.49</v>
      </c>
      <c r="R76" s="450">
        <v>0.8</v>
      </c>
      <c r="S76" s="450">
        <v>300</v>
      </c>
      <c r="T76" s="443">
        <v>1</v>
      </c>
    </row>
    <row r="77" spans="16:20" s="497" customFormat="1" ht="15">
      <c r="P77" s="447"/>
      <c r="Q77" s="450">
        <v>3.49</v>
      </c>
      <c r="R77" s="450">
        <v>0.8</v>
      </c>
      <c r="S77" s="450">
        <v>300.01</v>
      </c>
      <c r="T77" s="443">
        <v>0.93</v>
      </c>
    </row>
    <row r="78" spans="16:20" s="497" customFormat="1" ht="15">
      <c r="P78" s="447"/>
      <c r="Q78" s="450">
        <v>3.49</v>
      </c>
      <c r="R78" s="450">
        <v>0.8</v>
      </c>
      <c r="S78" s="450">
        <v>600</v>
      </c>
      <c r="T78" s="443">
        <v>0.93</v>
      </c>
    </row>
    <row r="79" spans="16:20" s="497" customFormat="1" ht="15">
      <c r="P79" s="447"/>
      <c r="Q79" s="450">
        <v>3.49</v>
      </c>
      <c r="R79" s="450">
        <v>0.8</v>
      </c>
      <c r="S79" s="450">
        <v>600.01</v>
      </c>
      <c r="T79" s="443">
        <v>0.93</v>
      </c>
    </row>
    <row r="80" spans="16:20" s="497" customFormat="1" ht="15">
      <c r="P80" s="447"/>
      <c r="Q80" s="450">
        <v>3.49</v>
      </c>
      <c r="R80" s="450">
        <v>0.8</v>
      </c>
      <c r="S80" s="450">
        <v>10000</v>
      </c>
      <c r="T80" s="443">
        <v>0.93</v>
      </c>
    </row>
    <row r="81" spans="16:20" s="497" customFormat="1" ht="15">
      <c r="P81" s="447"/>
      <c r="Q81" s="450">
        <v>3.49</v>
      </c>
      <c r="R81" s="450">
        <v>1.2</v>
      </c>
      <c r="S81" s="450">
        <v>0</v>
      </c>
      <c r="T81" s="443">
        <v>1</v>
      </c>
    </row>
    <row r="82" spans="16:20" s="497" customFormat="1" ht="15">
      <c r="P82" s="447"/>
      <c r="Q82" s="450">
        <v>3.49</v>
      </c>
      <c r="R82" s="450">
        <v>1.2</v>
      </c>
      <c r="S82" s="450">
        <v>300</v>
      </c>
      <c r="T82" s="443">
        <v>1</v>
      </c>
    </row>
    <row r="83" spans="16:20" s="497" customFormat="1" ht="15">
      <c r="P83" s="447"/>
      <c r="Q83" s="450">
        <v>3.49</v>
      </c>
      <c r="R83" s="450">
        <v>1.2</v>
      </c>
      <c r="S83" s="450">
        <v>300.01</v>
      </c>
      <c r="T83" s="443">
        <v>0.93</v>
      </c>
    </row>
    <row r="84" spans="16:20" s="497" customFormat="1" ht="15">
      <c r="P84" s="447"/>
      <c r="Q84" s="450">
        <v>3.49</v>
      </c>
      <c r="R84" s="450">
        <v>1.2</v>
      </c>
      <c r="S84" s="450">
        <v>600</v>
      </c>
      <c r="T84" s="443">
        <v>0.93</v>
      </c>
    </row>
    <row r="85" spans="16:20" s="497" customFormat="1" ht="15">
      <c r="P85" s="447"/>
      <c r="Q85" s="450">
        <v>3.49</v>
      </c>
      <c r="R85" s="450">
        <v>1.2</v>
      </c>
      <c r="S85" s="450">
        <v>600.01</v>
      </c>
      <c r="T85" s="443">
        <v>0.93</v>
      </c>
    </row>
    <row r="86" spans="16:20" s="497" customFormat="1" ht="15">
      <c r="P86" s="447"/>
      <c r="Q86" s="450">
        <v>3.49</v>
      </c>
      <c r="R86" s="450">
        <v>1.2</v>
      </c>
      <c r="S86" s="450">
        <v>10000</v>
      </c>
      <c r="T86" s="443">
        <v>0.93</v>
      </c>
    </row>
    <row r="87" spans="16:20" s="497" customFormat="1" ht="15">
      <c r="P87" s="447"/>
      <c r="Q87" s="450">
        <v>3.49</v>
      </c>
      <c r="R87" s="450">
        <v>1.6</v>
      </c>
      <c r="S87" s="450">
        <v>0</v>
      </c>
      <c r="T87" s="443">
        <v>1</v>
      </c>
    </row>
    <row r="88" spans="16:20" s="497" customFormat="1" ht="15">
      <c r="P88" s="447"/>
      <c r="Q88" s="450">
        <v>3.49</v>
      </c>
      <c r="R88" s="450">
        <v>1.6</v>
      </c>
      <c r="S88" s="450">
        <v>300</v>
      </c>
      <c r="T88" s="443">
        <v>1</v>
      </c>
    </row>
    <row r="89" spans="16:20" s="497" customFormat="1" ht="15">
      <c r="P89" s="447"/>
      <c r="Q89" s="450">
        <v>3.49</v>
      </c>
      <c r="R89" s="450">
        <v>1.6</v>
      </c>
      <c r="S89" s="450">
        <v>300.01</v>
      </c>
      <c r="T89" s="443">
        <v>0.93</v>
      </c>
    </row>
    <row r="90" spans="16:20" s="497" customFormat="1" ht="15">
      <c r="P90" s="447"/>
      <c r="Q90" s="450">
        <v>3.49</v>
      </c>
      <c r="R90" s="450">
        <v>1.6</v>
      </c>
      <c r="S90" s="450">
        <v>600</v>
      </c>
      <c r="T90" s="443">
        <v>0.93</v>
      </c>
    </row>
    <row r="91" spans="16:20" s="497" customFormat="1" ht="15">
      <c r="P91" s="447"/>
      <c r="Q91" s="450">
        <v>3.49</v>
      </c>
      <c r="R91" s="450">
        <v>1.6</v>
      </c>
      <c r="S91" s="450">
        <v>600.01</v>
      </c>
      <c r="T91" s="443">
        <v>0.93</v>
      </c>
    </row>
    <row r="92" spans="16:20" s="497" customFormat="1" ht="15">
      <c r="P92" s="447"/>
      <c r="Q92" s="450">
        <v>3.49</v>
      </c>
      <c r="R92" s="450">
        <v>1.6</v>
      </c>
      <c r="S92" s="450">
        <v>10000</v>
      </c>
      <c r="T92" s="443">
        <v>0.93</v>
      </c>
    </row>
    <row r="93" spans="16:20" s="497" customFormat="1" ht="15">
      <c r="P93" s="447"/>
      <c r="Q93" s="450">
        <v>3.49</v>
      </c>
      <c r="R93" s="450">
        <v>2.4</v>
      </c>
      <c r="S93" s="450">
        <v>0</v>
      </c>
      <c r="T93" s="443">
        <v>1</v>
      </c>
    </row>
    <row r="94" spans="16:20" s="497" customFormat="1" ht="15">
      <c r="P94" s="447"/>
      <c r="Q94" s="450">
        <v>3.49</v>
      </c>
      <c r="R94" s="450">
        <v>2.4</v>
      </c>
      <c r="S94" s="450">
        <v>300</v>
      </c>
      <c r="T94" s="443">
        <v>1</v>
      </c>
    </row>
    <row r="95" spans="16:20" s="497" customFormat="1" ht="15">
      <c r="P95" s="447"/>
      <c r="Q95" s="450">
        <v>3.49</v>
      </c>
      <c r="R95" s="450">
        <v>2.4</v>
      </c>
      <c r="S95" s="450">
        <v>300.01</v>
      </c>
      <c r="T95" s="443">
        <v>0.94</v>
      </c>
    </row>
    <row r="96" spans="16:20" s="497" customFormat="1" ht="15">
      <c r="P96" s="447"/>
      <c r="Q96" s="450">
        <v>3.49</v>
      </c>
      <c r="R96" s="450">
        <v>2.4</v>
      </c>
      <c r="S96" s="450">
        <v>600</v>
      </c>
      <c r="T96" s="443">
        <v>0.94</v>
      </c>
    </row>
    <row r="97" spans="16:20" s="497" customFormat="1" ht="15">
      <c r="P97" s="447"/>
      <c r="Q97" s="450">
        <v>3.49</v>
      </c>
      <c r="R97" s="450">
        <v>2.4</v>
      </c>
      <c r="S97" s="450">
        <v>600.01</v>
      </c>
      <c r="T97" s="443">
        <v>0.94</v>
      </c>
    </row>
    <row r="98" spans="16:20" s="497" customFormat="1" ht="15">
      <c r="P98" s="447"/>
      <c r="Q98" s="450">
        <v>3.49</v>
      </c>
      <c r="R98" s="450">
        <v>2.4</v>
      </c>
      <c r="S98" s="450">
        <v>10000</v>
      </c>
      <c r="T98" s="443">
        <v>0.94</v>
      </c>
    </row>
    <row r="99" spans="16:20" s="497" customFormat="1" ht="15">
      <c r="P99" s="447"/>
      <c r="Q99" s="450">
        <v>3.49</v>
      </c>
      <c r="R99" s="450">
        <v>3.2</v>
      </c>
      <c r="S99" s="450">
        <v>0</v>
      </c>
      <c r="T99" s="443">
        <v>1</v>
      </c>
    </row>
    <row r="100" spans="16:20" s="497" customFormat="1" ht="15">
      <c r="P100" s="447"/>
      <c r="Q100" s="450">
        <v>3.49</v>
      </c>
      <c r="R100" s="450">
        <v>3.2</v>
      </c>
      <c r="S100" s="450">
        <v>300</v>
      </c>
      <c r="T100" s="443">
        <v>1</v>
      </c>
    </row>
    <row r="101" spans="16:20" s="497" customFormat="1" ht="15">
      <c r="P101" s="447"/>
      <c r="Q101" s="450">
        <v>3.49</v>
      </c>
      <c r="R101" s="450">
        <v>3.2</v>
      </c>
      <c r="S101" s="450">
        <v>300.01</v>
      </c>
      <c r="T101" s="443">
        <v>0.95</v>
      </c>
    </row>
    <row r="102" spans="16:20" s="497" customFormat="1" ht="15">
      <c r="P102" s="447"/>
      <c r="Q102" s="450">
        <v>3.49</v>
      </c>
      <c r="R102" s="450">
        <v>3.2</v>
      </c>
      <c r="S102" s="450">
        <v>600</v>
      </c>
      <c r="T102" s="443">
        <v>0.95</v>
      </c>
    </row>
    <row r="103" spans="16:20" s="497" customFormat="1" ht="15">
      <c r="P103" s="447"/>
      <c r="Q103" s="450">
        <v>3.49</v>
      </c>
      <c r="R103" s="450">
        <v>3.2</v>
      </c>
      <c r="S103" s="450">
        <v>600.01</v>
      </c>
      <c r="T103" s="443">
        <v>0.95</v>
      </c>
    </row>
    <row r="104" spans="16:20" s="497" customFormat="1" ht="15">
      <c r="P104" s="447"/>
      <c r="Q104" s="450">
        <v>3.49</v>
      </c>
      <c r="R104" s="450">
        <v>3.2</v>
      </c>
      <c r="S104" s="450">
        <v>10000</v>
      </c>
      <c r="T104" s="443">
        <v>0.95</v>
      </c>
    </row>
    <row r="105" spans="16:20" s="497" customFormat="1" ht="15">
      <c r="P105" s="447"/>
      <c r="Q105" s="450">
        <v>3.49</v>
      </c>
      <c r="R105" s="450">
        <v>4.8</v>
      </c>
      <c r="S105" s="450">
        <v>0</v>
      </c>
      <c r="T105" s="443">
        <v>1</v>
      </c>
    </row>
    <row r="106" spans="16:20" s="497" customFormat="1" ht="15">
      <c r="P106" s="447"/>
      <c r="Q106" s="450">
        <v>3.49</v>
      </c>
      <c r="R106" s="450">
        <v>4.8</v>
      </c>
      <c r="S106" s="450">
        <v>300</v>
      </c>
      <c r="T106" s="443">
        <v>1</v>
      </c>
    </row>
    <row r="107" spans="16:20" s="497" customFormat="1" ht="15">
      <c r="P107" s="447"/>
      <c r="Q107" s="450">
        <v>3.49</v>
      </c>
      <c r="R107" s="450">
        <v>4.8</v>
      </c>
      <c r="S107" s="450">
        <v>300.01</v>
      </c>
      <c r="T107" s="443">
        <v>0.97</v>
      </c>
    </row>
    <row r="108" spans="16:20" s="497" customFormat="1" ht="15">
      <c r="P108" s="447"/>
      <c r="Q108" s="450">
        <v>3.49</v>
      </c>
      <c r="R108" s="450">
        <v>4.8</v>
      </c>
      <c r="S108" s="450">
        <v>600</v>
      </c>
      <c r="T108" s="443">
        <v>0.97</v>
      </c>
    </row>
    <row r="109" spans="16:20" s="497" customFormat="1" ht="15">
      <c r="P109" s="447"/>
      <c r="Q109" s="450">
        <v>3.49</v>
      </c>
      <c r="R109" s="450">
        <v>4.8</v>
      </c>
      <c r="S109" s="450">
        <v>600.01</v>
      </c>
      <c r="T109" s="443">
        <v>0.96</v>
      </c>
    </row>
    <row r="110" spans="16:20" s="497" customFormat="1" ht="15">
      <c r="P110" s="447"/>
      <c r="Q110" s="450">
        <v>3.49</v>
      </c>
      <c r="R110" s="450">
        <v>4.8</v>
      </c>
      <c r="S110" s="450">
        <v>10000</v>
      </c>
      <c r="T110" s="443">
        <v>0.96</v>
      </c>
    </row>
    <row r="111" spans="16:20" s="497" customFormat="1" ht="15">
      <c r="P111" s="447"/>
      <c r="Q111" s="450">
        <v>3.49</v>
      </c>
      <c r="R111" s="450">
        <v>6.4</v>
      </c>
      <c r="S111" s="450">
        <v>0</v>
      </c>
      <c r="T111" s="443">
        <v>1</v>
      </c>
    </row>
    <row r="112" spans="16:20" s="497" customFormat="1" ht="15">
      <c r="P112" s="447"/>
      <c r="Q112" s="450">
        <v>3.49</v>
      </c>
      <c r="R112" s="450">
        <v>6.4</v>
      </c>
      <c r="S112" s="450">
        <v>300</v>
      </c>
      <c r="T112" s="443">
        <v>1</v>
      </c>
    </row>
    <row r="113" spans="16:20" s="497" customFormat="1" ht="15">
      <c r="P113" s="447"/>
      <c r="Q113" s="450">
        <v>3.49</v>
      </c>
      <c r="R113" s="450">
        <v>6.4</v>
      </c>
      <c r="S113" s="450">
        <v>300.01</v>
      </c>
      <c r="T113" s="443">
        <v>1</v>
      </c>
    </row>
    <row r="114" spans="16:20" s="497" customFormat="1" ht="15">
      <c r="P114" s="447"/>
      <c r="Q114" s="450">
        <v>3.49</v>
      </c>
      <c r="R114" s="450">
        <v>6.4</v>
      </c>
      <c r="S114" s="450">
        <v>600</v>
      </c>
      <c r="T114" s="443">
        <v>1</v>
      </c>
    </row>
    <row r="115" spans="16:20" s="497" customFormat="1" ht="15">
      <c r="P115" s="447"/>
      <c r="Q115" s="450">
        <v>3.49</v>
      </c>
      <c r="R115" s="450">
        <v>6.4</v>
      </c>
      <c r="S115" s="450">
        <v>600.01</v>
      </c>
      <c r="T115" s="443">
        <v>0.97</v>
      </c>
    </row>
    <row r="116" spans="16:20" s="497" customFormat="1" ht="15">
      <c r="P116" s="447"/>
      <c r="Q116" s="450">
        <v>3.49</v>
      </c>
      <c r="R116" s="450">
        <v>6.4</v>
      </c>
      <c r="S116" s="450">
        <v>10000</v>
      </c>
      <c r="T116" s="443">
        <v>0.97</v>
      </c>
    </row>
    <row r="117" spans="16:20" s="497" customFormat="1" ht="15">
      <c r="P117" s="447"/>
      <c r="Q117" s="450">
        <v>3.49</v>
      </c>
      <c r="R117" s="450">
        <v>1000</v>
      </c>
      <c r="S117" s="450">
        <v>0</v>
      </c>
      <c r="T117" s="443">
        <v>1</v>
      </c>
    </row>
    <row r="118" spans="16:20" s="497" customFormat="1" ht="15">
      <c r="P118" s="447"/>
      <c r="Q118" s="450">
        <v>3.49</v>
      </c>
      <c r="R118" s="450">
        <v>1000</v>
      </c>
      <c r="S118" s="450">
        <v>300</v>
      </c>
      <c r="T118" s="443">
        <v>1</v>
      </c>
    </row>
    <row r="119" spans="16:20" s="497" customFormat="1" ht="15">
      <c r="P119" s="447"/>
      <c r="Q119" s="450">
        <v>3.49</v>
      </c>
      <c r="R119" s="450">
        <v>1000</v>
      </c>
      <c r="S119" s="450">
        <v>300.01</v>
      </c>
      <c r="T119" s="443">
        <v>1</v>
      </c>
    </row>
    <row r="120" spans="16:20" s="497" customFormat="1" ht="15">
      <c r="P120" s="447"/>
      <c r="Q120" s="450">
        <v>3.49</v>
      </c>
      <c r="R120" s="450">
        <v>1000</v>
      </c>
      <c r="S120" s="450">
        <v>600</v>
      </c>
      <c r="T120" s="443">
        <v>1</v>
      </c>
    </row>
    <row r="121" spans="16:20" s="497" customFormat="1" ht="15">
      <c r="P121" s="447"/>
      <c r="Q121" s="450">
        <v>3.49</v>
      </c>
      <c r="R121" s="450">
        <v>1000</v>
      </c>
      <c r="S121" s="450">
        <v>600.01</v>
      </c>
      <c r="T121" s="443">
        <v>0.97</v>
      </c>
    </row>
    <row r="122" spans="16:20" s="497" customFormat="1" ht="15">
      <c r="P122" s="447"/>
      <c r="Q122" s="450">
        <v>3.49</v>
      </c>
      <c r="R122" s="450">
        <v>1000</v>
      </c>
      <c r="S122" s="450">
        <v>10000</v>
      </c>
      <c r="T122" s="443">
        <v>0.97</v>
      </c>
    </row>
    <row r="123" spans="16:20" s="497" customFormat="1" ht="15">
      <c r="P123" s="447"/>
      <c r="Q123" s="450">
        <v>3.5</v>
      </c>
      <c r="R123" s="450">
        <v>0</v>
      </c>
      <c r="S123" s="450">
        <v>0</v>
      </c>
      <c r="T123" s="443">
        <v>1</v>
      </c>
    </row>
    <row r="124" spans="16:20" s="497" customFormat="1" ht="15">
      <c r="P124" s="447"/>
      <c r="Q124" s="450">
        <v>3.5</v>
      </c>
      <c r="R124" s="450">
        <v>0</v>
      </c>
      <c r="S124" s="450">
        <v>300</v>
      </c>
      <c r="T124" s="443">
        <v>1</v>
      </c>
    </row>
    <row r="125" spans="16:20" s="497" customFormat="1" ht="15">
      <c r="P125" s="447"/>
      <c r="Q125" s="450">
        <v>3.5</v>
      </c>
      <c r="R125" s="450">
        <v>0</v>
      </c>
      <c r="S125" s="450">
        <v>300.01</v>
      </c>
      <c r="T125" s="443">
        <v>0.94</v>
      </c>
    </row>
    <row r="126" spans="16:20" s="497" customFormat="1" ht="15">
      <c r="P126" s="447"/>
      <c r="Q126" s="450">
        <v>3.5</v>
      </c>
      <c r="R126" s="450">
        <v>0</v>
      </c>
      <c r="S126" s="450">
        <v>600</v>
      </c>
      <c r="T126" s="443">
        <v>0.94</v>
      </c>
    </row>
    <row r="127" spans="16:20" s="497" customFormat="1" ht="15">
      <c r="P127" s="447"/>
      <c r="Q127" s="450">
        <v>3.5</v>
      </c>
      <c r="R127" s="450">
        <v>0</v>
      </c>
      <c r="S127" s="450">
        <v>600.01</v>
      </c>
      <c r="T127" s="443">
        <v>0.92</v>
      </c>
    </row>
    <row r="128" spans="16:20" s="497" customFormat="1" ht="15">
      <c r="P128" s="447"/>
      <c r="Q128" s="450">
        <v>3.5</v>
      </c>
      <c r="R128" s="450">
        <v>0</v>
      </c>
      <c r="S128" s="450">
        <v>10000</v>
      </c>
      <c r="T128" s="443">
        <v>0.92</v>
      </c>
    </row>
    <row r="129" spans="16:20" s="497" customFormat="1" ht="15">
      <c r="P129" s="447"/>
      <c r="Q129" s="450">
        <v>3.5</v>
      </c>
      <c r="R129" s="450">
        <v>0.4</v>
      </c>
      <c r="S129" s="450">
        <v>0</v>
      </c>
      <c r="T129" s="443">
        <v>1</v>
      </c>
    </row>
    <row r="130" spans="16:20" s="497" customFormat="1" ht="15">
      <c r="P130" s="447"/>
      <c r="Q130" s="450">
        <v>3.5</v>
      </c>
      <c r="R130" s="450">
        <v>0.4</v>
      </c>
      <c r="S130" s="450">
        <v>300</v>
      </c>
      <c r="T130" s="443">
        <v>1</v>
      </c>
    </row>
    <row r="131" spans="16:20" s="497" customFormat="1" ht="15">
      <c r="P131" s="447"/>
      <c r="Q131" s="450">
        <v>3.5</v>
      </c>
      <c r="R131" s="450">
        <v>0.4</v>
      </c>
      <c r="S131" s="450">
        <v>300.01</v>
      </c>
      <c r="T131" s="443">
        <v>0.94</v>
      </c>
    </row>
    <row r="132" spans="16:20" s="497" customFormat="1" ht="15">
      <c r="P132" s="447"/>
      <c r="Q132" s="450">
        <v>3.5</v>
      </c>
      <c r="R132" s="450">
        <v>0.4</v>
      </c>
      <c r="S132" s="450">
        <v>600</v>
      </c>
      <c r="T132" s="443">
        <v>0.94</v>
      </c>
    </row>
    <row r="133" spans="16:20" s="497" customFormat="1" ht="15">
      <c r="P133" s="447"/>
      <c r="Q133" s="450">
        <v>3.5</v>
      </c>
      <c r="R133" s="450">
        <v>0.4</v>
      </c>
      <c r="S133" s="450">
        <v>600.01</v>
      </c>
      <c r="T133" s="443">
        <v>0.92</v>
      </c>
    </row>
    <row r="134" spans="16:20" s="497" customFormat="1" ht="15">
      <c r="P134" s="447"/>
      <c r="Q134" s="450">
        <v>3.5</v>
      </c>
      <c r="R134" s="450">
        <v>0.4</v>
      </c>
      <c r="S134" s="450">
        <v>10000</v>
      </c>
      <c r="T134" s="443">
        <v>0.92</v>
      </c>
    </row>
    <row r="135" spans="16:20" s="497" customFormat="1" ht="15">
      <c r="P135" s="447"/>
      <c r="Q135" s="450">
        <v>3.5</v>
      </c>
      <c r="R135" s="450">
        <v>0.8</v>
      </c>
      <c r="S135" s="450">
        <v>0</v>
      </c>
      <c r="T135" s="443">
        <v>1</v>
      </c>
    </row>
    <row r="136" spans="16:20" s="497" customFormat="1" ht="15">
      <c r="P136" s="447"/>
      <c r="Q136" s="450">
        <v>3.5</v>
      </c>
      <c r="R136" s="450">
        <v>0.8</v>
      </c>
      <c r="S136" s="450">
        <v>300</v>
      </c>
      <c r="T136" s="443">
        <v>1</v>
      </c>
    </row>
    <row r="137" spans="16:20" s="497" customFormat="1" ht="15">
      <c r="P137" s="447"/>
      <c r="Q137" s="450">
        <v>3.5</v>
      </c>
      <c r="R137" s="450">
        <v>0.8</v>
      </c>
      <c r="S137" s="450">
        <v>300.01</v>
      </c>
      <c r="T137" s="443">
        <v>0.97</v>
      </c>
    </row>
    <row r="138" spans="16:20" s="497" customFormat="1" ht="15">
      <c r="P138" s="447"/>
      <c r="Q138" s="450">
        <v>3.5</v>
      </c>
      <c r="R138" s="450">
        <v>0.8</v>
      </c>
      <c r="S138" s="450">
        <v>600</v>
      </c>
      <c r="T138" s="443">
        <v>0.97</v>
      </c>
    </row>
    <row r="139" spans="16:20" s="497" customFormat="1" ht="15">
      <c r="P139" s="447"/>
      <c r="Q139" s="450">
        <v>3.5</v>
      </c>
      <c r="R139" s="450">
        <v>0.8</v>
      </c>
      <c r="S139" s="450">
        <v>600.01</v>
      </c>
      <c r="T139" s="443">
        <v>0.96</v>
      </c>
    </row>
    <row r="140" spans="16:20" s="497" customFormat="1" ht="15">
      <c r="P140" s="447"/>
      <c r="Q140" s="450">
        <v>3.5</v>
      </c>
      <c r="R140" s="450">
        <v>0.8</v>
      </c>
      <c r="S140" s="450">
        <v>10000</v>
      </c>
      <c r="T140" s="443">
        <v>0.96</v>
      </c>
    </row>
    <row r="141" spans="16:20" s="497" customFormat="1" ht="15">
      <c r="P141" s="447"/>
      <c r="Q141" s="450">
        <v>3.5</v>
      </c>
      <c r="R141" s="450">
        <v>1.2</v>
      </c>
      <c r="S141" s="450">
        <v>0</v>
      </c>
      <c r="T141" s="443">
        <v>1</v>
      </c>
    </row>
    <row r="142" spans="16:20" s="497" customFormat="1" ht="15">
      <c r="P142" s="447"/>
      <c r="Q142" s="450">
        <v>3.5</v>
      </c>
      <c r="R142" s="450">
        <v>1.2</v>
      </c>
      <c r="S142" s="450">
        <v>300</v>
      </c>
      <c r="T142" s="443">
        <v>1</v>
      </c>
    </row>
    <row r="143" spans="16:20" s="497" customFormat="1" ht="15">
      <c r="P143" s="447"/>
      <c r="Q143" s="450">
        <v>3.5</v>
      </c>
      <c r="R143" s="450">
        <v>1.2</v>
      </c>
      <c r="S143" s="450">
        <v>300.01</v>
      </c>
      <c r="T143" s="443">
        <v>0.97</v>
      </c>
    </row>
    <row r="144" spans="16:20" s="497" customFormat="1" ht="15">
      <c r="P144" s="447"/>
      <c r="Q144" s="450">
        <v>3.5</v>
      </c>
      <c r="R144" s="450">
        <v>1.2</v>
      </c>
      <c r="S144" s="450">
        <v>600</v>
      </c>
      <c r="T144" s="443">
        <v>0.97</v>
      </c>
    </row>
    <row r="145" spans="16:20" s="497" customFormat="1" ht="15">
      <c r="P145" s="447"/>
      <c r="Q145" s="450">
        <v>3.5</v>
      </c>
      <c r="R145" s="450">
        <v>1.2</v>
      </c>
      <c r="S145" s="450">
        <v>600.01</v>
      </c>
      <c r="T145" s="443">
        <v>0.96</v>
      </c>
    </row>
    <row r="146" spans="16:20" s="497" customFormat="1" ht="15">
      <c r="P146" s="447"/>
      <c r="Q146" s="450">
        <v>3.5</v>
      </c>
      <c r="R146" s="450">
        <v>1.2</v>
      </c>
      <c r="S146" s="450">
        <v>10000</v>
      </c>
      <c r="T146" s="443">
        <v>0.96</v>
      </c>
    </row>
    <row r="147" spans="16:20" s="497" customFormat="1" ht="15">
      <c r="P147" s="447"/>
      <c r="Q147" s="450">
        <v>3.5</v>
      </c>
      <c r="R147" s="450">
        <v>1.6</v>
      </c>
      <c r="S147" s="450">
        <v>0</v>
      </c>
      <c r="T147" s="443">
        <v>1</v>
      </c>
    </row>
    <row r="148" spans="16:20" s="497" customFormat="1" ht="15">
      <c r="P148" s="447"/>
      <c r="Q148" s="450">
        <v>3.5</v>
      </c>
      <c r="R148" s="450">
        <v>1.6</v>
      </c>
      <c r="S148" s="450">
        <v>300</v>
      </c>
      <c r="T148" s="443">
        <v>1</v>
      </c>
    </row>
    <row r="149" spans="16:20" s="497" customFormat="1" ht="15">
      <c r="P149" s="447"/>
      <c r="Q149" s="450">
        <v>3.5</v>
      </c>
      <c r="R149" s="450">
        <v>1.6</v>
      </c>
      <c r="S149" s="450">
        <v>300.01</v>
      </c>
      <c r="T149" s="443">
        <v>0.97</v>
      </c>
    </row>
    <row r="150" spans="16:20" s="497" customFormat="1" ht="15">
      <c r="P150" s="447"/>
      <c r="Q150" s="450">
        <v>3.5</v>
      </c>
      <c r="R150" s="450">
        <v>1.6</v>
      </c>
      <c r="S150" s="450">
        <v>600</v>
      </c>
      <c r="T150" s="443">
        <v>0.97</v>
      </c>
    </row>
    <row r="151" spans="16:20" s="497" customFormat="1" ht="15">
      <c r="P151" s="447"/>
      <c r="Q151" s="450">
        <v>3.5</v>
      </c>
      <c r="R151" s="450">
        <v>1.6</v>
      </c>
      <c r="S151" s="450">
        <v>600.01</v>
      </c>
      <c r="T151" s="443">
        <v>0.97</v>
      </c>
    </row>
    <row r="152" spans="16:20" s="497" customFormat="1" ht="15">
      <c r="P152" s="447"/>
      <c r="Q152" s="450">
        <v>3.5</v>
      </c>
      <c r="R152" s="450">
        <v>1.6</v>
      </c>
      <c r="S152" s="450">
        <v>10000</v>
      </c>
      <c r="T152" s="443">
        <v>0.97</v>
      </c>
    </row>
    <row r="153" spans="16:20" s="497" customFormat="1" ht="15">
      <c r="P153" s="447"/>
      <c r="Q153" s="450">
        <v>3.5</v>
      </c>
      <c r="R153" s="450">
        <v>2.4</v>
      </c>
      <c r="S153" s="450">
        <v>0</v>
      </c>
      <c r="T153" s="443">
        <v>1</v>
      </c>
    </row>
    <row r="154" spans="16:20" s="497" customFormat="1" ht="15">
      <c r="P154" s="447"/>
      <c r="Q154" s="450">
        <v>3.5</v>
      </c>
      <c r="R154" s="450">
        <v>2.4</v>
      </c>
      <c r="S154" s="450">
        <v>300</v>
      </c>
      <c r="T154" s="443">
        <v>1</v>
      </c>
    </row>
    <row r="155" spans="16:20" s="497" customFormat="1" ht="15">
      <c r="P155" s="447"/>
      <c r="Q155" s="450">
        <v>3.5</v>
      </c>
      <c r="R155" s="450">
        <v>2.4</v>
      </c>
      <c r="S155" s="450">
        <v>300.01</v>
      </c>
      <c r="T155" s="443">
        <v>0.97</v>
      </c>
    </row>
    <row r="156" spans="16:20" s="497" customFormat="1" ht="15">
      <c r="P156" s="447"/>
      <c r="Q156" s="450">
        <v>3.5</v>
      </c>
      <c r="R156" s="450">
        <v>2.4</v>
      </c>
      <c r="S156" s="450">
        <v>600</v>
      </c>
      <c r="T156" s="443">
        <v>0.97</v>
      </c>
    </row>
    <row r="157" spans="16:20" s="497" customFormat="1" ht="15">
      <c r="P157" s="447"/>
      <c r="Q157" s="450">
        <v>3.5</v>
      </c>
      <c r="R157" s="450">
        <v>2.4</v>
      </c>
      <c r="S157" s="450">
        <v>600.01</v>
      </c>
      <c r="T157" s="443">
        <v>0.97</v>
      </c>
    </row>
    <row r="158" spans="16:20" s="497" customFormat="1" ht="15">
      <c r="P158" s="447"/>
      <c r="Q158" s="450">
        <v>3.5</v>
      </c>
      <c r="R158" s="450">
        <v>2.4</v>
      </c>
      <c r="S158" s="450">
        <v>10000</v>
      </c>
      <c r="T158" s="443">
        <v>0.97</v>
      </c>
    </row>
    <row r="159" spans="16:20" s="497" customFormat="1" ht="15">
      <c r="P159" s="447"/>
      <c r="Q159" s="450">
        <v>3.5</v>
      </c>
      <c r="R159" s="450">
        <v>3.2</v>
      </c>
      <c r="S159" s="450">
        <v>0</v>
      </c>
      <c r="T159" s="443">
        <v>1</v>
      </c>
    </row>
    <row r="160" spans="16:20" s="497" customFormat="1" ht="15">
      <c r="P160" s="447"/>
      <c r="Q160" s="450">
        <v>3.5</v>
      </c>
      <c r="R160" s="450">
        <v>3.2</v>
      </c>
      <c r="S160" s="450">
        <v>300</v>
      </c>
      <c r="T160" s="443">
        <v>1</v>
      </c>
    </row>
    <row r="161" spans="16:20" s="497" customFormat="1" ht="15">
      <c r="P161" s="447"/>
      <c r="Q161" s="450">
        <v>3.5</v>
      </c>
      <c r="R161" s="450">
        <v>3.2</v>
      </c>
      <c r="S161" s="450">
        <v>300.01</v>
      </c>
      <c r="T161" s="443">
        <v>0.98</v>
      </c>
    </row>
    <row r="162" spans="16:20" s="497" customFormat="1" ht="15">
      <c r="P162" s="447"/>
      <c r="Q162" s="450">
        <v>3.5</v>
      </c>
      <c r="R162" s="450">
        <v>3.2</v>
      </c>
      <c r="S162" s="450">
        <v>600</v>
      </c>
      <c r="T162" s="443">
        <v>0.98</v>
      </c>
    </row>
    <row r="163" spans="16:20" s="497" customFormat="1" ht="15">
      <c r="P163" s="447"/>
      <c r="Q163" s="450">
        <v>3.5</v>
      </c>
      <c r="R163" s="450">
        <v>3.2</v>
      </c>
      <c r="S163" s="450">
        <v>600.01</v>
      </c>
      <c r="T163" s="443">
        <v>0.98</v>
      </c>
    </row>
    <row r="164" spans="16:20" s="497" customFormat="1" ht="15">
      <c r="P164" s="447"/>
      <c r="Q164" s="450">
        <v>3.5</v>
      </c>
      <c r="R164" s="450">
        <v>3.2</v>
      </c>
      <c r="S164" s="450">
        <v>10000</v>
      </c>
      <c r="T164" s="443">
        <v>0.98</v>
      </c>
    </row>
    <row r="165" spans="16:20" s="497" customFormat="1" ht="15">
      <c r="P165" s="447"/>
      <c r="Q165" s="450">
        <v>3.5</v>
      </c>
      <c r="R165" s="450">
        <v>4.8</v>
      </c>
      <c r="S165" s="450">
        <v>0</v>
      </c>
      <c r="T165" s="443">
        <v>1</v>
      </c>
    </row>
    <row r="166" spans="16:20" s="497" customFormat="1" ht="15">
      <c r="P166" s="447"/>
      <c r="Q166" s="450">
        <v>3.5</v>
      </c>
      <c r="R166" s="450">
        <v>4.8</v>
      </c>
      <c r="S166" s="450">
        <v>300</v>
      </c>
      <c r="T166" s="443">
        <v>1</v>
      </c>
    </row>
    <row r="167" spans="16:20" s="497" customFormat="1" ht="15">
      <c r="P167" s="447"/>
      <c r="Q167" s="450">
        <v>3.5</v>
      </c>
      <c r="R167" s="450">
        <v>4.8</v>
      </c>
      <c r="S167" s="450">
        <v>300.01</v>
      </c>
      <c r="T167" s="443">
        <v>1</v>
      </c>
    </row>
    <row r="168" spans="16:20" s="497" customFormat="1" ht="15">
      <c r="P168" s="447"/>
      <c r="Q168" s="450">
        <v>3.5</v>
      </c>
      <c r="R168" s="450">
        <v>4.8</v>
      </c>
      <c r="S168" s="450">
        <v>600</v>
      </c>
      <c r="T168" s="443">
        <v>1</v>
      </c>
    </row>
    <row r="169" spans="16:20" s="497" customFormat="1" ht="15">
      <c r="P169" s="447"/>
      <c r="Q169" s="450">
        <v>3.5</v>
      </c>
      <c r="R169" s="450">
        <v>4.8</v>
      </c>
      <c r="S169" s="450">
        <v>600.01</v>
      </c>
      <c r="T169" s="443">
        <v>1</v>
      </c>
    </row>
    <row r="170" spans="16:20" s="497" customFormat="1" ht="15">
      <c r="P170" s="447"/>
      <c r="Q170" s="450">
        <v>3.5</v>
      </c>
      <c r="R170" s="450">
        <v>4.8</v>
      </c>
      <c r="S170" s="450">
        <v>10000</v>
      </c>
      <c r="T170" s="443">
        <v>1</v>
      </c>
    </row>
    <row r="171" spans="16:20" s="497" customFormat="1" ht="15">
      <c r="P171" s="447"/>
      <c r="Q171" s="450">
        <v>3.5</v>
      </c>
      <c r="R171" s="450">
        <v>6.4</v>
      </c>
      <c r="S171" s="450">
        <v>0</v>
      </c>
      <c r="T171" s="443">
        <v>1</v>
      </c>
    </row>
    <row r="172" spans="16:20" s="497" customFormat="1" ht="15">
      <c r="P172" s="447"/>
      <c r="Q172" s="450">
        <v>3.5</v>
      </c>
      <c r="R172" s="450">
        <v>6.4</v>
      </c>
      <c r="S172" s="450">
        <v>300</v>
      </c>
      <c r="T172" s="443">
        <v>1</v>
      </c>
    </row>
    <row r="173" spans="16:20" s="497" customFormat="1" ht="15">
      <c r="P173" s="447"/>
      <c r="Q173" s="450">
        <v>3.5</v>
      </c>
      <c r="R173" s="450">
        <v>6.4</v>
      </c>
      <c r="S173" s="450">
        <v>300.01</v>
      </c>
      <c r="T173" s="443">
        <v>1</v>
      </c>
    </row>
    <row r="174" spans="16:20" s="497" customFormat="1" ht="15">
      <c r="P174" s="447"/>
      <c r="Q174" s="450">
        <v>3.5</v>
      </c>
      <c r="R174" s="450">
        <v>6.4</v>
      </c>
      <c r="S174" s="450">
        <v>600</v>
      </c>
      <c r="T174" s="443">
        <v>1</v>
      </c>
    </row>
    <row r="175" spans="16:20" s="497" customFormat="1" ht="15">
      <c r="P175" s="447"/>
      <c r="Q175" s="450">
        <v>3.5</v>
      </c>
      <c r="R175" s="450">
        <v>6.4</v>
      </c>
      <c r="S175" s="450">
        <v>600.01</v>
      </c>
      <c r="T175" s="443">
        <v>1</v>
      </c>
    </row>
    <row r="176" spans="16:20" s="497" customFormat="1" ht="15">
      <c r="P176" s="447"/>
      <c r="Q176" s="450">
        <v>3.5</v>
      </c>
      <c r="R176" s="450">
        <v>6.4</v>
      </c>
      <c r="S176" s="450">
        <v>10000</v>
      </c>
      <c r="T176" s="443">
        <v>1</v>
      </c>
    </row>
    <row r="177" spans="16:20" s="497" customFormat="1" ht="15">
      <c r="P177" s="447"/>
      <c r="Q177" s="450">
        <v>3.5</v>
      </c>
      <c r="R177" s="450">
        <v>1000</v>
      </c>
      <c r="S177" s="450">
        <v>0</v>
      </c>
      <c r="T177" s="443">
        <v>1</v>
      </c>
    </row>
    <row r="178" spans="16:20" s="497" customFormat="1" ht="15">
      <c r="P178" s="447"/>
      <c r="Q178" s="450">
        <v>3.5</v>
      </c>
      <c r="R178" s="450">
        <v>1000</v>
      </c>
      <c r="S178" s="450">
        <v>300</v>
      </c>
      <c r="T178" s="443">
        <v>1</v>
      </c>
    </row>
    <row r="179" spans="16:20" s="497" customFormat="1" ht="15">
      <c r="P179" s="447"/>
      <c r="Q179" s="450">
        <v>3.5</v>
      </c>
      <c r="R179" s="450">
        <v>1000</v>
      </c>
      <c r="S179" s="450">
        <v>300.01</v>
      </c>
      <c r="T179" s="443">
        <v>1</v>
      </c>
    </row>
    <row r="180" spans="16:20" s="497" customFormat="1" ht="15">
      <c r="P180" s="447"/>
      <c r="Q180" s="450">
        <v>3.5</v>
      </c>
      <c r="R180" s="450">
        <v>1000</v>
      </c>
      <c r="S180" s="450">
        <v>600</v>
      </c>
      <c r="T180" s="443">
        <v>1</v>
      </c>
    </row>
    <row r="181" spans="16:20" s="497" customFormat="1" ht="15">
      <c r="P181" s="447"/>
      <c r="Q181" s="450">
        <v>3.5</v>
      </c>
      <c r="R181" s="450">
        <v>1000</v>
      </c>
      <c r="S181" s="450">
        <v>600.01</v>
      </c>
      <c r="T181" s="443">
        <v>1</v>
      </c>
    </row>
    <row r="182" spans="16:20" s="497" customFormat="1" ht="15">
      <c r="P182" s="447"/>
      <c r="Q182" s="450">
        <v>3.5</v>
      </c>
      <c r="R182" s="450">
        <v>1000</v>
      </c>
      <c r="S182" s="450">
        <v>10000</v>
      </c>
      <c r="T182" s="443">
        <v>1</v>
      </c>
    </row>
    <row r="183" spans="16:20" s="497" customFormat="1" ht="15">
      <c r="P183" s="447"/>
      <c r="Q183" s="450">
        <v>4.49</v>
      </c>
      <c r="R183" s="450">
        <v>0</v>
      </c>
      <c r="S183" s="450">
        <v>0</v>
      </c>
      <c r="T183" s="443">
        <v>1</v>
      </c>
    </row>
    <row r="184" spans="16:20" s="497" customFormat="1" ht="15">
      <c r="P184" s="447"/>
      <c r="Q184" s="450">
        <v>4.49</v>
      </c>
      <c r="R184" s="450">
        <v>0</v>
      </c>
      <c r="S184" s="450">
        <v>300</v>
      </c>
      <c r="T184" s="443">
        <v>1</v>
      </c>
    </row>
    <row r="185" spans="16:20" s="497" customFormat="1" ht="15">
      <c r="P185" s="447"/>
      <c r="Q185" s="450">
        <v>4.49</v>
      </c>
      <c r="R185" s="450">
        <v>0</v>
      </c>
      <c r="S185" s="450">
        <v>300.01</v>
      </c>
      <c r="T185" s="443">
        <v>0.94</v>
      </c>
    </row>
    <row r="186" spans="16:20" s="497" customFormat="1" ht="15">
      <c r="P186" s="447"/>
      <c r="Q186" s="450">
        <v>4.49</v>
      </c>
      <c r="R186" s="450">
        <v>0</v>
      </c>
      <c r="S186" s="450">
        <v>600</v>
      </c>
      <c r="T186" s="443">
        <v>0.94</v>
      </c>
    </row>
    <row r="187" spans="16:20" s="497" customFormat="1" ht="15">
      <c r="P187" s="447"/>
      <c r="Q187" s="450">
        <v>4.49</v>
      </c>
      <c r="R187" s="450">
        <v>0</v>
      </c>
      <c r="S187" s="450">
        <v>600.01</v>
      </c>
      <c r="T187" s="443">
        <v>0.92</v>
      </c>
    </row>
    <row r="188" spans="16:20" s="497" customFormat="1" ht="15">
      <c r="P188" s="447"/>
      <c r="Q188" s="450">
        <v>4.49</v>
      </c>
      <c r="R188" s="450">
        <v>0</v>
      </c>
      <c r="S188" s="450">
        <v>10000</v>
      </c>
      <c r="T188" s="443">
        <v>0.92</v>
      </c>
    </row>
    <row r="189" spans="16:20" s="497" customFormat="1" ht="15">
      <c r="P189" s="447"/>
      <c r="Q189" s="450">
        <v>4.49</v>
      </c>
      <c r="R189" s="450">
        <v>0.4</v>
      </c>
      <c r="S189" s="450">
        <v>0</v>
      </c>
      <c r="T189" s="443">
        <v>1</v>
      </c>
    </row>
    <row r="190" spans="16:20" s="497" customFormat="1" ht="15">
      <c r="P190" s="447"/>
      <c r="Q190" s="450">
        <v>4.49</v>
      </c>
      <c r="R190" s="450">
        <v>0.4</v>
      </c>
      <c r="S190" s="450">
        <v>300</v>
      </c>
      <c r="T190" s="443">
        <v>1</v>
      </c>
    </row>
    <row r="191" spans="16:20" s="497" customFormat="1" ht="15">
      <c r="P191" s="447"/>
      <c r="Q191" s="450">
        <v>4.49</v>
      </c>
      <c r="R191" s="450">
        <v>0.4</v>
      </c>
      <c r="S191" s="450">
        <v>300.01</v>
      </c>
      <c r="T191" s="443">
        <v>0.94</v>
      </c>
    </row>
    <row r="192" spans="16:20" s="497" customFormat="1" ht="15">
      <c r="P192" s="447"/>
      <c r="Q192" s="450">
        <v>4.49</v>
      </c>
      <c r="R192" s="450">
        <v>0.4</v>
      </c>
      <c r="S192" s="450">
        <v>600</v>
      </c>
      <c r="T192" s="443">
        <v>0.94</v>
      </c>
    </row>
    <row r="193" spans="16:20" s="497" customFormat="1" ht="15">
      <c r="P193" s="447"/>
      <c r="Q193" s="450">
        <v>4.49</v>
      </c>
      <c r="R193" s="450">
        <v>0.4</v>
      </c>
      <c r="S193" s="450">
        <v>600.01</v>
      </c>
      <c r="T193" s="443">
        <v>0.92</v>
      </c>
    </row>
    <row r="194" spans="16:20" s="497" customFormat="1" ht="15">
      <c r="P194" s="447"/>
      <c r="Q194" s="450">
        <v>4.49</v>
      </c>
      <c r="R194" s="450">
        <v>0.4</v>
      </c>
      <c r="S194" s="450">
        <v>10000</v>
      </c>
      <c r="T194" s="443">
        <v>0.92</v>
      </c>
    </row>
    <row r="195" spans="16:20" s="497" customFormat="1" ht="15">
      <c r="P195" s="447"/>
      <c r="Q195" s="450">
        <v>4.49</v>
      </c>
      <c r="R195" s="450">
        <v>0.8</v>
      </c>
      <c r="S195" s="450">
        <v>0</v>
      </c>
      <c r="T195" s="443">
        <v>1</v>
      </c>
    </row>
    <row r="196" spans="16:20" s="497" customFormat="1" ht="15">
      <c r="P196" s="447"/>
      <c r="Q196" s="450">
        <v>4.49</v>
      </c>
      <c r="R196" s="450">
        <v>0.8</v>
      </c>
      <c r="S196" s="450">
        <v>300</v>
      </c>
      <c r="T196" s="443">
        <v>1</v>
      </c>
    </row>
    <row r="197" spans="16:20" s="497" customFormat="1" ht="15">
      <c r="P197" s="447"/>
      <c r="Q197" s="450">
        <v>4.49</v>
      </c>
      <c r="R197" s="450">
        <v>0.8</v>
      </c>
      <c r="S197" s="450">
        <v>300.01</v>
      </c>
      <c r="T197" s="443">
        <v>0.97</v>
      </c>
    </row>
    <row r="198" spans="16:20" s="497" customFormat="1" ht="15">
      <c r="P198" s="447"/>
      <c r="Q198" s="450">
        <v>4.49</v>
      </c>
      <c r="R198" s="450">
        <v>0.8</v>
      </c>
      <c r="S198" s="450">
        <v>600</v>
      </c>
      <c r="T198" s="443">
        <v>0.97</v>
      </c>
    </row>
    <row r="199" spans="16:20" s="497" customFormat="1" ht="15">
      <c r="P199" s="447"/>
      <c r="Q199" s="450">
        <v>4.49</v>
      </c>
      <c r="R199" s="450">
        <v>0.8</v>
      </c>
      <c r="S199" s="450">
        <v>600.01</v>
      </c>
      <c r="T199" s="443">
        <v>0.96</v>
      </c>
    </row>
    <row r="200" spans="16:20" s="497" customFormat="1" ht="15">
      <c r="P200" s="447"/>
      <c r="Q200" s="450">
        <v>4.49</v>
      </c>
      <c r="R200" s="450">
        <v>0.8</v>
      </c>
      <c r="S200" s="450">
        <v>10000</v>
      </c>
      <c r="T200" s="443">
        <v>0.96</v>
      </c>
    </row>
    <row r="201" spans="16:20" s="497" customFormat="1" ht="15">
      <c r="P201" s="447"/>
      <c r="Q201" s="450">
        <v>4.49</v>
      </c>
      <c r="R201" s="450">
        <v>1.2</v>
      </c>
      <c r="S201" s="450">
        <v>0</v>
      </c>
      <c r="T201" s="443">
        <v>1</v>
      </c>
    </row>
    <row r="202" spans="16:20" s="497" customFormat="1" ht="15">
      <c r="P202" s="447"/>
      <c r="Q202" s="450">
        <v>4.49</v>
      </c>
      <c r="R202" s="450">
        <v>1.2</v>
      </c>
      <c r="S202" s="450">
        <v>300</v>
      </c>
      <c r="T202" s="443">
        <v>1</v>
      </c>
    </row>
    <row r="203" spans="16:20" s="497" customFormat="1" ht="15">
      <c r="P203" s="447"/>
      <c r="Q203" s="450">
        <v>4.49</v>
      </c>
      <c r="R203" s="450">
        <v>1.2</v>
      </c>
      <c r="S203" s="450">
        <v>300.01</v>
      </c>
      <c r="T203" s="443">
        <v>0.97</v>
      </c>
    </row>
    <row r="204" spans="16:20" s="497" customFormat="1" ht="15">
      <c r="P204" s="447"/>
      <c r="Q204" s="450">
        <v>4.49</v>
      </c>
      <c r="R204" s="450">
        <v>1.2</v>
      </c>
      <c r="S204" s="450">
        <v>600</v>
      </c>
      <c r="T204" s="443">
        <v>0.97</v>
      </c>
    </row>
    <row r="205" spans="16:20" s="497" customFormat="1" ht="15">
      <c r="P205" s="447"/>
      <c r="Q205" s="450">
        <v>4.49</v>
      </c>
      <c r="R205" s="450">
        <v>1.2</v>
      </c>
      <c r="S205" s="450">
        <v>600.01</v>
      </c>
      <c r="T205" s="443">
        <v>0.96</v>
      </c>
    </row>
    <row r="206" spans="16:20" s="497" customFormat="1" ht="15">
      <c r="P206" s="447"/>
      <c r="Q206" s="450">
        <v>4.49</v>
      </c>
      <c r="R206" s="450">
        <v>1.2</v>
      </c>
      <c r="S206" s="450">
        <v>10000</v>
      </c>
      <c r="T206" s="443">
        <v>0.96</v>
      </c>
    </row>
    <row r="207" spans="16:20" s="497" customFormat="1" ht="15">
      <c r="P207" s="447"/>
      <c r="Q207" s="450">
        <v>4.49</v>
      </c>
      <c r="R207" s="450">
        <v>1.6</v>
      </c>
      <c r="S207" s="450">
        <v>0</v>
      </c>
      <c r="T207" s="443">
        <v>1</v>
      </c>
    </row>
    <row r="208" spans="16:20" s="497" customFormat="1" ht="15">
      <c r="P208" s="447"/>
      <c r="Q208" s="450">
        <v>4.49</v>
      </c>
      <c r="R208" s="450">
        <v>1.6</v>
      </c>
      <c r="S208" s="450">
        <v>300</v>
      </c>
      <c r="T208" s="443">
        <v>1</v>
      </c>
    </row>
    <row r="209" spans="16:20" s="497" customFormat="1" ht="15">
      <c r="P209" s="447"/>
      <c r="Q209" s="450">
        <v>4.49</v>
      </c>
      <c r="R209" s="450">
        <v>1.6</v>
      </c>
      <c r="S209" s="450">
        <v>300.01</v>
      </c>
      <c r="T209" s="443">
        <v>0.97</v>
      </c>
    </row>
    <row r="210" spans="16:20" s="497" customFormat="1" ht="15">
      <c r="P210" s="447"/>
      <c r="Q210" s="450">
        <v>4.49</v>
      </c>
      <c r="R210" s="450">
        <v>1.6</v>
      </c>
      <c r="S210" s="450">
        <v>600</v>
      </c>
      <c r="T210" s="443">
        <v>0.97</v>
      </c>
    </row>
    <row r="211" spans="16:20" s="497" customFormat="1" ht="15">
      <c r="P211" s="447"/>
      <c r="Q211" s="450">
        <v>4.49</v>
      </c>
      <c r="R211" s="450">
        <v>1.6</v>
      </c>
      <c r="S211" s="450">
        <v>600.01</v>
      </c>
      <c r="T211" s="443">
        <v>0.97</v>
      </c>
    </row>
    <row r="212" spans="16:20" s="497" customFormat="1" ht="15">
      <c r="P212" s="447"/>
      <c r="Q212" s="450">
        <v>4.49</v>
      </c>
      <c r="R212" s="450">
        <v>1.6</v>
      </c>
      <c r="S212" s="450">
        <v>10000</v>
      </c>
      <c r="T212" s="443">
        <v>0.97</v>
      </c>
    </row>
    <row r="213" spans="16:20" s="497" customFormat="1" ht="15">
      <c r="P213" s="447"/>
      <c r="Q213" s="450">
        <v>4.49</v>
      </c>
      <c r="R213" s="450">
        <v>2.4</v>
      </c>
      <c r="S213" s="450">
        <v>0</v>
      </c>
      <c r="T213" s="443">
        <v>1</v>
      </c>
    </row>
    <row r="214" spans="16:20" s="497" customFormat="1" ht="15">
      <c r="P214" s="447"/>
      <c r="Q214" s="450">
        <v>4.49</v>
      </c>
      <c r="R214" s="450">
        <v>2.4</v>
      </c>
      <c r="S214" s="450">
        <v>300</v>
      </c>
      <c r="T214" s="443">
        <v>1</v>
      </c>
    </row>
    <row r="215" spans="16:20" s="497" customFormat="1" ht="15">
      <c r="P215" s="447"/>
      <c r="Q215" s="450">
        <v>4.49</v>
      </c>
      <c r="R215" s="450">
        <v>2.4</v>
      </c>
      <c r="S215" s="450">
        <v>300.01</v>
      </c>
      <c r="T215" s="443">
        <v>0.97</v>
      </c>
    </row>
    <row r="216" spans="16:20" s="497" customFormat="1" ht="15">
      <c r="P216" s="447"/>
      <c r="Q216" s="450">
        <v>4.49</v>
      </c>
      <c r="R216" s="450">
        <v>2.4</v>
      </c>
      <c r="S216" s="450">
        <v>600</v>
      </c>
      <c r="T216" s="443">
        <v>0.97</v>
      </c>
    </row>
    <row r="217" spans="16:20" s="497" customFormat="1" ht="15">
      <c r="P217" s="447"/>
      <c r="Q217" s="450">
        <v>4.49</v>
      </c>
      <c r="R217" s="450">
        <v>2.4</v>
      </c>
      <c r="S217" s="450">
        <v>600.01</v>
      </c>
      <c r="T217" s="443">
        <v>0.97</v>
      </c>
    </row>
    <row r="218" spans="16:20" s="497" customFormat="1" ht="15">
      <c r="P218" s="447"/>
      <c r="Q218" s="450">
        <v>4.49</v>
      </c>
      <c r="R218" s="450">
        <v>2.4</v>
      </c>
      <c r="S218" s="450">
        <v>10000</v>
      </c>
      <c r="T218" s="443">
        <v>0.97</v>
      </c>
    </row>
    <row r="219" spans="16:20" s="497" customFormat="1" ht="15">
      <c r="P219" s="447"/>
      <c r="Q219" s="450">
        <v>4.49</v>
      </c>
      <c r="R219" s="450">
        <v>3.2</v>
      </c>
      <c r="S219" s="450">
        <v>0</v>
      </c>
      <c r="T219" s="443">
        <v>1</v>
      </c>
    </row>
    <row r="220" spans="16:20" s="497" customFormat="1" ht="15">
      <c r="P220" s="447"/>
      <c r="Q220" s="450">
        <v>4.49</v>
      </c>
      <c r="R220" s="450">
        <v>3.2</v>
      </c>
      <c r="S220" s="450">
        <v>300</v>
      </c>
      <c r="T220" s="443">
        <v>1</v>
      </c>
    </row>
    <row r="221" spans="16:20" s="497" customFormat="1" ht="15">
      <c r="P221" s="447"/>
      <c r="Q221" s="450">
        <v>4.49</v>
      </c>
      <c r="R221" s="450">
        <v>3.2</v>
      </c>
      <c r="S221" s="450">
        <v>300.01</v>
      </c>
      <c r="T221" s="443">
        <v>0.98</v>
      </c>
    </row>
    <row r="222" spans="16:20" s="497" customFormat="1" ht="15">
      <c r="P222" s="447"/>
      <c r="Q222" s="450">
        <v>4.49</v>
      </c>
      <c r="R222" s="450">
        <v>3.2</v>
      </c>
      <c r="S222" s="450">
        <v>600</v>
      </c>
      <c r="T222" s="443">
        <v>0.98</v>
      </c>
    </row>
    <row r="223" spans="16:20" s="497" customFormat="1" ht="15">
      <c r="P223" s="447"/>
      <c r="Q223" s="450">
        <v>4.49</v>
      </c>
      <c r="R223" s="450">
        <v>3.2</v>
      </c>
      <c r="S223" s="450">
        <v>600.01</v>
      </c>
      <c r="T223" s="443">
        <v>0.98</v>
      </c>
    </row>
    <row r="224" spans="16:20" s="497" customFormat="1" ht="15">
      <c r="P224" s="447"/>
      <c r="Q224" s="450">
        <v>4.49</v>
      </c>
      <c r="R224" s="450">
        <v>3.2</v>
      </c>
      <c r="S224" s="450">
        <v>10000</v>
      </c>
      <c r="T224" s="443">
        <v>0.98</v>
      </c>
    </row>
    <row r="225" spans="16:20" s="497" customFormat="1" ht="15">
      <c r="P225" s="447"/>
      <c r="Q225" s="450">
        <v>4.49</v>
      </c>
      <c r="R225" s="450">
        <v>4.8</v>
      </c>
      <c r="S225" s="450">
        <v>0</v>
      </c>
      <c r="T225" s="443">
        <v>1</v>
      </c>
    </row>
    <row r="226" spans="16:20" s="497" customFormat="1" ht="15">
      <c r="P226" s="447"/>
      <c r="Q226" s="450">
        <v>4.49</v>
      </c>
      <c r="R226" s="450">
        <v>4.8</v>
      </c>
      <c r="S226" s="450">
        <v>300</v>
      </c>
      <c r="T226" s="443">
        <v>1</v>
      </c>
    </row>
    <row r="227" spans="16:20" s="497" customFormat="1" ht="15">
      <c r="P227" s="447"/>
      <c r="Q227" s="450">
        <v>4.49</v>
      </c>
      <c r="R227" s="450">
        <v>4.8</v>
      </c>
      <c r="S227" s="450">
        <v>300.01</v>
      </c>
      <c r="T227" s="443">
        <v>1</v>
      </c>
    </row>
    <row r="228" spans="16:20" s="497" customFormat="1" ht="15">
      <c r="P228" s="447"/>
      <c r="Q228" s="450">
        <v>4.49</v>
      </c>
      <c r="R228" s="450">
        <v>4.8</v>
      </c>
      <c r="S228" s="450">
        <v>600</v>
      </c>
      <c r="T228" s="443">
        <v>1</v>
      </c>
    </row>
    <row r="229" spans="16:20" s="497" customFormat="1" ht="15">
      <c r="P229" s="447"/>
      <c r="Q229" s="450">
        <v>4.49</v>
      </c>
      <c r="R229" s="450">
        <v>4.8</v>
      </c>
      <c r="S229" s="450">
        <v>600.01</v>
      </c>
      <c r="T229" s="443">
        <v>1</v>
      </c>
    </row>
    <row r="230" spans="16:20" s="497" customFormat="1" ht="15">
      <c r="P230" s="447"/>
      <c r="Q230" s="450">
        <v>4.49</v>
      </c>
      <c r="R230" s="450">
        <v>4.8</v>
      </c>
      <c r="S230" s="450">
        <v>10000</v>
      </c>
      <c r="T230" s="443">
        <v>1</v>
      </c>
    </row>
    <row r="231" spans="16:20" s="497" customFormat="1" ht="15">
      <c r="P231" s="447"/>
      <c r="Q231" s="450">
        <v>4.49</v>
      </c>
      <c r="R231" s="450">
        <v>6.4</v>
      </c>
      <c r="S231" s="450">
        <v>0</v>
      </c>
      <c r="T231" s="443">
        <v>1</v>
      </c>
    </row>
    <row r="232" spans="16:20" s="497" customFormat="1" ht="15">
      <c r="P232" s="447"/>
      <c r="Q232" s="450">
        <v>4.49</v>
      </c>
      <c r="R232" s="450">
        <v>6.4</v>
      </c>
      <c r="S232" s="450">
        <v>300</v>
      </c>
      <c r="T232" s="443">
        <v>1</v>
      </c>
    </row>
    <row r="233" spans="16:20" s="497" customFormat="1" ht="15">
      <c r="P233" s="447"/>
      <c r="Q233" s="450">
        <v>4.49</v>
      </c>
      <c r="R233" s="450">
        <v>6.4</v>
      </c>
      <c r="S233" s="450">
        <v>300.01</v>
      </c>
      <c r="T233" s="443">
        <v>1</v>
      </c>
    </row>
    <row r="234" spans="16:20" s="497" customFormat="1" ht="15">
      <c r="P234" s="447"/>
      <c r="Q234" s="450">
        <v>4.49</v>
      </c>
      <c r="R234" s="450">
        <v>6.4</v>
      </c>
      <c r="S234" s="450">
        <v>600</v>
      </c>
      <c r="T234" s="443">
        <v>1</v>
      </c>
    </row>
    <row r="235" spans="16:20" s="497" customFormat="1" ht="15">
      <c r="P235" s="447"/>
      <c r="Q235" s="450">
        <v>4.49</v>
      </c>
      <c r="R235" s="450">
        <v>6.4</v>
      </c>
      <c r="S235" s="450">
        <v>600.01</v>
      </c>
      <c r="T235" s="443">
        <v>1</v>
      </c>
    </row>
    <row r="236" spans="16:20" s="497" customFormat="1" ht="15">
      <c r="P236" s="447"/>
      <c r="Q236" s="450">
        <v>4.49</v>
      </c>
      <c r="R236" s="450">
        <v>6.4</v>
      </c>
      <c r="S236" s="450">
        <v>10000</v>
      </c>
      <c r="T236" s="443">
        <v>1</v>
      </c>
    </row>
    <row r="237" spans="16:20" s="497" customFormat="1" ht="15">
      <c r="P237" s="447"/>
      <c r="Q237" s="450">
        <v>4.49</v>
      </c>
      <c r="R237" s="450">
        <v>1000</v>
      </c>
      <c r="S237" s="450">
        <v>0</v>
      </c>
      <c r="T237" s="443">
        <v>1</v>
      </c>
    </row>
    <row r="238" spans="16:20" s="497" customFormat="1" ht="15">
      <c r="P238" s="447"/>
      <c r="Q238" s="450">
        <v>4.49</v>
      </c>
      <c r="R238" s="450">
        <v>1000</v>
      </c>
      <c r="S238" s="450">
        <v>300</v>
      </c>
      <c r="T238" s="443">
        <v>1</v>
      </c>
    </row>
    <row r="239" spans="16:20" s="497" customFormat="1" ht="15">
      <c r="P239" s="447"/>
      <c r="Q239" s="450">
        <v>4.49</v>
      </c>
      <c r="R239" s="450">
        <v>1000</v>
      </c>
      <c r="S239" s="450">
        <v>300.01</v>
      </c>
      <c r="T239" s="443">
        <v>1</v>
      </c>
    </row>
    <row r="240" spans="16:20" s="497" customFormat="1" ht="15">
      <c r="P240" s="447"/>
      <c r="Q240" s="450">
        <v>4.49</v>
      </c>
      <c r="R240" s="450">
        <v>1000</v>
      </c>
      <c r="S240" s="450">
        <v>600</v>
      </c>
      <c r="T240" s="443">
        <v>1</v>
      </c>
    </row>
    <row r="241" spans="16:20" s="497" customFormat="1" ht="15">
      <c r="P241" s="447"/>
      <c r="Q241" s="450">
        <v>4.49</v>
      </c>
      <c r="R241" s="450">
        <v>1000</v>
      </c>
      <c r="S241" s="450">
        <v>600.01</v>
      </c>
      <c r="T241" s="443">
        <v>1</v>
      </c>
    </row>
    <row r="242" spans="16:20" s="497" customFormat="1" ht="15">
      <c r="P242" s="447"/>
      <c r="Q242" s="450">
        <v>4.49</v>
      </c>
      <c r="R242" s="450">
        <v>1000</v>
      </c>
      <c r="S242" s="450">
        <v>10000</v>
      </c>
      <c r="T242" s="443">
        <v>1</v>
      </c>
    </row>
    <row r="243" spans="16:20" s="497" customFormat="1" ht="15">
      <c r="P243" s="447"/>
      <c r="Q243" s="450">
        <v>4.5</v>
      </c>
      <c r="R243" s="450">
        <v>0</v>
      </c>
      <c r="S243" s="450">
        <v>0</v>
      </c>
      <c r="T243" s="443">
        <v>1</v>
      </c>
    </row>
    <row r="244" spans="16:20" s="497" customFormat="1" ht="15">
      <c r="P244" s="447"/>
      <c r="Q244" s="450">
        <v>4.5</v>
      </c>
      <c r="R244" s="450">
        <v>0</v>
      </c>
      <c r="S244" s="450">
        <v>300</v>
      </c>
      <c r="T244" s="443">
        <v>1</v>
      </c>
    </row>
    <row r="245" spans="16:20" s="497" customFormat="1" ht="15">
      <c r="P245" s="447"/>
      <c r="Q245" s="450">
        <v>4.5</v>
      </c>
      <c r="R245" s="450">
        <v>0</v>
      </c>
      <c r="S245" s="450">
        <v>300.01</v>
      </c>
      <c r="T245" s="443">
        <v>1</v>
      </c>
    </row>
    <row r="246" spans="16:20" s="497" customFormat="1" ht="15">
      <c r="P246" s="447"/>
      <c r="Q246" s="450">
        <v>4.5</v>
      </c>
      <c r="R246" s="450">
        <v>0</v>
      </c>
      <c r="S246" s="450">
        <v>600</v>
      </c>
      <c r="T246" s="443">
        <v>1</v>
      </c>
    </row>
    <row r="247" spans="16:20" s="497" customFormat="1" ht="15">
      <c r="P247" s="447"/>
      <c r="Q247" s="450">
        <v>4.5</v>
      </c>
      <c r="R247" s="450">
        <v>0</v>
      </c>
      <c r="S247" s="450">
        <v>600.01</v>
      </c>
      <c r="T247" s="443">
        <v>0.97</v>
      </c>
    </row>
    <row r="248" spans="16:20" s="497" customFormat="1" ht="15">
      <c r="P248" s="447"/>
      <c r="Q248" s="450">
        <v>4.5</v>
      </c>
      <c r="R248" s="450">
        <v>0</v>
      </c>
      <c r="S248" s="450">
        <v>10000</v>
      </c>
      <c r="T248" s="443">
        <v>0.97</v>
      </c>
    </row>
    <row r="249" spans="16:20" s="497" customFormat="1" ht="15">
      <c r="P249" s="447"/>
      <c r="Q249" s="450">
        <v>4.5</v>
      </c>
      <c r="R249" s="450">
        <v>0.4</v>
      </c>
      <c r="S249" s="450">
        <v>0</v>
      </c>
      <c r="T249" s="443">
        <v>1</v>
      </c>
    </row>
    <row r="250" spans="16:20" s="497" customFormat="1" ht="15">
      <c r="P250" s="447"/>
      <c r="Q250" s="450">
        <v>4.5</v>
      </c>
      <c r="R250" s="450">
        <v>0.4</v>
      </c>
      <c r="S250" s="450">
        <v>300</v>
      </c>
      <c r="T250" s="443">
        <v>1</v>
      </c>
    </row>
    <row r="251" spans="16:20" s="497" customFormat="1" ht="15">
      <c r="P251" s="447"/>
      <c r="Q251" s="450">
        <v>4.5</v>
      </c>
      <c r="R251" s="450">
        <v>0.4</v>
      </c>
      <c r="S251" s="450">
        <v>300.01</v>
      </c>
      <c r="T251" s="443">
        <v>1</v>
      </c>
    </row>
    <row r="252" spans="16:20" s="497" customFormat="1" ht="15">
      <c r="P252" s="447"/>
      <c r="Q252" s="450">
        <v>4.5</v>
      </c>
      <c r="R252" s="450">
        <v>0.4</v>
      </c>
      <c r="S252" s="450">
        <v>600</v>
      </c>
      <c r="T252" s="443">
        <v>1</v>
      </c>
    </row>
    <row r="253" spans="16:20" s="497" customFormat="1" ht="15">
      <c r="P253" s="447"/>
      <c r="Q253" s="450">
        <v>4.5</v>
      </c>
      <c r="R253" s="450">
        <v>0.4</v>
      </c>
      <c r="S253" s="450">
        <v>600.01</v>
      </c>
      <c r="T253" s="443">
        <v>0.97</v>
      </c>
    </row>
    <row r="254" spans="16:20" s="497" customFormat="1" ht="15">
      <c r="P254" s="447"/>
      <c r="Q254" s="450">
        <v>4.5</v>
      </c>
      <c r="R254" s="450">
        <v>0.4</v>
      </c>
      <c r="S254" s="450">
        <v>10000</v>
      </c>
      <c r="T254" s="443">
        <v>0.97</v>
      </c>
    </row>
    <row r="255" spans="16:20" s="497" customFormat="1" ht="15">
      <c r="P255" s="447"/>
      <c r="Q255" s="450">
        <v>4.5</v>
      </c>
      <c r="R255" s="450">
        <v>0.8</v>
      </c>
      <c r="S255" s="450">
        <v>0</v>
      </c>
      <c r="T255" s="443">
        <v>1</v>
      </c>
    </row>
    <row r="256" spans="16:20" s="497" customFormat="1" ht="15">
      <c r="P256" s="447"/>
      <c r="Q256" s="450">
        <v>4.5</v>
      </c>
      <c r="R256" s="450">
        <v>0.8</v>
      </c>
      <c r="S256" s="450">
        <v>300</v>
      </c>
      <c r="T256" s="443">
        <v>1</v>
      </c>
    </row>
    <row r="257" spans="16:20" s="497" customFormat="1" ht="15">
      <c r="P257" s="447"/>
      <c r="Q257" s="450">
        <v>4.5</v>
      </c>
      <c r="R257" s="450">
        <v>0.8</v>
      </c>
      <c r="S257" s="450">
        <v>300.01</v>
      </c>
      <c r="T257" s="443">
        <v>1</v>
      </c>
    </row>
    <row r="258" spans="16:20" s="497" customFormat="1" ht="15">
      <c r="P258" s="447"/>
      <c r="Q258" s="450">
        <v>4.5</v>
      </c>
      <c r="R258" s="450">
        <v>0.8</v>
      </c>
      <c r="S258" s="450">
        <v>600</v>
      </c>
      <c r="T258" s="443">
        <v>1</v>
      </c>
    </row>
    <row r="259" spans="16:20" s="497" customFormat="1" ht="15">
      <c r="P259" s="447"/>
      <c r="Q259" s="450">
        <v>4.5</v>
      </c>
      <c r="R259" s="450">
        <v>0.8</v>
      </c>
      <c r="S259" s="450">
        <v>600.01</v>
      </c>
      <c r="T259" s="443">
        <v>1</v>
      </c>
    </row>
    <row r="260" spans="16:20" s="497" customFormat="1" ht="15">
      <c r="P260" s="447"/>
      <c r="Q260" s="450">
        <v>4.5</v>
      </c>
      <c r="R260" s="450">
        <v>0.8</v>
      </c>
      <c r="S260" s="450">
        <v>10000</v>
      </c>
      <c r="T260" s="443">
        <v>1</v>
      </c>
    </row>
    <row r="261" spans="16:20" s="497" customFormat="1" ht="15">
      <c r="P261" s="447"/>
      <c r="Q261" s="450">
        <v>4.5</v>
      </c>
      <c r="R261" s="450">
        <v>1.2</v>
      </c>
      <c r="S261" s="450">
        <v>0</v>
      </c>
      <c r="T261" s="443">
        <v>1</v>
      </c>
    </row>
    <row r="262" spans="16:20" s="497" customFormat="1" ht="15">
      <c r="P262" s="447"/>
      <c r="Q262" s="450">
        <v>4.5</v>
      </c>
      <c r="R262" s="450">
        <v>1.2</v>
      </c>
      <c r="S262" s="450">
        <v>300</v>
      </c>
      <c r="T262" s="443">
        <v>1</v>
      </c>
    </row>
    <row r="263" spans="16:20" s="497" customFormat="1" ht="15">
      <c r="P263" s="447"/>
      <c r="Q263" s="450">
        <v>4.5</v>
      </c>
      <c r="R263" s="450">
        <v>1.2</v>
      </c>
      <c r="S263" s="450">
        <v>300.01</v>
      </c>
      <c r="T263" s="443">
        <v>1</v>
      </c>
    </row>
    <row r="264" spans="16:20" s="497" customFormat="1" ht="15">
      <c r="P264" s="447"/>
      <c r="Q264" s="450">
        <v>4.5</v>
      </c>
      <c r="R264" s="450">
        <v>1.2</v>
      </c>
      <c r="S264" s="450">
        <v>600</v>
      </c>
      <c r="T264" s="443">
        <v>1</v>
      </c>
    </row>
    <row r="265" spans="16:20" s="497" customFormat="1" ht="15">
      <c r="P265" s="447"/>
      <c r="Q265" s="450">
        <v>4.5</v>
      </c>
      <c r="R265" s="450">
        <v>1.2</v>
      </c>
      <c r="S265" s="450">
        <v>600.01</v>
      </c>
      <c r="T265" s="443">
        <v>1</v>
      </c>
    </row>
    <row r="266" spans="16:20" s="497" customFormat="1" ht="15">
      <c r="P266" s="447"/>
      <c r="Q266" s="450">
        <v>4.5</v>
      </c>
      <c r="R266" s="450">
        <v>1.2</v>
      </c>
      <c r="S266" s="450">
        <v>10000</v>
      </c>
      <c r="T266" s="443">
        <v>1</v>
      </c>
    </row>
    <row r="267" spans="16:20" s="497" customFormat="1" ht="15">
      <c r="P267" s="447"/>
      <c r="Q267" s="450">
        <v>4.5</v>
      </c>
      <c r="R267" s="450">
        <v>1.6</v>
      </c>
      <c r="S267" s="450">
        <v>0</v>
      </c>
      <c r="T267" s="443">
        <v>1</v>
      </c>
    </row>
    <row r="268" spans="16:20" s="497" customFormat="1" ht="15">
      <c r="P268" s="447"/>
      <c r="Q268" s="450">
        <v>4.5</v>
      </c>
      <c r="R268" s="450">
        <v>1.6</v>
      </c>
      <c r="S268" s="450">
        <v>300</v>
      </c>
      <c r="T268" s="443">
        <v>1</v>
      </c>
    </row>
    <row r="269" spans="16:20" s="497" customFormat="1" ht="15">
      <c r="P269" s="447"/>
      <c r="Q269" s="450">
        <v>4.5</v>
      </c>
      <c r="R269" s="450">
        <v>1.6</v>
      </c>
      <c r="S269" s="450">
        <v>300.01</v>
      </c>
      <c r="T269" s="443">
        <v>1</v>
      </c>
    </row>
    <row r="270" spans="16:20" s="497" customFormat="1" ht="15">
      <c r="P270" s="447"/>
      <c r="Q270" s="450">
        <v>4.5</v>
      </c>
      <c r="R270" s="450">
        <v>1.6</v>
      </c>
      <c r="S270" s="450">
        <v>600</v>
      </c>
      <c r="T270" s="443">
        <v>1</v>
      </c>
    </row>
    <row r="271" spans="16:20" s="497" customFormat="1" ht="15">
      <c r="P271" s="447"/>
      <c r="Q271" s="450">
        <v>4.5</v>
      </c>
      <c r="R271" s="450">
        <v>1.6</v>
      </c>
      <c r="S271" s="450">
        <v>600.01</v>
      </c>
      <c r="T271" s="443">
        <v>1</v>
      </c>
    </row>
    <row r="272" spans="16:20" s="497" customFormat="1" ht="15">
      <c r="P272" s="447"/>
      <c r="Q272" s="450">
        <v>4.5</v>
      </c>
      <c r="R272" s="450">
        <v>1.6</v>
      </c>
      <c r="S272" s="450">
        <v>10000</v>
      </c>
      <c r="T272" s="443">
        <v>1</v>
      </c>
    </row>
    <row r="273" spans="16:20" s="497" customFormat="1" ht="15">
      <c r="P273" s="447"/>
      <c r="Q273" s="450">
        <v>4.5</v>
      </c>
      <c r="R273" s="450">
        <v>2.4</v>
      </c>
      <c r="S273" s="450">
        <v>0</v>
      </c>
      <c r="T273" s="443">
        <v>1</v>
      </c>
    </row>
    <row r="274" spans="16:20" s="497" customFormat="1" ht="15">
      <c r="P274" s="447"/>
      <c r="Q274" s="450">
        <v>4.5</v>
      </c>
      <c r="R274" s="450">
        <v>2.4</v>
      </c>
      <c r="S274" s="450">
        <v>300</v>
      </c>
      <c r="T274" s="443">
        <v>1</v>
      </c>
    </row>
    <row r="275" spans="16:20" s="497" customFormat="1" ht="15">
      <c r="P275" s="447"/>
      <c r="Q275" s="450">
        <v>4.5</v>
      </c>
      <c r="R275" s="450">
        <v>2.4</v>
      </c>
      <c r="S275" s="450">
        <v>300.01</v>
      </c>
      <c r="T275" s="443">
        <v>1</v>
      </c>
    </row>
    <row r="276" spans="16:20" s="497" customFormat="1" ht="15">
      <c r="P276" s="447"/>
      <c r="Q276" s="450">
        <v>4.5</v>
      </c>
      <c r="R276" s="450">
        <v>2.4</v>
      </c>
      <c r="S276" s="450">
        <v>600</v>
      </c>
      <c r="T276" s="443">
        <v>1</v>
      </c>
    </row>
    <row r="277" spans="16:20" s="497" customFormat="1" ht="15">
      <c r="P277" s="447"/>
      <c r="Q277" s="450">
        <v>4.5</v>
      </c>
      <c r="R277" s="450">
        <v>2.4</v>
      </c>
      <c r="S277" s="450">
        <v>600.01</v>
      </c>
      <c r="T277" s="443">
        <v>1</v>
      </c>
    </row>
    <row r="278" spans="16:20" s="497" customFormat="1" ht="15">
      <c r="P278" s="447"/>
      <c r="Q278" s="474">
        <v>4.5</v>
      </c>
      <c r="R278" s="474">
        <v>2.4</v>
      </c>
      <c r="S278" s="474">
        <v>10000</v>
      </c>
      <c r="T278" s="474">
        <v>1</v>
      </c>
    </row>
    <row r="279" spans="16:20" s="497" customFormat="1" ht="15">
      <c r="P279" s="447"/>
      <c r="Q279" s="474">
        <v>4.5</v>
      </c>
      <c r="R279" s="474">
        <v>3.2</v>
      </c>
      <c r="S279" s="474">
        <v>0</v>
      </c>
      <c r="T279" s="474">
        <v>1</v>
      </c>
    </row>
    <row r="280" spans="16:20" s="497" customFormat="1" ht="15">
      <c r="P280" s="447"/>
      <c r="Q280" s="474">
        <v>4.5</v>
      </c>
      <c r="R280" s="474">
        <v>3.2</v>
      </c>
      <c r="S280" s="474">
        <v>300</v>
      </c>
      <c r="T280" s="474">
        <v>1</v>
      </c>
    </row>
    <row r="281" spans="16:20" s="497" customFormat="1" ht="15">
      <c r="P281" s="447"/>
      <c r="Q281" s="474">
        <v>4.5</v>
      </c>
      <c r="R281" s="474">
        <v>3.2</v>
      </c>
      <c r="S281" s="474">
        <v>300.01</v>
      </c>
      <c r="T281" s="474">
        <v>1</v>
      </c>
    </row>
    <row r="282" spans="16:20" s="497" customFormat="1" ht="15">
      <c r="P282" s="447"/>
      <c r="Q282" s="474">
        <v>4.5</v>
      </c>
      <c r="R282" s="474">
        <v>3.2</v>
      </c>
      <c r="S282" s="474">
        <v>600</v>
      </c>
      <c r="T282" s="474">
        <v>1</v>
      </c>
    </row>
    <row r="283" spans="16:20" s="497" customFormat="1" ht="15">
      <c r="P283" s="447"/>
      <c r="Q283" s="474">
        <v>4.5</v>
      </c>
      <c r="R283" s="474">
        <v>3.2</v>
      </c>
      <c r="S283" s="474">
        <v>600.01</v>
      </c>
      <c r="T283" s="474">
        <v>1</v>
      </c>
    </row>
    <row r="284" spans="16:20" s="497" customFormat="1" ht="15">
      <c r="P284" s="447"/>
      <c r="Q284" s="474">
        <v>4.5</v>
      </c>
      <c r="R284" s="474">
        <v>3.2</v>
      </c>
      <c r="S284" s="474">
        <v>10000</v>
      </c>
      <c r="T284" s="474">
        <v>1</v>
      </c>
    </row>
    <row r="285" spans="16:20" s="497" customFormat="1" ht="15">
      <c r="P285" s="447"/>
      <c r="Q285" s="474">
        <v>4.5</v>
      </c>
      <c r="R285" s="474">
        <v>6.4</v>
      </c>
      <c r="S285" s="474">
        <v>0</v>
      </c>
      <c r="T285" s="474">
        <v>1</v>
      </c>
    </row>
    <row r="286" spans="16:20" s="497" customFormat="1" ht="15">
      <c r="P286" s="447"/>
      <c r="Q286" s="474">
        <v>4.5</v>
      </c>
      <c r="R286" s="474">
        <v>6.4</v>
      </c>
      <c r="S286" s="474">
        <v>300</v>
      </c>
      <c r="T286" s="474">
        <v>1</v>
      </c>
    </row>
    <row r="287" spans="16:20" s="497" customFormat="1" ht="15">
      <c r="P287" s="447"/>
      <c r="Q287" s="474">
        <v>4.5</v>
      </c>
      <c r="R287" s="474">
        <v>6.4</v>
      </c>
      <c r="S287" s="474">
        <v>300.01</v>
      </c>
      <c r="T287" s="474">
        <v>1</v>
      </c>
    </row>
    <row r="288" spans="16:20" s="497" customFormat="1" ht="15">
      <c r="P288" s="447"/>
      <c r="Q288" s="474">
        <v>4.5</v>
      </c>
      <c r="R288" s="474">
        <v>6.4</v>
      </c>
      <c r="S288" s="474">
        <v>600</v>
      </c>
      <c r="T288" s="474">
        <v>1</v>
      </c>
    </row>
    <row r="289" spans="16:20" s="497" customFormat="1" ht="15">
      <c r="P289" s="447"/>
      <c r="Q289" s="474">
        <v>4.5</v>
      </c>
      <c r="R289" s="474">
        <v>6.4</v>
      </c>
      <c r="S289" s="474">
        <v>600.01</v>
      </c>
      <c r="T289" s="474">
        <v>1</v>
      </c>
    </row>
    <row r="290" spans="16:20" s="497" customFormat="1" ht="15">
      <c r="P290" s="447"/>
      <c r="Q290" s="474">
        <v>4.5</v>
      </c>
      <c r="R290" s="474">
        <v>6.4</v>
      </c>
      <c r="S290" s="474">
        <v>10000</v>
      </c>
      <c r="T290" s="474">
        <v>1</v>
      </c>
    </row>
    <row r="291" spans="16:20" s="497" customFormat="1" ht="15">
      <c r="P291" s="447"/>
      <c r="Q291" s="474">
        <v>4.5</v>
      </c>
      <c r="R291" s="474">
        <v>1000</v>
      </c>
      <c r="S291" s="474">
        <v>0</v>
      </c>
      <c r="T291" s="474">
        <v>1</v>
      </c>
    </row>
    <row r="292" spans="16:20" s="497" customFormat="1" ht="15">
      <c r="P292" s="447"/>
      <c r="Q292" s="474">
        <v>4.5</v>
      </c>
      <c r="R292" s="474">
        <v>1000</v>
      </c>
      <c r="S292" s="474">
        <v>300</v>
      </c>
      <c r="T292" s="474">
        <v>1</v>
      </c>
    </row>
    <row r="293" spans="16:20" s="497" customFormat="1" ht="15">
      <c r="P293" s="447"/>
      <c r="Q293" s="474">
        <v>4.5</v>
      </c>
      <c r="R293" s="474">
        <v>1000</v>
      </c>
      <c r="S293" s="474">
        <v>300.01</v>
      </c>
      <c r="T293" s="474">
        <v>1</v>
      </c>
    </row>
    <row r="294" spans="16:20" s="497" customFormat="1" ht="15">
      <c r="P294" s="447"/>
      <c r="Q294" s="474">
        <v>4.5</v>
      </c>
      <c r="R294" s="474">
        <v>1000</v>
      </c>
      <c r="S294" s="474">
        <v>600</v>
      </c>
      <c r="T294" s="474">
        <v>1</v>
      </c>
    </row>
    <row r="295" spans="16:20" s="497" customFormat="1" ht="15">
      <c r="P295" s="447"/>
      <c r="Q295" s="474">
        <v>4.5</v>
      </c>
      <c r="R295" s="474">
        <v>1000</v>
      </c>
      <c r="S295" s="474">
        <v>600.01</v>
      </c>
      <c r="T295" s="474">
        <v>1</v>
      </c>
    </row>
    <row r="296" spans="16:20" s="497" customFormat="1" ht="15">
      <c r="P296" s="447"/>
      <c r="Q296" s="474">
        <v>4.5</v>
      </c>
      <c r="R296" s="474">
        <v>1000</v>
      </c>
      <c r="S296" s="474">
        <v>10000</v>
      </c>
      <c r="T296" s="474">
        <v>1</v>
      </c>
    </row>
    <row r="297" spans="16:20" s="497" customFormat="1" ht="15">
      <c r="P297" s="447"/>
      <c r="Q297" s="474">
        <v>5.49</v>
      </c>
      <c r="R297" s="474">
        <v>0</v>
      </c>
      <c r="S297" s="474">
        <v>0</v>
      </c>
      <c r="T297" s="474">
        <v>1</v>
      </c>
    </row>
    <row r="298" spans="16:20" s="497" customFormat="1" ht="15">
      <c r="P298" s="447"/>
      <c r="Q298" s="474">
        <v>5.49</v>
      </c>
      <c r="R298" s="474">
        <v>0</v>
      </c>
      <c r="S298" s="474">
        <v>300</v>
      </c>
      <c r="T298" s="474">
        <v>1</v>
      </c>
    </row>
    <row r="299" spans="16:20" s="497" customFormat="1" ht="15">
      <c r="P299" s="447"/>
      <c r="Q299" s="474">
        <v>5.49</v>
      </c>
      <c r="R299" s="474">
        <v>0</v>
      </c>
      <c r="S299" s="474">
        <v>300.01</v>
      </c>
      <c r="T299" s="474">
        <v>1</v>
      </c>
    </row>
    <row r="300" spans="16:20" s="497" customFormat="1" ht="15">
      <c r="P300" s="447"/>
      <c r="Q300" s="474">
        <v>5.49</v>
      </c>
      <c r="R300" s="474">
        <v>0</v>
      </c>
      <c r="S300" s="474">
        <v>600</v>
      </c>
      <c r="T300" s="474">
        <v>1</v>
      </c>
    </row>
    <row r="301" spans="16:20" s="497" customFormat="1" ht="15">
      <c r="P301" s="447"/>
      <c r="Q301" s="474">
        <v>5.49</v>
      </c>
      <c r="R301" s="474">
        <v>0</v>
      </c>
      <c r="S301" s="474">
        <v>600.01</v>
      </c>
      <c r="T301" s="474">
        <v>0.97</v>
      </c>
    </row>
    <row r="302" spans="16:20" s="497" customFormat="1" ht="15">
      <c r="P302" s="447"/>
      <c r="Q302" s="474">
        <v>5.49</v>
      </c>
      <c r="R302" s="474">
        <v>0</v>
      </c>
      <c r="S302" s="474">
        <v>10000</v>
      </c>
      <c r="T302" s="474">
        <v>0.97</v>
      </c>
    </row>
    <row r="303" spans="16:20" s="497" customFormat="1" ht="15">
      <c r="P303" s="447"/>
      <c r="Q303" s="474">
        <v>5.49</v>
      </c>
      <c r="R303" s="474">
        <v>0.4</v>
      </c>
      <c r="S303" s="474">
        <v>0</v>
      </c>
      <c r="T303" s="474">
        <v>1</v>
      </c>
    </row>
    <row r="304" spans="16:20" s="497" customFormat="1" ht="15">
      <c r="P304" s="447"/>
      <c r="Q304" s="474">
        <v>5.49</v>
      </c>
      <c r="R304" s="474">
        <v>0.4</v>
      </c>
      <c r="S304" s="474">
        <v>300</v>
      </c>
      <c r="T304" s="474">
        <v>1</v>
      </c>
    </row>
    <row r="305" spans="16:20" s="497" customFormat="1" ht="15">
      <c r="P305" s="447"/>
      <c r="Q305" s="474">
        <v>5.49</v>
      </c>
      <c r="R305" s="474">
        <v>0.4</v>
      </c>
      <c r="S305" s="474">
        <v>300.01</v>
      </c>
      <c r="T305" s="474">
        <v>1</v>
      </c>
    </row>
    <row r="306" spans="16:20" s="497" customFormat="1" ht="15">
      <c r="P306" s="447"/>
      <c r="Q306" s="474">
        <v>5.49</v>
      </c>
      <c r="R306" s="474">
        <v>0.4</v>
      </c>
      <c r="S306" s="474">
        <v>600</v>
      </c>
      <c r="T306" s="474">
        <v>1</v>
      </c>
    </row>
    <row r="307" spans="16:20" s="497" customFormat="1" ht="15">
      <c r="P307" s="447"/>
      <c r="Q307" s="474">
        <v>5.49</v>
      </c>
      <c r="R307" s="474">
        <v>0.4</v>
      </c>
      <c r="S307" s="474">
        <v>600.01</v>
      </c>
      <c r="T307" s="474">
        <v>0.97</v>
      </c>
    </row>
    <row r="308" spans="16:20" s="497" customFormat="1" ht="15">
      <c r="P308" s="447"/>
      <c r="Q308" s="474">
        <v>5.49</v>
      </c>
      <c r="R308" s="474">
        <v>0.4</v>
      </c>
      <c r="S308" s="474">
        <v>10000</v>
      </c>
      <c r="T308" s="474">
        <v>0.97</v>
      </c>
    </row>
    <row r="309" spans="16:20" s="497" customFormat="1" ht="15">
      <c r="P309" s="447"/>
      <c r="Q309" s="497">
        <v>5.49</v>
      </c>
      <c r="R309" s="497">
        <v>0.8</v>
      </c>
      <c r="S309" s="497">
        <v>0</v>
      </c>
      <c r="T309" s="497">
        <v>1</v>
      </c>
    </row>
    <row r="310" spans="16:20" s="497" customFormat="1" ht="15">
      <c r="P310" s="447"/>
      <c r="Q310" s="497">
        <v>5.49</v>
      </c>
      <c r="R310" s="497">
        <v>0.8</v>
      </c>
      <c r="S310" s="497">
        <v>300</v>
      </c>
      <c r="T310" s="497">
        <v>1</v>
      </c>
    </row>
    <row r="311" spans="16:20" s="497" customFormat="1" ht="15">
      <c r="P311" s="447"/>
      <c r="Q311" s="497">
        <v>5.49</v>
      </c>
      <c r="R311" s="497">
        <v>0.8</v>
      </c>
      <c r="S311" s="497">
        <v>300.01</v>
      </c>
      <c r="T311" s="497">
        <v>1</v>
      </c>
    </row>
    <row r="312" spans="16:20" s="497" customFormat="1" ht="15">
      <c r="P312" s="447"/>
      <c r="Q312" s="497">
        <v>5.49</v>
      </c>
      <c r="R312" s="497">
        <v>0.8</v>
      </c>
      <c r="S312" s="497">
        <v>600</v>
      </c>
      <c r="T312" s="497">
        <v>1</v>
      </c>
    </row>
    <row r="313" spans="16:20" s="497" customFormat="1" ht="15">
      <c r="P313" s="447"/>
      <c r="Q313" s="497">
        <v>5.49</v>
      </c>
      <c r="R313" s="497">
        <v>0.8</v>
      </c>
      <c r="S313" s="497">
        <v>600.01</v>
      </c>
      <c r="T313" s="497">
        <v>1</v>
      </c>
    </row>
    <row r="314" spans="16:20" s="497" customFormat="1" ht="15">
      <c r="P314" s="447"/>
      <c r="Q314" s="497">
        <v>5.49</v>
      </c>
      <c r="R314" s="497">
        <v>0.8</v>
      </c>
      <c r="S314" s="497">
        <v>10000</v>
      </c>
      <c r="T314" s="497">
        <v>1</v>
      </c>
    </row>
    <row r="315" spans="16:20" s="497" customFormat="1" ht="15">
      <c r="P315" s="447"/>
      <c r="Q315" s="497">
        <v>5.49</v>
      </c>
      <c r="R315" s="497">
        <v>1.2</v>
      </c>
      <c r="S315" s="497">
        <v>0</v>
      </c>
      <c r="T315" s="497">
        <v>1</v>
      </c>
    </row>
    <row r="316" spans="16:20" s="497" customFormat="1" ht="15">
      <c r="P316" s="447"/>
      <c r="Q316" s="497">
        <v>5.49</v>
      </c>
      <c r="R316" s="497">
        <v>1.2</v>
      </c>
      <c r="S316" s="497">
        <v>300</v>
      </c>
      <c r="T316" s="497">
        <v>1</v>
      </c>
    </row>
    <row r="317" spans="16:20" s="497" customFormat="1" ht="15">
      <c r="P317" s="447"/>
      <c r="Q317" s="497">
        <v>5.49</v>
      </c>
      <c r="R317" s="497">
        <v>1.2</v>
      </c>
      <c r="S317" s="497">
        <v>300.01</v>
      </c>
      <c r="T317" s="497">
        <v>1</v>
      </c>
    </row>
    <row r="318" spans="16:20" s="497" customFormat="1" ht="15">
      <c r="P318" s="447"/>
      <c r="Q318" s="497">
        <v>5.49</v>
      </c>
      <c r="R318" s="497">
        <v>1.2</v>
      </c>
      <c r="S318" s="497">
        <v>600</v>
      </c>
      <c r="T318" s="497">
        <v>1</v>
      </c>
    </row>
    <row r="319" spans="16:20" s="497" customFormat="1" ht="15">
      <c r="P319" s="447"/>
      <c r="Q319" s="497">
        <v>5.49</v>
      </c>
      <c r="R319" s="497">
        <v>1.2</v>
      </c>
      <c r="S319" s="497">
        <v>600.01</v>
      </c>
      <c r="T319" s="497">
        <v>1</v>
      </c>
    </row>
    <row r="320" spans="16:20" s="497" customFormat="1" ht="15">
      <c r="P320" s="447"/>
      <c r="Q320" s="497">
        <v>5.49</v>
      </c>
      <c r="R320" s="497">
        <v>1.2</v>
      </c>
      <c r="S320" s="497">
        <v>10000</v>
      </c>
      <c r="T320" s="497">
        <v>1</v>
      </c>
    </row>
    <row r="321" spans="16:20" ht="15">
      <c r="P321" s="447"/>
      <c r="Q321" s="497">
        <v>5.49</v>
      </c>
      <c r="R321" s="497">
        <v>1.6</v>
      </c>
      <c r="S321" s="497">
        <v>0</v>
      </c>
      <c r="T321" s="497">
        <v>1</v>
      </c>
    </row>
    <row r="322" spans="16:20" ht="15">
      <c r="P322" s="447"/>
      <c r="Q322" s="497">
        <v>5.49</v>
      </c>
      <c r="R322" s="497">
        <v>1.6</v>
      </c>
      <c r="S322" s="497">
        <v>300</v>
      </c>
      <c r="T322" s="497">
        <v>1</v>
      </c>
    </row>
    <row r="323" spans="16:20" ht="15">
      <c r="P323" s="447"/>
      <c r="Q323" s="497">
        <v>5.49</v>
      </c>
      <c r="R323" s="497">
        <v>1.6</v>
      </c>
      <c r="S323" s="497">
        <v>300.01</v>
      </c>
      <c r="T323" s="497">
        <v>1</v>
      </c>
    </row>
    <row r="324" spans="16:20" ht="15">
      <c r="P324" s="447"/>
      <c r="Q324" s="497">
        <v>5.49</v>
      </c>
      <c r="R324" s="497">
        <v>1.6</v>
      </c>
      <c r="S324" s="497">
        <v>600</v>
      </c>
      <c r="T324" s="497">
        <v>1</v>
      </c>
    </row>
    <row r="325" spans="16:20" ht="15">
      <c r="P325" s="447"/>
      <c r="Q325" s="497">
        <v>5.49</v>
      </c>
      <c r="R325" s="497">
        <v>1.6</v>
      </c>
      <c r="S325" s="497">
        <v>600.01</v>
      </c>
      <c r="T325" s="497">
        <v>1</v>
      </c>
    </row>
    <row r="326" spans="16:20" ht="15">
      <c r="P326" s="447"/>
      <c r="Q326" s="497">
        <v>5.49</v>
      </c>
      <c r="R326" s="497">
        <v>1.6</v>
      </c>
      <c r="S326" s="497">
        <v>10000</v>
      </c>
      <c r="T326" s="497">
        <v>1</v>
      </c>
    </row>
    <row r="327" spans="16:20" ht="15">
      <c r="P327" s="447"/>
      <c r="Q327" s="497">
        <v>5.49</v>
      </c>
      <c r="R327" s="497">
        <v>2.4</v>
      </c>
      <c r="S327" s="497">
        <v>0</v>
      </c>
      <c r="T327" s="497">
        <v>1</v>
      </c>
    </row>
    <row r="328" spans="16:20" ht="15">
      <c r="P328" s="447"/>
      <c r="Q328" s="497">
        <v>5.49</v>
      </c>
      <c r="R328" s="497">
        <v>2.4</v>
      </c>
      <c r="S328" s="497">
        <v>300</v>
      </c>
      <c r="T328" s="497">
        <v>1</v>
      </c>
    </row>
    <row r="329" spans="16:20" ht="15">
      <c r="P329" s="447"/>
      <c r="Q329" s="497">
        <v>5.49</v>
      </c>
      <c r="R329" s="497">
        <v>2.4</v>
      </c>
      <c r="S329" s="497">
        <v>300.01</v>
      </c>
      <c r="T329" s="497">
        <v>1</v>
      </c>
    </row>
    <row r="330" spans="16:20" ht="15">
      <c r="P330" s="447"/>
      <c r="Q330" s="497">
        <v>5.49</v>
      </c>
      <c r="R330" s="497">
        <v>2.4</v>
      </c>
      <c r="S330" s="497">
        <v>600</v>
      </c>
      <c r="T330" s="497">
        <v>1</v>
      </c>
    </row>
    <row r="331" spans="16:20" ht="15">
      <c r="P331" s="447"/>
      <c r="Q331" s="497">
        <v>5.49</v>
      </c>
      <c r="R331" s="497">
        <v>2.4</v>
      </c>
      <c r="S331" s="497">
        <v>600.01</v>
      </c>
      <c r="T331" s="497">
        <v>1</v>
      </c>
    </row>
    <row r="332" spans="16:20" ht="15">
      <c r="P332" s="447"/>
      <c r="Q332" s="497">
        <v>5.49</v>
      </c>
      <c r="R332" s="497">
        <v>2.4</v>
      </c>
      <c r="S332" s="497">
        <v>10000</v>
      </c>
      <c r="T332" s="497">
        <v>1</v>
      </c>
    </row>
    <row r="333" spans="16:20" ht="15">
      <c r="P333" s="447"/>
      <c r="Q333" s="497">
        <v>5.49</v>
      </c>
      <c r="R333" s="497">
        <v>3.2</v>
      </c>
      <c r="S333" s="497">
        <v>0</v>
      </c>
      <c r="T333" s="497">
        <v>1</v>
      </c>
    </row>
    <row r="334" spans="16:20" ht="15">
      <c r="P334" s="447"/>
      <c r="Q334" s="497">
        <v>5.49</v>
      </c>
      <c r="R334" s="497">
        <v>3.2</v>
      </c>
      <c r="S334" s="497">
        <v>300</v>
      </c>
      <c r="T334" s="497">
        <v>1</v>
      </c>
    </row>
    <row r="335" spans="16:20" ht="15">
      <c r="P335" s="447"/>
      <c r="Q335" s="497">
        <v>5.49</v>
      </c>
      <c r="R335" s="497">
        <v>3.2</v>
      </c>
      <c r="S335" s="497">
        <v>300.01</v>
      </c>
      <c r="T335" s="497">
        <v>1</v>
      </c>
    </row>
    <row r="336" spans="16:20" ht="15">
      <c r="P336" s="447"/>
      <c r="Q336" s="497">
        <v>5.49</v>
      </c>
      <c r="R336" s="497">
        <v>3.2</v>
      </c>
      <c r="S336" s="497">
        <v>600</v>
      </c>
      <c r="T336" s="497">
        <v>1</v>
      </c>
    </row>
    <row r="337" spans="16:20" ht="15">
      <c r="P337" s="447"/>
      <c r="Q337" s="497">
        <v>5.49</v>
      </c>
      <c r="R337" s="497">
        <v>3.2</v>
      </c>
      <c r="S337" s="497">
        <v>600.01</v>
      </c>
      <c r="T337" s="497">
        <v>1</v>
      </c>
    </row>
    <row r="338" spans="16:20" ht="15">
      <c r="P338" s="447"/>
      <c r="Q338" s="497">
        <v>5.49</v>
      </c>
      <c r="R338" s="497">
        <v>3.2</v>
      </c>
      <c r="S338" s="497">
        <v>10000</v>
      </c>
      <c r="T338" s="497">
        <v>1</v>
      </c>
    </row>
    <row r="339" spans="16:20" ht="15">
      <c r="P339" s="447"/>
      <c r="Q339" s="497">
        <v>5.49</v>
      </c>
      <c r="R339" s="497">
        <v>6.4</v>
      </c>
      <c r="S339" s="497">
        <v>0</v>
      </c>
      <c r="T339" s="497">
        <v>1</v>
      </c>
    </row>
    <row r="340" spans="16:20" ht="15">
      <c r="P340" s="447"/>
      <c r="Q340" s="497">
        <v>5.49</v>
      </c>
      <c r="R340" s="497">
        <v>6.4</v>
      </c>
      <c r="S340" s="497">
        <v>300</v>
      </c>
      <c r="T340" s="497">
        <v>1</v>
      </c>
    </row>
    <row r="341" spans="16:20" ht="15">
      <c r="P341" s="447"/>
      <c r="Q341" s="497">
        <v>5.49</v>
      </c>
      <c r="R341" s="497">
        <v>6.4</v>
      </c>
      <c r="S341" s="497">
        <v>300.01</v>
      </c>
      <c r="T341" s="497">
        <v>1</v>
      </c>
    </row>
    <row r="342" spans="16:20" ht="15">
      <c r="P342" s="447"/>
      <c r="Q342" s="497">
        <v>5.49</v>
      </c>
      <c r="R342" s="497">
        <v>6.4</v>
      </c>
      <c r="S342" s="497">
        <v>600</v>
      </c>
      <c r="T342" s="497">
        <v>1</v>
      </c>
    </row>
    <row r="343" spans="16:20" ht="15">
      <c r="P343" s="447"/>
      <c r="Q343" s="497">
        <v>5.49</v>
      </c>
      <c r="R343" s="497">
        <v>6.4</v>
      </c>
      <c r="S343" s="497">
        <v>600.01</v>
      </c>
      <c r="T343" s="497">
        <v>1</v>
      </c>
    </row>
    <row r="344" spans="16:20" ht="15">
      <c r="P344" s="447"/>
      <c r="Q344" s="497">
        <v>5.49</v>
      </c>
      <c r="R344" s="497">
        <v>6.4</v>
      </c>
      <c r="S344" s="497">
        <v>10000</v>
      </c>
      <c r="T344" s="497">
        <v>1</v>
      </c>
    </row>
    <row r="345" spans="16:20" ht="15">
      <c r="P345" s="447"/>
      <c r="Q345" s="497">
        <v>5.49</v>
      </c>
      <c r="R345" s="497">
        <v>1000</v>
      </c>
      <c r="S345" s="497">
        <v>0</v>
      </c>
      <c r="T345" s="497">
        <v>1</v>
      </c>
    </row>
    <row r="346" spans="16:20" ht="15">
      <c r="P346" s="447"/>
      <c r="Q346" s="497">
        <v>5.49</v>
      </c>
      <c r="R346" s="497">
        <v>1000</v>
      </c>
      <c r="S346" s="497">
        <v>300</v>
      </c>
      <c r="T346" s="497">
        <v>1</v>
      </c>
    </row>
    <row r="347" spans="16:20" ht="15">
      <c r="P347" s="447"/>
      <c r="Q347" s="497">
        <v>5.49</v>
      </c>
      <c r="R347" s="497">
        <v>1000</v>
      </c>
      <c r="S347" s="497">
        <v>300.01</v>
      </c>
      <c r="T347" s="497">
        <v>1</v>
      </c>
    </row>
    <row r="348" spans="16:20" ht="15">
      <c r="P348" s="447"/>
      <c r="Q348" s="497">
        <v>5.49</v>
      </c>
      <c r="R348" s="497">
        <v>1000</v>
      </c>
      <c r="S348" s="497">
        <v>600</v>
      </c>
      <c r="T348" s="497">
        <v>1</v>
      </c>
    </row>
    <row r="349" spans="16:20" ht="15">
      <c r="P349" s="447"/>
      <c r="Q349" s="497">
        <v>5.49</v>
      </c>
      <c r="R349" s="497">
        <v>1000</v>
      </c>
      <c r="S349" s="497">
        <v>600.01</v>
      </c>
      <c r="T349" s="497">
        <v>1</v>
      </c>
    </row>
    <row r="350" spans="16:20" ht="15">
      <c r="P350" s="447"/>
      <c r="Q350" s="497">
        <v>5.49</v>
      </c>
      <c r="R350" s="497">
        <v>1000</v>
      </c>
      <c r="S350" s="497">
        <v>10000</v>
      </c>
      <c r="T350" s="497">
        <v>1</v>
      </c>
    </row>
    <row r="351" spans="16:20" ht="15">
      <c r="P351" s="447"/>
      <c r="Q351" s="497">
        <v>5.5</v>
      </c>
      <c r="R351" s="497">
        <v>0</v>
      </c>
      <c r="S351" s="497">
        <v>0</v>
      </c>
      <c r="T351" s="497">
        <v>1</v>
      </c>
    </row>
    <row r="352" spans="16:20" ht="15">
      <c r="P352" s="447"/>
      <c r="Q352" s="497">
        <v>5.5</v>
      </c>
      <c r="R352" s="497">
        <v>0</v>
      </c>
      <c r="S352" s="497">
        <v>300</v>
      </c>
      <c r="T352" s="497">
        <v>1</v>
      </c>
    </row>
    <row r="353" spans="16:20" ht="15">
      <c r="P353" s="447"/>
      <c r="Q353" s="497">
        <v>5.5</v>
      </c>
      <c r="R353" s="497">
        <v>0</v>
      </c>
      <c r="S353" s="497">
        <v>300.01</v>
      </c>
      <c r="T353" s="497">
        <v>1</v>
      </c>
    </row>
    <row r="354" spans="16:20" ht="15">
      <c r="P354" s="447"/>
      <c r="Q354" s="497">
        <v>5.5</v>
      </c>
      <c r="R354" s="497">
        <v>0</v>
      </c>
      <c r="S354" s="497">
        <v>600</v>
      </c>
      <c r="T354" s="497">
        <v>1</v>
      </c>
    </row>
    <row r="355" spans="16:20" ht="15">
      <c r="P355" s="447"/>
      <c r="Q355" s="497">
        <v>5.5</v>
      </c>
      <c r="R355" s="497">
        <v>0</v>
      </c>
      <c r="S355" s="497">
        <v>600.01</v>
      </c>
      <c r="T355" s="497">
        <v>1</v>
      </c>
    </row>
    <row r="356" spans="16:20" ht="15">
      <c r="P356" s="447"/>
      <c r="Q356" s="497">
        <v>5.5</v>
      </c>
      <c r="R356" s="497">
        <v>0</v>
      </c>
      <c r="S356" s="497">
        <v>10000</v>
      </c>
      <c r="T356" s="497">
        <v>1</v>
      </c>
    </row>
    <row r="357" spans="16:20" ht="15">
      <c r="P357" s="447"/>
      <c r="Q357" s="497">
        <v>5.5</v>
      </c>
      <c r="R357" s="497">
        <v>0.4</v>
      </c>
      <c r="S357" s="497">
        <v>0</v>
      </c>
      <c r="T357" s="497">
        <v>1</v>
      </c>
    </row>
    <row r="358" spans="16:20" ht="15">
      <c r="P358" s="447"/>
      <c r="Q358" s="497">
        <v>5.5</v>
      </c>
      <c r="R358" s="497">
        <v>0.4</v>
      </c>
      <c r="S358" s="497">
        <v>300</v>
      </c>
      <c r="T358" s="497">
        <v>1</v>
      </c>
    </row>
    <row r="359" spans="16:20" ht="15">
      <c r="P359" s="447"/>
      <c r="Q359" s="497">
        <v>5.5</v>
      </c>
      <c r="R359" s="497">
        <v>0.4</v>
      </c>
      <c r="S359" s="497">
        <v>300.01</v>
      </c>
      <c r="T359" s="497">
        <v>1</v>
      </c>
    </row>
    <row r="360" spans="16:20" ht="15">
      <c r="P360" s="447"/>
      <c r="Q360" s="497">
        <v>5.5</v>
      </c>
      <c r="R360" s="497">
        <v>0.4</v>
      </c>
      <c r="S360" s="497">
        <v>600</v>
      </c>
      <c r="T360" s="497">
        <v>1</v>
      </c>
    </row>
    <row r="361" spans="16:20" ht="15">
      <c r="P361" s="447"/>
      <c r="Q361" s="497">
        <v>5.5</v>
      </c>
      <c r="R361" s="497">
        <v>0.4</v>
      </c>
      <c r="S361" s="497">
        <v>600.01</v>
      </c>
      <c r="T361" s="497">
        <v>1</v>
      </c>
    </row>
    <row r="362" spans="16:20" ht="15">
      <c r="P362" s="447"/>
      <c r="Q362" s="497">
        <v>5.5</v>
      </c>
      <c r="R362" s="497">
        <v>0.4</v>
      </c>
      <c r="S362" s="497">
        <v>10000</v>
      </c>
      <c r="T362" s="497">
        <v>1</v>
      </c>
    </row>
    <row r="363" spans="16:20" ht="15">
      <c r="P363" s="447"/>
      <c r="Q363" s="497">
        <v>5.5</v>
      </c>
      <c r="R363" s="497">
        <v>0.8</v>
      </c>
      <c r="S363" s="497">
        <v>0</v>
      </c>
      <c r="T363" s="497">
        <v>1</v>
      </c>
    </row>
    <row r="364" spans="16:20" ht="15">
      <c r="P364" s="447"/>
      <c r="Q364" s="497">
        <v>5.5</v>
      </c>
      <c r="R364" s="497">
        <v>0.8</v>
      </c>
      <c r="S364" s="497">
        <v>300</v>
      </c>
      <c r="T364" s="497">
        <v>1</v>
      </c>
    </row>
    <row r="365" spans="16:20" ht="15">
      <c r="P365" s="447"/>
      <c r="Q365" s="497">
        <v>5.5</v>
      </c>
      <c r="R365" s="497">
        <v>0.8</v>
      </c>
      <c r="S365" s="497">
        <v>300.01</v>
      </c>
      <c r="T365" s="497">
        <v>1</v>
      </c>
    </row>
    <row r="366" spans="16:20" ht="15">
      <c r="P366" s="447"/>
      <c r="Q366" s="497">
        <v>5.5</v>
      </c>
      <c r="R366" s="497">
        <v>0.8</v>
      </c>
      <c r="S366" s="497">
        <v>600</v>
      </c>
      <c r="T366" s="497">
        <v>1</v>
      </c>
    </row>
    <row r="367" spans="16:20" ht="15">
      <c r="P367" s="447"/>
      <c r="Q367" s="497">
        <v>5.5</v>
      </c>
      <c r="R367" s="497">
        <v>0.8</v>
      </c>
      <c r="S367" s="497">
        <v>600.01</v>
      </c>
      <c r="T367" s="497">
        <v>1</v>
      </c>
    </row>
    <row r="368" spans="16:20" ht="15">
      <c r="P368" s="447"/>
      <c r="Q368" s="497">
        <v>5.5</v>
      </c>
      <c r="R368" s="497">
        <v>0.8</v>
      </c>
      <c r="S368" s="497">
        <v>10000</v>
      </c>
      <c r="T368" s="497">
        <v>1</v>
      </c>
    </row>
    <row r="369" spans="16:20" ht="15">
      <c r="P369" s="447"/>
      <c r="Q369" s="497">
        <v>5.5</v>
      </c>
      <c r="R369" s="497">
        <v>1.2</v>
      </c>
      <c r="S369" s="497">
        <v>0</v>
      </c>
      <c r="T369" s="497">
        <v>1</v>
      </c>
    </row>
    <row r="370" spans="16:20" ht="15">
      <c r="P370" s="447"/>
      <c r="Q370" s="497">
        <v>5.5</v>
      </c>
      <c r="R370" s="497">
        <v>1.2</v>
      </c>
      <c r="S370" s="497">
        <v>300</v>
      </c>
      <c r="T370" s="497">
        <v>1</v>
      </c>
    </row>
    <row r="371" spans="16:20" ht="15">
      <c r="P371" s="447"/>
      <c r="Q371" s="497">
        <v>5.5</v>
      </c>
      <c r="R371" s="497">
        <v>1.2</v>
      </c>
      <c r="S371" s="497">
        <v>300.01</v>
      </c>
      <c r="T371" s="497">
        <v>1</v>
      </c>
    </row>
    <row r="372" spans="16:20" ht="15">
      <c r="P372" s="447"/>
      <c r="Q372" s="497">
        <v>5.5</v>
      </c>
      <c r="R372" s="497">
        <v>1.2</v>
      </c>
      <c r="S372" s="497">
        <v>600</v>
      </c>
      <c r="T372" s="497">
        <v>1</v>
      </c>
    </row>
    <row r="373" spans="16:20" ht="15">
      <c r="P373" s="447"/>
      <c r="Q373" s="497">
        <v>5.5</v>
      </c>
      <c r="R373" s="497">
        <v>1.2</v>
      </c>
      <c r="S373" s="497">
        <v>600.01</v>
      </c>
      <c r="T373" s="497">
        <v>1</v>
      </c>
    </row>
    <row r="374" spans="16:20" ht="15">
      <c r="P374" s="447"/>
      <c r="Q374" s="497">
        <v>5.5</v>
      </c>
      <c r="R374" s="497">
        <v>1.2</v>
      </c>
      <c r="S374" s="497">
        <v>10000</v>
      </c>
      <c r="T374" s="497">
        <v>1</v>
      </c>
    </row>
    <row r="375" spans="16:20" ht="15">
      <c r="P375" s="447"/>
      <c r="Q375" s="497">
        <v>5.5</v>
      </c>
      <c r="R375" s="497">
        <v>1.6</v>
      </c>
      <c r="S375" s="497">
        <v>0</v>
      </c>
      <c r="T375" s="497">
        <v>1</v>
      </c>
    </row>
    <row r="376" spans="16:20" ht="15">
      <c r="P376" s="447"/>
      <c r="Q376" s="497">
        <v>5.5</v>
      </c>
      <c r="R376" s="497">
        <v>1.6</v>
      </c>
      <c r="S376" s="497">
        <v>300</v>
      </c>
      <c r="T376" s="497">
        <v>1</v>
      </c>
    </row>
    <row r="377" spans="16:20" ht="15">
      <c r="P377" s="447"/>
      <c r="Q377" s="497">
        <v>5.5</v>
      </c>
      <c r="R377" s="497">
        <v>1.6</v>
      </c>
      <c r="S377" s="497">
        <v>300.01</v>
      </c>
      <c r="T377" s="497">
        <v>1</v>
      </c>
    </row>
    <row r="378" spans="16:20" ht="15">
      <c r="P378" s="447"/>
      <c r="Q378" s="497">
        <v>5.5</v>
      </c>
      <c r="R378" s="497">
        <v>1.6</v>
      </c>
      <c r="S378" s="497">
        <v>600</v>
      </c>
      <c r="T378" s="497">
        <v>1</v>
      </c>
    </row>
    <row r="379" spans="16:20" ht="15">
      <c r="P379" s="447"/>
      <c r="Q379" s="497">
        <v>5.5</v>
      </c>
      <c r="R379" s="497">
        <v>1.6</v>
      </c>
      <c r="S379" s="497">
        <v>600.01</v>
      </c>
      <c r="T379" s="497">
        <v>1</v>
      </c>
    </row>
    <row r="380" spans="16:20" ht="15">
      <c r="P380" s="447"/>
      <c r="Q380" s="497">
        <v>5.5</v>
      </c>
      <c r="R380" s="497">
        <v>1.6</v>
      </c>
      <c r="S380" s="497">
        <v>10000</v>
      </c>
      <c r="T380" s="497">
        <v>1</v>
      </c>
    </row>
    <row r="381" spans="16:20" ht="15">
      <c r="P381" s="447"/>
      <c r="Q381" s="497">
        <v>5.5</v>
      </c>
      <c r="R381" s="497">
        <v>2.4</v>
      </c>
      <c r="S381" s="497">
        <v>0</v>
      </c>
      <c r="T381" s="497">
        <v>1</v>
      </c>
    </row>
    <row r="382" spans="16:20" ht="15">
      <c r="P382" s="447"/>
      <c r="Q382" s="497">
        <v>5.5</v>
      </c>
      <c r="R382" s="497">
        <v>2.4</v>
      </c>
      <c r="S382" s="497">
        <v>300</v>
      </c>
      <c r="T382" s="497">
        <v>1</v>
      </c>
    </row>
    <row r="383" spans="16:20" ht="15">
      <c r="P383" s="447"/>
      <c r="Q383" s="497">
        <v>5.5</v>
      </c>
      <c r="R383" s="497">
        <v>2.4</v>
      </c>
      <c r="S383" s="497">
        <v>300.01</v>
      </c>
      <c r="T383" s="497">
        <v>1</v>
      </c>
    </row>
    <row r="384" spans="16:20" ht="15">
      <c r="P384" s="447"/>
      <c r="Q384" s="497">
        <v>5.5</v>
      </c>
      <c r="R384" s="497">
        <v>2.4</v>
      </c>
      <c r="S384" s="497">
        <v>600</v>
      </c>
      <c r="T384" s="497">
        <v>1</v>
      </c>
    </row>
    <row r="385" spans="16:20" ht="15">
      <c r="P385" s="447"/>
      <c r="Q385" s="497">
        <v>5.5</v>
      </c>
      <c r="R385" s="497">
        <v>2.4</v>
      </c>
      <c r="S385" s="497">
        <v>600.01</v>
      </c>
      <c r="T385" s="497">
        <v>1</v>
      </c>
    </row>
    <row r="386" spans="16:20" ht="15">
      <c r="P386" s="447"/>
      <c r="Q386" s="497">
        <v>5.5</v>
      </c>
      <c r="R386" s="497">
        <v>2.4</v>
      </c>
      <c r="S386" s="497">
        <v>10000</v>
      </c>
      <c r="T386" s="497">
        <v>1</v>
      </c>
    </row>
    <row r="387" spans="16:20" ht="15">
      <c r="P387" s="447"/>
      <c r="Q387" s="497">
        <v>5.5</v>
      </c>
      <c r="R387" s="497">
        <v>3.2</v>
      </c>
      <c r="S387" s="497">
        <v>0</v>
      </c>
      <c r="T387" s="497">
        <v>1</v>
      </c>
    </row>
    <row r="388" spans="16:20" ht="15">
      <c r="P388" s="447"/>
      <c r="Q388" s="497">
        <v>5.5</v>
      </c>
      <c r="R388" s="497">
        <v>3.2</v>
      </c>
      <c r="S388" s="497">
        <v>300</v>
      </c>
      <c r="T388" s="497">
        <v>1</v>
      </c>
    </row>
    <row r="389" spans="16:20" ht="15">
      <c r="P389" s="447"/>
      <c r="Q389" s="497">
        <v>5.5</v>
      </c>
      <c r="R389" s="497">
        <v>3.2</v>
      </c>
      <c r="S389" s="497">
        <v>300.01</v>
      </c>
      <c r="T389" s="497">
        <v>1</v>
      </c>
    </row>
    <row r="390" spans="16:20" ht="15">
      <c r="P390" s="447"/>
      <c r="Q390" s="497">
        <v>5.5</v>
      </c>
      <c r="R390" s="497">
        <v>3.2</v>
      </c>
      <c r="S390" s="497">
        <v>600</v>
      </c>
      <c r="T390" s="497">
        <v>1</v>
      </c>
    </row>
    <row r="391" spans="16:20" ht="15">
      <c r="P391" s="447"/>
      <c r="Q391" s="497">
        <v>5.5</v>
      </c>
      <c r="R391" s="497">
        <v>3.2</v>
      </c>
      <c r="S391" s="497">
        <v>600.01</v>
      </c>
      <c r="T391" s="497">
        <v>1</v>
      </c>
    </row>
    <row r="392" spans="16:20" ht="15">
      <c r="P392" s="447"/>
      <c r="Q392" s="497">
        <v>5.5</v>
      </c>
      <c r="R392" s="497">
        <v>3.2</v>
      </c>
      <c r="S392" s="497">
        <v>10000</v>
      </c>
      <c r="T392" s="497">
        <v>1</v>
      </c>
    </row>
    <row r="393" spans="16:20" ht="15">
      <c r="P393" s="447"/>
      <c r="Q393" s="497">
        <v>5.5</v>
      </c>
      <c r="R393" s="497">
        <v>4.8</v>
      </c>
      <c r="S393" s="497">
        <v>0</v>
      </c>
      <c r="T393" s="497">
        <v>1</v>
      </c>
    </row>
    <row r="394" spans="16:20" ht="15">
      <c r="P394" s="447"/>
      <c r="Q394" s="497">
        <v>5.5</v>
      </c>
      <c r="R394" s="497">
        <v>4.8</v>
      </c>
      <c r="S394" s="497">
        <v>300</v>
      </c>
      <c r="T394" s="497">
        <v>1</v>
      </c>
    </row>
    <row r="395" spans="16:20" ht="15">
      <c r="P395" s="447"/>
      <c r="Q395" s="497">
        <v>5.5</v>
      </c>
      <c r="R395" s="497">
        <v>4.8</v>
      </c>
      <c r="S395" s="497">
        <v>300.01</v>
      </c>
      <c r="T395" s="497">
        <v>1</v>
      </c>
    </row>
    <row r="396" spans="16:20" ht="15">
      <c r="P396" s="447"/>
      <c r="Q396" s="497">
        <v>5.5</v>
      </c>
      <c r="R396" s="497">
        <v>4.8</v>
      </c>
      <c r="S396" s="497">
        <v>600</v>
      </c>
      <c r="T396" s="497">
        <v>1</v>
      </c>
    </row>
    <row r="397" spans="16:20" ht="15">
      <c r="P397" s="447"/>
      <c r="Q397" s="497">
        <v>5.5</v>
      </c>
      <c r="R397" s="497">
        <v>4.8</v>
      </c>
      <c r="S397" s="497">
        <v>600.01</v>
      </c>
      <c r="T397" s="497">
        <v>1</v>
      </c>
    </row>
    <row r="398" spans="16:20" ht="15">
      <c r="P398" s="447"/>
      <c r="Q398" s="497">
        <v>5.5</v>
      </c>
      <c r="R398" s="497">
        <v>4.8</v>
      </c>
      <c r="S398" s="497">
        <v>10000</v>
      </c>
      <c r="T398" s="497">
        <v>1</v>
      </c>
    </row>
    <row r="399" spans="16:20" ht="15">
      <c r="P399" s="447"/>
      <c r="Q399" s="497">
        <v>5.5</v>
      </c>
      <c r="R399" s="497">
        <v>6.4</v>
      </c>
      <c r="S399" s="497">
        <v>0</v>
      </c>
      <c r="T399" s="497">
        <v>1</v>
      </c>
    </row>
    <row r="400" spans="16:20" ht="15">
      <c r="P400" s="447"/>
      <c r="Q400" s="497">
        <v>5.5</v>
      </c>
      <c r="R400" s="497">
        <v>6.4</v>
      </c>
      <c r="S400" s="497">
        <v>300</v>
      </c>
      <c r="T400" s="497">
        <v>1</v>
      </c>
    </row>
    <row r="401" spans="16:20" ht="15">
      <c r="P401" s="447"/>
      <c r="Q401" s="497">
        <v>5.5</v>
      </c>
      <c r="R401" s="497">
        <v>6.4</v>
      </c>
      <c r="S401" s="497">
        <v>300.01</v>
      </c>
      <c r="T401" s="497">
        <v>1</v>
      </c>
    </row>
    <row r="402" spans="16:20" ht="15">
      <c r="P402" s="447"/>
      <c r="Q402" s="497">
        <v>5.5</v>
      </c>
      <c r="R402" s="497">
        <v>6.4</v>
      </c>
      <c r="S402" s="497">
        <v>600</v>
      </c>
      <c r="T402" s="497">
        <v>1</v>
      </c>
    </row>
    <row r="403" spans="16:20" ht="15">
      <c r="P403" s="447"/>
      <c r="Q403" s="497">
        <v>5.5</v>
      </c>
      <c r="R403" s="497">
        <v>6.4</v>
      </c>
      <c r="S403" s="497">
        <v>600.01</v>
      </c>
      <c r="T403" s="497">
        <v>1</v>
      </c>
    </row>
    <row r="404" spans="16:20" ht="15">
      <c r="P404" s="447"/>
      <c r="Q404" s="497">
        <v>5.5</v>
      </c>
      <c r="R404" s="497">
        <v>6.4</v>
      </c>
      <c r="S404" s="497">
        <v>10000</v>
      </c>
      <c r="T404" s="497">
        <v>1</v>
      </c>
    </row>
    <row r="405" spans="16:20" ht="15">
      <c r="P405" s="447"/>
      <c r="Q405" s="497">
        <v>5.5</v>
      </c>
      <c r="R405" s="497">
        <v>1000</v>
      </c>
      <c r="S405" s="497">
        <v>0</v>
      </c>
      <c r="T405" s="497">
        <v>1</v>
      </c>
    </row>
    <row r="406" spans="16:20" ht="15">
      <c r="P406" s="447"/>
      <c r="Q406" s="497">
        <v>5.5</v>
      </c>
      <c r="R406" s="497">
        <v>1000</v>
      </c>
      <c r="S406" s="497">
        <v>300</v>
      </c>
      <c r="T406" s="497">
        <v>1</v>
      </c>
    </row>
    <row r="407" spans="16:20" ht="15">
      <c r="P407" s="447"/>
      <c r="Q407" s="497">
        <v>5.5</v>
      </c>
      <c r="R407" s="497">
        <v>1000</v>
      </c>
      <c r="S407" s="497">
        <v>300.01</v>
      </c>
      <c r="T407" s="497">
        <v>1</v>
      </c>
    </row>
    <row r="408" spans="16:20" ht="15">
      <c r="P408" s="447"/>
      <c r="Q408" s="497">
        <v>5.5</v>
      </c>
      <c r="R408" s="497">
        <v>1000</v>
      </c>
      <c r="S408" s="497">
        <v>600</v>
      </c>
      <c r="T408" s="497">
        <v>1</v>
      </c>
    </row>
    <row r="409" spans="16:20" ht="15">
      <c r="P409" s="447"/>
      <c r="Q409" s="497">
        <v>5.5</v>
      </c>
      <c r="R409" s="497">
        <v>1000</v>
      </c>
      <c r="S409" s="497">
        <v>600.01</v>
      </c>
      <c r="T409" s="497">
        <v>1</v>
      </c>
    </row>
    <row r="410" spans="16:20" ht="15">
      <c r="P410" s="447"/>
      <c r="Q410" s="497">
        <v>5.5</v>
      </c>
      <c r="R410" s="497">
        <v>1000</v>
      </c>
      <c r="S410" s="497">
        <v>10000</v>
      </c>
      <c r="T410" s="497">
        <v>1</v>
      </c>
    </row>
    <row r="411" spans="16:20" ht="15">
      <c r="P411" s="447"/>
      <c r="Q411" s="497">
        <v>6.49</v>
      </c>
      <c r="R411" s="497">
        <v>0</v>
      </c>
      <c r="S411" s="497">
        <v>0</v>
      </c>
      <c r="T411" s="497">
        <v>1</v>
      </c>
    </row>
    <row r="412" spans="16:20" ht="15">
      <c r="P412" s="447"/>
      <c r="Q412" s="497">
        <v>6.49</v>
      </c>
      <c r="R412" s="497">
        <v>0</v>
      </c>
      <c r="S412" s="497">
        <v>300</v>
      </c>
      <c r="T412" s="497">
        <v>1</v>
      </c>
    </row>
    <row r="413" spans="16:20" ht="15">
      <c r="P413" s="447"/>
      <c r="Q413" s="497">
        <v>6.49</v>
      </c>
      <c r="R413" s="497">
        <v>0</v>
      </c>
      <c r="S413" s="497">
        <v>300.01</v>
      </c>
      <c r="T413" s="497">
        <v>1</v>
      </c>
    </row>
    <row r="414" spans="16:20" ht="15">
      <c r="P414" s="447"/>
      <c r="Q414" s="497">
        <v>6.49</v>
      </c>
      <c r="R414" s="497">
        <v>0</v>
      </c>
      <c r="S414" s="497">
        <v>600</v>
      </c>
      <c r="T414" s="497">
        <v>1</v>
      </c>
    </row>
    <row r="415" spans="16:20" ht="15">
      <c r="P415" s="447"/>
      <c r="Q415" s="497">
        <v>6.49</v>
      </c>
      <c r="R415" s="497">
        <v>0</v>
      </c>
      <c r="S415" s="497">
        <v>600.01</v>
      </c>
      <c r="T415" s="497">
        <v>1</v>
      </c>
    </row>
    <row r="416" spans="16:20" ht="15">
      <c r="P416" s="447"/>
      <c r="Q416" s="497">
        <v>6.49</v>
      </c>
      <c r="R416" s="497">
        <v>0</v>
      </c>
      <c r="S416" s="497">
        <v>10000</v>
      </c>
      <c r="T416" s="497">
        <v>1</v>
      </c>
    </row>
    <row r="417" spans="16:20" ht="15">
      <c r="P417" s="447"/>
      <c r="Q417" s="497">
        <v>6.49</v>
      </c>
      <c r="R417" s="497">
        <v>0.4</v>
      </c>
      <c r="S417" s="497">
        <v>0</v>
      </c>
      <c r="T417" s="497">
        <v>1</v>
      </c>
    </row>
    <row r="418" spans="16:20" ht="15">
      <c r="P418" s="447"/>
      <c r="Q418" s="497">
        <v>6.49</v>
      </c>
      <c r="R418" s="497">
        <v>0.4</v>
      </c>
      <c r="S418" s="497">
        <v>300</v>
      </c>
      <c r="T418" s="497">
        <v>1</v>
      </c>
    </row>
    <row r="419" spans="16:20" ht="15">
      <c r="P419" s="447"/>
      <c r="Q419" s="497">
        <v>6.49</v>
      </c>
      <c r="R419" s="497">
        <v>0.4</v>
      </c>
      <c r="S419" s="497">
        <v>300.01</v>
      </c>
      <c r="T419" s="497">
        <v>1</v>
      </c>
    </row>
    <row r="420" spans="16:20" ht="15">
      <c r="P420" s="447"/>
      <c r="Q420" s="497">
        <v>6.49</v>
      </c>
      <c r="R420" s="497">
        <v>0.4</v>
      </c>
      <c r="S420" s="497">
        <v>600</v>
      </c>
      <c r="T420" s="497">
        <v>1</v>
      </c>
    </row>
    <row r="421" spans="16:20" ht="15">
      <c r="P421" s="447"/>
      <c r="Q421" s="497">
        <v>6.49</v>
      </c>
      <c r="R421" s="497">
        <v>0.4</v>
      </c>
      <c r="S421" s="497">
        <v>600.01</v>
      </c>
      <c r="T421" s="497">
        <v>1</v>
      </c>
    </row>
    <row r="422" spans="16:20" ht="15">
      <c r="P422" s="447"/>
      <c r="Q422" s="497">
        <v>6.49</v>
      </c>
      <c r="R422" s="497">
        <v>0.4</v>
      </c>
      <c r="S422" s="497">
        <v>10000</v>
      </c>
      <c r="T422" s="497">
        <v>1</v>
      </c>
    </row>
    <row r="423" spans="16:20" ht="15">
      <c r="P423" s="447"/>
      <c r="Q423" s="497">
        <v>6.49</v>
      </c>
      <c r="R423" s="497">
        <v>0.8</v>
      </c>
      <c r="S423" s="497">
        <v>0</v>
      </c>
      <c r="T423" s="497">
        <v>1</v>
      </c>
    </row>
    <row r="424" spans="16:20" ht="15">
      <c r="P424" s="447"/>
      <c r="Q424" s="497">
        <v>6.49</v>
      </c>
      <c r="R424" s="497">
        <v>0.8</v>
      </c>
      <c r="S424" s="497">
        <v>300</v>
      </c>
      <c r="T424" s="497">
        <v>1</v>
      </c>
    </row>
    <row r="425" spans="16:20" ht="15">
      <c r="P425" s="447"/>
      <c r="Q425" s="497">
        <v>6.49</v>
      </c>
      <c r="R425" s="497">
        <v>0.8</v>
      </c>
      <c r="S425" s="497">
        <v>300.01</v>
      </c>
      <c r="T425" s="497">
        <v>1</v>
      </c>
    </row>
    <row r="426" spans="16:20" ht="15">
      <c r="P426" s="447"/>
      <c r="Q426" s="497">
        <v>6.49</v>
      </c>
      <c r="R426" s="497">
        <v>0.8</v>
      </c>
      <c r="S426" s="497">
        <v>600</v>
      </c>
      <c r="T426" s="497">
        <v>1</v>
      </c>
    </row>
    <row r="427" spans="16:20" ht="15">
      <c r="P427" s="447"/>
      <c r="Q427" s="497">
        <v>6.49</v>
      </c>
      <c r="R427" s="497">
        <v>0.8</v>
      </c>
      <c r="S427" s="497">
        <v>600.01</v>
      </c>
      <c r="T427" s="497">
        <v>1</v>
      </c>
    </row>
    <row r="428" spans="16:20" ht="15">
      <c r="P428" s="447"/>
      <c r="Q428" s="497">
        <v>6.49</v>
      </c>
      <c r="R428" s="497">
        <v>0.8</v>
      </c>
      <c r="S428" s="497">
        <v>10000</v>
      </c>
      <c r="T428" s="497">
        <v>1</v>
      </c>
    </row>
    <row r="429" spans="16:20" ht="15">
      <c r="P429" s="447"/>
      <c r="Q429" s="497">
        <v>6.49</v>
      </c>
      <c r="R429" s="497">
        <v>1.2</v>
      </c>
      <c r="S429" s="497">
        <v>0</v>
      </c>
      <c r="T429" s="497">
        <v>1</v>
      </c>
    </row>
    <row r="430" spans="16:20" ht="15">
      <c r="P430" s="447"/>
      <c r="Q430" s="497">
        <v>6.49</v>
      </c>
      <c r="R430" s="497">
        <v>1.2</v>
      </c>
      <c r="S430" s="497">
        <v>300</v>
      </c>
      <c r="T430" s="497">
        <v>1</v>
      </c>
    </row>
    <row r="431" spans="16:20" ht="15">
      <c r="P431" s="447"/>
      <c r="Q431" s="497">
        <v>6.49</v>
      </c>
      <c r="R431" s="497">
        <v>1.2</v>
      </c>
      <c r="S431" s="497">
        <v>300.01</v>
      </c>
      <c r="T431" s="497">
        <v>1</v>
      </c>
    </row>
    <row r="432" spans="16:20" ht="15">
      <c r="P432" s="447"/>
      <c r="Q432" s="497">
        <v>6.49</v>
      </c>
      <c r="R432" s="497">
        <v>1.2</v>
      </c>
      <c r="S432" s="497">
        <v>600</v>
      </c>
      <c r="T432" s="497">
        <v>1</v>
      </c>
    </row>
    <row r="433" spans="16:20" ht="15">
      <c r="P433" s="447"/>
      <c r="Q433" s="497">
        <v>6.49</v>
      </c>
      <c r="R433" s="497">
        <v>1.2</v>
      </c>
      <c r="S433" s="497">
        <v>600.01</v>
      </c>
      <c r="T433" s="497">
        <v>1</v>
      </c>
    </row>
    <row r="434" spans="16:20" ht="15">
      <c r="P434" s="447"/>
      <c r="Q434" s="497">
        <v>6.49</v>
      </c>
      <c r="R434" s="497">
        <v>1.2</v>
      </c>
      <c r="S434" s="497">
        <v>10000</v>
      </c>
      <c r="T434" s="497">
        <v>1</v>
      </c>
    </row>
    <row r="435" spans="16:20" ht="15">
      <c r="P435" s="447"/>
      <c r="Q435" s="497">
        <v>6.49</v>
      </c>
      <c r="R435" s="497">
        <v>1.6</v>
      </c>
      <c r="S435" s="497">
        <v>0</v>
      </c>
      <c r="T435" s="497">
        <v>1</v>
      </c>
    </row>
    <row r="436" spans="16:20" ht="15">
      <c r="P436" s="447"/>
      <c r="Q436" s="497">
        <v>6.49</v>
      </c>
      <c r="R436" s="497">
        <v>1.6</v>
      </c>
      <c r="S436" s="497">
        <v>300</v>
      </c>
      <c r="T436" s="497">
        <v>1</v>
      </c>
    </row>
    <row r="437" spans="16:20" ht="15">
      <c r="P437" s="447"/>
      <c r="Q437" s="497">
        <v>6.49</v>
      </c>
      <c r="R437" s="497">
        <v>1.6</v>
      </c>
      <c r="S437" s="497">
        <v>300.01</v>
      </c>
      <c r="T437" s="497">
        <v>1</v>
      </c>
    </row>
    <row r="438" spans="16:20" ht="15">
      <c r="P438" s="447"/>
      <c r="Q438" s="497">
        <v>6.49</v>
      </c>
      <c r="R438" s="497">
        <v>1.6</v>
      </c>
      <c r="S438" s="497">
        <v>600</v>
      </c>
      <c r="T438" s="497">
        <v>1</v>
      </c>
    </row>
    <row r="439" spans="16:20" ht="15">
      <c r="P439" s="447"/>
      <c r="Q439" s="497">
        <v>6.49</v>
      </c>
      <c r="R439" s="497">
        <v>1.6</v>
      </c>
      <c r="S439" s="497">
        <v>600.01</v>
      </c>
      <c r="T439" s="497">
        <v>1</v>
      </c>
    </row>
    <row r="440" spans="16:20" ht="15">
      <c r="P440" s="447"/>
      <c r="Q440" s="497">
        <v>6.49</v>
      </c>
      <c r="R440" s="497">
        <v>1.6</v>
      </c>
      <c r="S440" s="497">
        <v>10000</v>
      </c>
      <c r="T440" s="497">
        <v>1</v>
      </c>
    </row>
    <row r="441" spans="16:20" ht="15">
      <c r="P441" s="447"/>
      <c r="Q441" s="497">
        <v>6.49</v>
      </c>
      <c r="R441" s="497">
        <v>2.4</v>
      </c>
      <c r="S441" s="497">
        <v>0</v>
      </c>
      <c r="T441" s="497">
        <v>1</v>
      </c>
    </row>
    <row r="442" spans="16:20" ht="15">
      <c r="P442" s="447"/>
      <c r="Q442" s="497">
        <v>6.49</v>
      </c>
      <c r="R442" s="497">
        <v>2.4</v>
      </c>
      <c r="S442" s="497">
        <v>300</v>
      </c>
      <c r="T442" s="497">
        <v>1</v>
      </c>
    </row>
    <row r="443" spans="16:20" ht="15">
      <c r="P443" s="447"/>
      <c r="Q443" s="497">
        <v>6.49</v>
      </c>
      <c r="R443" s="497">
        <v>2.4</v>
      </c>
      <c r="S443" s="497">
        <v>300.01</v>
      </c>
      <c r="T443" s="497">
        <v>1</v>
      </c>
    </row>
    <row r="444" spans="16:20" ht="15">
      <c r="P444" s="447"/>
      <c r="Q444" s="497">
        <v>6.49</v>
      </c>
      <c r="R444" s="497">
        <v>2.4</v>
      </c>
      <c r="S444" s="497">
        <v>600</v>
      </c>
      <c r="T444" s="497">
        <v>1</v>
      </c>
    </row>
    <row r="445" spans="16:20" ht="15">
      <c r="P445" s="447"/>
      <c r="Q445" s="497">
        <v>6.49</v>
      </c>
      <c r="R445" s="497">
        <v>2.4</v>
      </c>
      <c r="S445" s="497">
        <v>600.01</v>
      </c>
      <c r="T445" s="497">
        <v>1</v>
      </c>
    </row>
    <row r="446" spans="16:20" ht="15">
      <c r="P446" s="447"/>
      <c r="Q446" s="497">
        <v>6.49</v>
      </c>
      <c r="R446" s="497">
        <v>2.4</v>
      </c>
      <c r="S446" s="497">
        <v>10000</v>
      </c>
      <c r="T446" s="497">
        <v>1</v>
      </c>
    </row>
    <row r="447" spans="16:20" ht="15">
      <c r="P447" s="447"/>
      <c r="Q447" s="497">
        <v>6.49</v>
      </c>
      <c r="R447" s="497">
        <v>3.2</v>
      </c>
      <c r="S447" s="497">
        <v>0</v>
      </c>
      <c r="T447" s="497">
        <v>1</v>
      </c>
    </row>
    <row r="448" spans="16:20" ht="15">
      <c r="P448" s="447"/>
      <c r="Q448" s="497">
        <v>6.49</v>
      </c>
      <c r="R448" s="497">
        <v>3.2</v>
      </c>
      <c r="S448" s="497">
        <v>300</v>
      </c>
      <c r="T448" s="497">
        <v>1</v>
      </c>
    </row>
    <row r="449" spans="16:20" ht="15">
      <c r="P449" s="447"/>
      <c r="Q449" s="497">
        <v>6.49</v>
      </c>
      <c r="R449" s="497">
        <v>3.2</v>
      </c>
      <c r="S449" s="497">
        <v>300.01</v>
      </c>
      <c r="T449" s="497">
        <v>1</v>
      </c>
    </row>
    <row r="450" spans="16:20" ht="15">
      <c r="P450" s="447"/>
      <c r="Q450" s="497">
        <v>6.49</v>
      </c>
      <c r="R450" s="497">
        <v>3.2</v>
      </c>
      <c r="S450" s="497">
        <v>600</v>
      </c>
      <c r="T450" s="497">
        <v>1</v>
      </c>
    </row>
    <row r="451" spans="16:20" ht="15">
      <c r="P451" s="447"/>
      <c r="Q451" s="497">
        <v>6.49</v>
      </c>
      <c r="R451" s="497">
        <v>3.2</v>
      </c>
      <c r="S451" s="497">
        <v>600.01</v>
      </c>
      <c r="T451" s="497">
        <v>1</v>
      </c>
    </row>
    <row r="452" spans="16:20" ht="15">
      <c r="P452" s="447"/>
      <c r="Q452" s="497">
        <v>6.49</v>
      </c>
      <c r="R452" s="497">
        <v>3.2</v>
      </c>
      <c r="S452" s="497">
        <v>10000</v>
      </c>
      <c r="T452" s="497">
        <v>1</v>
      </c>
    </row>
    <row r="453" spans="16:20" ht="15">
      <c r="P453" s="447"/>
      <c r="Q453" s="497">
        <v>6.49</v>
      </c>
      <c r="R453" s="497">
        <v>4.8</v>
      </c>
      <c r="S453" s="497">
        <v>0</v>
      </c>
      <c r="T453" s="497">
        <v>1</v>
      </c>
    </row>
    <row r="454" spans="16:20" ht="15">
      <c r="P454" s="447"/>
      <c r="Q454" s="497">
        <v>6.49</v>
      </c>
      <c r="R454" s="497">
        <v>4.8</v>
      </c>
      <c r="S454" s="497">
        <v>300</v>
      </c>
      <c r="T454" s="497">
        <v>1</v>
      </c>
    </row>
    <row r="455" spans="16:20" ht="15">
      <c r="P455" s="447"/>
      <c r="Q455" s="497">
        <v>6.49</v>
      </c>
      <c r="R455" s="497">
        <v>4.8</v>
      </c>
      <c r="S455" s="497">
        <v>300.01</v>
      </c>
      <c r="T455" s="497">
        <v>1</v>
      </c>
    </row>
    <row r="456" spans="16:20" ht="15">
      <c r="P456" s="447"/>
      <c r="Q456" s="497">
        <v>6.49</v>
      </c>
      <c r="R456" s="497">
        <v>4.8</v>
      </c>
      <c r="S456" s="497">
        <v>600</v>
      </c>
      <c r="T456" s="497">
        <v>1</v>
      </c>
    </row>
    <row r="457" spans="16:20" ht="15">
      <c r="P457" s="447"/>
      <c r="Q457" s="497">
        <v>6.49</v>
      </c>
      <c r="R457" s="497">
        <v>4.8</v>
      </c>
      <c r="S457" s="497">
        <v>600.01</v>
      </c>
      <c r="T457" s="497">
        <v>1</v>
      </c>
    </row>
    <row r="458" spans="16:20" ht="15">
      <c r="P458" s="447"/>
      <c r="Q458" s="497">
        <v>6.49</v>
      </c>
      <c r="R458" s="497">
        <v>4.8</v>
      </c>
      <c r="S458" s="497">
        <v>10000</v>
      </c>
      <c r="T458" s="497">
        <v>1</v>
      </c>
    </row>
    <row r="459" spans="16:20" ht="15">
      <c r="P459" s="447"/>
      <c r="Q459" s="497">
        <v>6.49</v>
      </c>
      <c r="R459" s="497">
        <v>6.4</v>
      </c>
      <c r="S459" s="497">
        <v>0</v>
      </c>
      <c r="T459" s="497">
        <v>1</v>
      </c>
    </row>
    <row r="460" spans="16:20" ht="15">
      <c r="P460" s="447"/>
      <c r="Q460" s="497">
        <v>6.49</v>
      </c>
      <c r="R460" s="497">
        <v>6.4</v>
      </c>
      <c r="S460" s="497">
        <v>300</v>
      </c>
      <c r="T460" s="497">
        <v>1</v>
      </c>
    </row>
    <row r="461" spans="16:20" ht="15">
      <c r="P461" s="447"/>
      <c r="Q461" s="497">
        <v>6.49</v>
      </c>
      <c r="R461" s="497">
        <v>6.4</v>
      </c>
      <c r="S461" s="497">
        <v>300.01</v>
      </c>
      <c r="T461" s="497">
        <v>1</v>
      </c>
    </row>
    <row r="462" spans="16:20" ht="15">
      <c r="P462" s="447"/>
      <c r="Q462" s="497">
        <v>6.49</v>
      </c>
      <c r="R462" s="497">
        <v>6.4</v>
      </c>
      <c r="S462" s="497">
        <v>600</v>
      </c>
      <c r="T462" s="497">
        <v>1</v>
      </c>
    </row>
    <row r="463" spans="16:20" ht="15">
      <c r="P463" s="447"/>
      <c r="Q463" s="497">
        <v>6.49</v>
      </c>
      <c r="R463" s="497">
        <v>6.4</v>
      </c>
      <c r="S463" s="497">
        <v>600.01</v>
      </c>
      <c r="T463" s="497">
        <v>1</v>
      </c>
    </row>
    <row r="464" spans="16:20" ht="15">
      <c r="P464" s="447"/>
      <c r="Q464" s="497">
        <v>6.49</v>
      </c>
      <c r="R464" s="497">
        <v>6.4</v>
      </c>
      <c r="S464" s="497">
        <v>10000</v>
      </c>
      <c r="T464" s="497">
        <v>1</v>
      </c>
    </row>
    <row r="465" spans="16:20" ht="15">
      <c r="P465" s="447"/>
      <c r="Q465" s="497">
        <v>6.49</v>
      </c>
      <c r="R465" s="497">
        <v>1000</v>
      </c>
      <c r="S465" s="497">
        <v>0</v>
      </c>
      <c r="T465" s="497">
        <v>1</v>
      </c>
    </row>
    <row r="466" spans="16:20" ht="15">
      <c r="P466" s="447"/>
      <c r="Q466" s="497">
        <v>6.49</v>
      </c>
      <c r="R466" s="497">
        <v>1000</v>
      </c>
      <c r="S466" s="497">
        <v>300</v>
      </c>
      <c r="T466" s="497">
        <v>1</v>
      </c>
    </row>
    <row r="467" spans="16:20" ht="15">
      <c r="P467" s="447"/>
      <c r="Q467" s="497">
        <v>6.49</v>
      </c>
      <c r="R467" s="497">
        <v>1000</v>
      </c>
      <c r="S467" s="497">
        <v>300.01</v>
      </c>
      <c r="T467" s="497">
        <v>1</v>
      </c>
    </row>
    <row r="468" spans="16:20" ht="15">
      <c r="P468" s="447"/>
      <c r="Q468" s="497">
        <v>6.49</v>
      </c>
      <c r="R468" s="497">
        <v>1000</v>
      </c>
      <c r="S468" s="497">
        <v>600</v>
      </c>
      <c r="T468" s="497">
        <v>1</v>
      </c>
    </row>
    <row r="469" spans="16:20" ht="15">
      <c r="P469" s="447"/>
      <c r="Q469" s="497">
        <v>6.49</v>
      </c>
      <c r="R469" s="497">
        <v>1000</v>
      </c>
      <c r="S469" s="497">
        <v>600.01</v>
      </c>
      <c r="T469" s="497">
        <v>1</v>
      </c>
    </row>
    <row r="470" spans="16:20" ht="15">
      <c r="P470" s="447"/>
      <c r="Q470" s="497">
        <v>6.49</v>
      </c>
      <c r="R470" s="497">
        <v>1000</v>
      </c>
      <c r="S470" s="497">
        <v>10000</v>
      </c>
      <c r="T470" s="497">
        <v>1</v>
      </c>
    </row>
    <row r="471" spans="16:20" ht="15">
      <c r="P471" s="447"/>
      <c r="Q471" s="497">
        <v>6.5</v>
      </c>
      <c r="R471" s="497">
        <v>0</v>
      </c>
      <c r="S471" s="497">
        <v>0</v>
      </c>
      <c r="T471" s="497">
        <v>1</v>
      </c>
    </row>
    <row r="472" spans="16:20" ht="15">
      <c r="P472" s="447"/>
      <c r="Q472" s="497">
        <v>6.5</v>
      </c>
      <c r="R472" s="497">
        <v>0</v>
      </c>
      <c r="S472" s="497">
        <v>300</v>
      </c>
      <c r="T472" s="497">
        <v>1</v>
      </c>
    </row>
    <row r="473" spans="16:20" ht="15">
      <c r="P473" s="447"/>
      <c r="Q473" s="497">
        <v>6.5</v>
      </c>
      <c r="R473" s="497">
        <v>0</v>
      </c>
      <c r="S473" s="497">
        <v>300.01</v>
      </c>
      <c r="T473" s="497">
        <v>1</v>
      </c>
    </row>
    <row r="474" spans="16:20" ht="15">
      <c r="P474" s="447"/>
      <c r="Q474" s="497">
        <v>6.5</v>
      </c>
      <c r="R474" s="497">
        <v>0</v>
      </c>
      <c r="S474" s="497">
        <v>600</v>
      </c>
      <c r="T474" s="497">
        <v>1</v>
      </c>
    </row>
    <row r="475" spans="16:20" ht="15">
      <c r="P475" s="447"/>
      <c r="Q475" s="497">
        <v>6.5</v>
      </c>
      <c r="R475" s="497">
        <v>0</v>
      </c>
      <c r="S475" s="497">
        <v>600.01</v>
      </c>
      <c r="T475" s="497">
        <v>1</v>
      </c>
    </row>
    <row r="476" spans="16:20" ht="15">
      <c r="P476" s="447"/>
      <c r="Q476" s="497">
        <v>6.5</v>
      </c>
      <c r="R476" s="497">
        <v>0</v>
      </c>
      <c r="S476" s="497">
        <v>10000</v>
      </c>
      <c r="T476" s="497">
        <v>1</v>
      </c>
    </row>
    <row r="477" spans="16:20" ht="15">
      <c r="P477" s="447"/>
      <c r="Q477" s="497">
        <v>6.5</v>
      </c>
      <c r="R477" s="497">
        <v>0.4</v>
      </c>
      <c r="S477" s="497">
        <v>0</v>
      </c>
      <c r="T477" s="497">
        <v>1</v>
      </c>
    </row>
    <row r="478" spans="16:20" ht="15">
      <c r="P478" s="447"/>
      <c r="Q478" s="497">
        <v>6.5</v>
      </c>
      <c r="R478" s="497">
        <v>0.4</v>
      </c>
      <c r="S478" s="497">
        <v>300</v>
      </c>
      <c r="T478" s="497">
        <v>1</v>
      </c>
    </row>
    <row r="479" spans="16:20" ht="15">
      <c r="P479" s="447"/>
      <c r="Q479" s="497">
        <v>6.5</v>
      </c>
      <c r="R479" s="497">
        <v>0.4</v>
      </c>
      <c r="S479" s="497">
        <v>300.01</v>
      </c>
      <c r="T479" s="497">
        <v>1</v>
      </c>
    </row>
    <row r="480" spans="16:20" ht="15">
      <c r="P480" s="447"/>
      <c r="Q480" s="497">
        <v>6.5</v>
      </c>
      <c r="R480" s="497">
        <v>0.4</v>
      </c>
      <c r="S480" s="497">
        <v>600</v>
      </c>
      <c r="T480" s="497">
        <v>1</v>
      </c>
    </row>
    <row r="481" spans="16:20" ht="15">
      <c r="P481" s="447"/>
      <c r="Q481" s="497">
        <v>6.5</v>
      </c>
      <c r="R481" s="497">
        <v>0.4</v>
      </c>
      <c r="S481" s="497">
        <v>600.01</v>
      </c>
      <c r="T481" s="497">
        <v>1</v>
      </c>
    </row>
    <row r="482" spans="16:20" ht="15">
      <c r="P482" s="447"/>
      <c r="Q482" s="497">
        <v>6.5</v>
      </c>
      <c r="R482" s="497">
        <v>0.4</v>
      </c>
      <c r="S482" s="497">
        <v>10000</v>
      </c>
      <c r="T482" s="497">
        <v>1</v>
      </c>
    </row>
    <row r="483" spans="16:20" ht="15">
      <c r="P483" s="447"/>
      <c r="Q483" s="497">
        <v>6.5</v>
      </c>
      <c r="R483" s="497">
        <v>0.8</v>
      </c>
      <c r="S483" s="497">
        <v>0</v>
      </c>
      <c r="T483" s="497">
        <v>1</v>
      </c>
    </row>
    <row r="484" spans="16:20" ht="15">
      <c r="P484" s="447"/>
      <c r="Q484" s="497">
        <v>6.5</v>
      </c>
      <c r="R484" s="497">
        <v>0.8</v>
      </c>
      <c r="S484" s="497">
        <v>300</v>
      </c>
      <c r="T484" s="497">
        <v>1</v>
      </c>
    </row>
    <row r="485" spans="16:20" ht="15">
      <c r="P485" s="447"/>
      <c r="Q485" s="497">
        <v>6.5</v>
      </c>
      <c r="R485" s="497">
        <v>0.8</v>
      </c>
      <c r="S485" s="497">
        <v>300.01</v>
      </c>
      <c r="T485" s="497">
        <v>1</v>
      </c>
    </row>
    <row r="486" spans="16:20" ht="15">
      <c r="P486" s="447"/>
      <c r="Q486" s="497">
        <v>6.5</v>
      </c>
      <c r="R486" s="497">
        <v>0.8</v>
      </c>
      <c r="S486" s="497">
        <v>600</v>
      </c>
      <c r="T486" s="497">
        <v>1</v>
      </c>
    </row>
    <row r="487" spans="16:20" ht="15">
      <c r="P487" s="447"/>
      <c r="Q487" s="497">
        <v>6.5</v>
      </c>
      <c r="R487" s="497">
        <v>0.8</v>
      </c>
      <c r="S487" s="497">
        <v>600.01</v>
      </c>
      <c r="T487" s="497">
        <v>1</v>
      </c>
    </row>
    <row r="488" spans="16:20" ht="15">
      <c r="P488" s="447"/>
      <c r="Q488" s="497">
        <v>6.5</v>
      </c>
      <c r="R488" s="497">
        <v>0.8</v>
      </c>
      <c r="S488" s="497">
        <v>10000</v>
      </c>
      <c r="T488" s="497">
        <v>1</v>
      </c>
    </row>
    <row r="489" spans="16:20" ht="15">
      <c r="P489" s="447"/>
      <c r="Q489" s="497">
        <v>6.5</v>
      </c>
      <c r="R489" s="497">
        <v>1.2</v>
      </c>
      <c r="S489" s="497">
        <v>0</v>
      </c>
      <c r="T489" s="497">
        <v>1</v>
      </c>
    </row>
    <row r="490" spans="16:20" ht="15">
      <c r="P490" s="447"/>
      <c r="Q490" s="497">
        <v>6.5</v>
      </c>
      <c r="R490" s="497">
        <v>1.2</v>
      </c>
      <c r="S490" s="497">
        <v>300</v>
      </c>
      <c r="T490" s="497">
        <v>1</v>
      </c>
    </row>
    <row r="491" spans="16:20" ht="15">
      <c r="P491" s="447"/>
      <c r="Q491" s="497">
        <v>6.5</v>
      </c>
      <c r="R491" s="497">
        <v>1.2</v>
      </c>
      <c r="S491" s="497">
        <v>300.01</v>
      </c>
      <c r="T491" s="497">
        <v>1</v>
      </c>
    </row>
    <row r="492" spans="16:20" ht="15">
      <c r="P492" s="447"/>
      <c r="Q492" s="497">
        <v>6.5</v>
      </c>
      <c r="R492" s="497">
        <v>1.2</v>
      </c>
      <c r="S492" s="497">
        <v>600</v>
      </c>
      <c r="T492" s="497">
        <v>1</v>
      </c>
    </row>
    <row r="493" spans="16:20" ht="15">
      <c r="P493" s="447"/>
      <c r="Q493" s="497">
        <v>6.5</v>
      </c>
      <c r="R493" s="497">
        <v>1.2</v>
      </c>
      <c r="S493" s="497">
        <v>600.01</v>
      </c>
      <c r="T493" s="497">
        <v>1</v>
      </c>
    </row>
    <row r="494" spans="16:20" ht="15">
      <c r="P494" s="447"/>
      <c r="Q494" s="497">
        <v>6.5</v>
      </c>
      <c r="R494" s="497">
        <v>1.2</v>
      </c>
      <c r="S494" s="497">
        <v>10000</v>
      </c>
      <c r="T494" s="497">
        <v>1</v>
      </c>
    </row>
    <row r="495" spans="16:20" ht="15">
      <c r="P495" s="447"/>
      <c r="Q495" s="497">
        <v>6.5</v>
      </c>
      <c r="R495" s="497">
        <v>1.6</v>
      </c>
      <c r="S495" s="497">
        <v>0</v>
      </c>
      <c r="T495" s="497">
        <v>1</v>
      </c>
    </row>
    <row r="496" spans="16:20" ht="15">
      <c r="P496" s="447"/>
      <c r="Q496" s="497">
        <v>6.5</v>
      </c>
      <c r="R496" s="497">
        <v>1.6</v>
      </c>
      <c r="S496" s="497">
        <v>300</v>
      </c>
      <c r="T496" s="497">
        <v>1</v>
      </c>
    </row>
    <row r="497" spans="16:20" ht="15">
      <c r="P497" s="447"/>
      <c r="Q497" s="497">
        <v>6.5</v>
      </c>
      <c r="R497" s="497">
        <v>1.6</v>
      </c>
      <c r="S497" s="497">
        <v>300.01</v>
      </c>
      <c r="T497" s="497">
        <v>1</v>
      </c>
    </row>
    <row r="498" spans="16:20" ht="15">
      <c r="P498" s="447"/>
      <c r="Q498" s="497">
        <v>6.5</v>
      </c>
      <c r="R498" s="497">
        <v>1.6</v>
      </c>
      <c r="S498" s="497">
        <v>600</v>
      </c>
      <c r="T498" s="497">
        <v>1</v>
      </c>
    </row>
    <row r="499" spans="16:20" ht="15">
      <c r="P499" s="447"/>
      <c r="Q499" s="497">
        <v>6.5</v>
      </c>
      <c r="R499" s="497">
        <v>1.6</v>
      </c>
      <c r="S499" s="497">
        <v>600.01</v>
      </c>
      <c r="T499" s="497">
        <v>1</v>
      </c>
    </row>
    <row r="500" spans="16:20" ht="15">
      <c r="P500" s="447"/>
      <c r="Q500" s="497">
        <v>6.5</v>
      </c>
      <c r="R500" s="497">
        <v>1.6</v>
      </c>
      <c r="S500" s="497">
        <v>10000</v>
      </c>
      <c r="T500" s="497">
        <v>1</v>
      </c>
    </row>
    <row r="501" spans="16:20" ht="15">
      <c r="P501" s="447"/>
      <c r="Q501" s="497">
        <v>6.5</v>
      </c>
      <c r="R501" s="497">
        <v>2.4</v>
      </c>
      <c r="S501" s="497">
        <v>0</v>
      </c>
      <c r="T501" s="497">
        <v>1</v>
      </c>
    </row>
    <row r="502" spans="16:20" ht="15">
      <c r="P502" s="447"/>
      <c r="Q502" s="497">
        <v>6.5</v>
      </c>
      <c r="R502" s="497">
        <v>2.4</v>
      </c>
      <c r="S502" s="497">
        <v>300</v>
      </c>
      <c r="T502" s="497">
        <v>1</v>
      </c>
    </row>
    <row r="503" spans="16:20" ht="15">
      <c r="P503" s="447"/>
      <c r="Q503" s="497">
        <v>6.5</v>
      </c>
      <c r="R503" s="497">
        <v>2.4</v>
      </c>
      <c r="S503" s="497">
        <v>300.01</v>
      </c>
      <c r="T503" s="497">
        <v>1</v>
      </c>
    </row>
    <row r="504" spans="16:20" ht="15">
      <c r="P504" s="447"/>
      <c r="Q504" s="497">
        <v>6.5</v>
      </c>
      <c r="R504" s="497">
        <v>2.4</v>
      </c>
      <c r="S504" s="497">
        <v>600</v>
      </c>
      <c r="T504" s="497">
        <v>1</v>
      </c>
    </row>
    <row r="505" spans="16:20" ht="15">
      <c r="P505" s="447"/>
      <c r="Q505" s="497">
        <v>6.5</v>
      </c>
      <c r="R505" s="497">
        <v>2.4</v>
      </c>
      <c r="S505" s="497">
        <v>600.01</v>
      </c>
      <c r="T505" s="497">
        <v>1</v>
      </c>
    </row>
    <row r="506" spans="16:20" ht="15">
      <c r="P506" s="447"/>
      <c r="Q506" s="497">
        <v>6.5</v>
      </c>
      <c r="R506" s="497">
        <v>2.4</v>
      </c>
      <c r="S506" s="497">
        <v>10000</v>
      </c>
      <c r="T506" s="497">
        <v>1</v>
      </c>
    </row>
    <row r="507" spans="16:20" ht="15">
      <c r="P507" s="447"/>
      <c r="Q507" s="497">
        <v>6.5</v>
      </c>
      <c r="R507" s="497">
        <v>3.2</v>
      </c>
      <c r="S507" s="497">
        <v>0</v>
      </c>
      <c r="T507" s="497">
        <v>1</v>
      </c>
    </row>
    <row r="508" spans="16:20" ht="15">
      <c r="P508" s="447"/>
      <c r="Q508" s="497">
        <v>6.5</v>
      </c>
      <c r="R508" s="497">
        <v>3.2</v>
      </c>
      <c r="S508" s="497">
        <v>300</v>
      </c>
      <c r="T508" s="497">
        <v>1</v>
      </c>
    </row>
    <row r="509" spans="16:20" ht="15">
      <c r="P509" s="447"/>
      <c r="Q509" s="497">
        <v>6.5</v>
      </c>
      <c r="R509" s="497">
        <v>3.2</v>
      </c>
      <c r="S509" s="497">
        <v>300.01</v>
      </c>
      <c r="T509" s="497">
        <v>1</v>
      </c>
    </row>
    <row r="510" spans="16:20" ht="15">
      <c r="P510" s="447"/>
      <c r="Q510" s="497">
        <v>6.5</v>
      </c>
      <c r="R510" s="497">
        <v>3.2</v>
      </c>
      <c r="S510" s="497">
        <v>600</v>
      </c>
      <c r="T510" s="497">
        <v>1</v>
      </c>
    </row>
    <row r="511" spans="16:20" ht="15">
      <c r="P511" s="447"/>
      <c r="Q511" s="497">
        <v>6.5</v>
      </c>
      <c r="R511" s="497">
        <v>3.2</v>
      </c>
      <c r="S511" s="497">
        <v>600.01</v>
      </c>
      <c r="T511" s="497">
        <v>1</v>
      </c>
    </row>
    <row r="512" spans="16:20" ht="15">
      <c r="P512" s="447"/>
      <c r="Q512" s="497">
        <v>6.5</v>
      </c>
      <c r="R512" s="497">
        <v>3.2</v>
      </c>
      <c r="S512" s="497">
        <v>10000</v>
      </c>
      <c r="T512" s="497">
        <v>1</v>
      </c>
    </row>
    <row r="513" spans="16:20" ht="15">
      <c r="P513" s="447"/>
      <c r="Q513" s="497">
        <v>6.5</v>
      </c>
      <c r="R513" s="497">
        <v>4.8</v>
      </c>
      <c r="S513" s="497">
        <v>0</v>
      </c>
      <c r="T513" s="497">
        <v>1</v>
      </c>
    </row>
    <row r="514" spans="16:20" ht="15">
      <c r="P514" s="447"/>
      <c r="Q514" s="497">
        <v>6.5</v>
      </c>
      <c r="R514" s="497">
        <v>4.8</v>
      </c>
      <c r="S514" s="497">
        <v>300</v>
      </c>
      <c r="T514" s="497">
        <v>1</v>
      </c>
    </row>
    <row r="515" spans="16:20" ht="15">
      <c r="P515" s="447"/>
      <c r="Q515" s="497">
        <v>6.5</v>
      </c>
      <c r="R515" s="497">
        <v>4.8</v>
      </c>
      <c r="S515" s="497">
        <v>300.01</v>
      </c>
      <c r="T515" s="497">
        <v>1</v>
      </c>
    </row>
    <row r="516" spans="16:20" ht="15">
      <c r="P516" s="447"/>
      <c r="Q516" s="497">
        <v>6.5</v>
      </c>
      <c r="R516" s="497">
        <v>4.8</v>
      </c>
      <c r="S516" s="497">
        <v>600</v>
      </c>
      <c r="T516" s="497">
        <v>1</v>
      </c>
    </row>
    <row r="517" spans="16:20" ht="15">
      <c r="P517" s="447"/>
      <c r="Q517" s="497">
        <v>6.5</v>
      </c>
      <c r="R517" s="497">
        <v>4.8</v>
      </c>
      <c r="S517" s="497">
        <v>600.01</v>
      </c>
      <c r="T517" s="497">
        <v>1</v>
      </c>
    </row>
    <row r="518" spans="16:20" ht="15">
      <c r="P518" s="447"/>
      <c r="Q518" s="497">
        <v>6.5</v>
      </c>
      <c r="R518" s="497">
        <v>4.8</v>
      </c>
      <c r="S518" s="497">
        <v>10000</v>
      </c>
      <c r="T518" s="497">
        <v>1</v>
      </c>
    </row>
    <row r="519" spans="16:20" ht="15">
      <c r="P519" s="447"/>
      <c r="Q519" s="497">
        <v>6.5</v>
      </c>
      <c r="R519" s="497">
        <v>6.4</v>
      </c>
      <c r="S519" s="497">
        <v>0</v>
      </c>
      <c r="T519" s="497">
        <v>1</v>
      </c>
    </row>
    <row r="520" spans="16:20" ht="15">
      <c r="P520" s="447"/>
      <c r="Q520" s="497">
        <v>6.5</v>
      </c>
      <c r="R520" s="497">
        <v>6.4</v>
      </c>
      <c r="S520" s="497">
        <v>300</v>
      </c>
      <c r="T520" s="497">
        <v>1</v>
      </c>
    </row>
    <row r="521" spans="16:20" ht="15">
      <c r="P521" s="447"/>
      <c r="Q521" s="497">
        <v>6.5</v>
      </c>
      <c r="R521" s="497">
        <v>6.4</v>
      </c>
      <c r="S521" s="497">
        <v>300.01</v>
      </c>
      <c r="T521" s="497">
        <v>1</v>
      </c>
    </row>
    <row r="522" spans="16:20" ht="15">
      <c r="P522" s="447"/>
      <c r="Q522" s="497">
        <v>6.5</v>
      </c>
      <c r="R522" s="497">
        <v>6.4</v>
      </c>
      <c r="S522" s="497">
        <v>600</v>
      </c>
      <c r="T522" s="497">
        <v>1</v>
      </c>
    </row>
    <row r="523" spans="16:20" ht="15">
      <c r="P523" s="447"/>
      <c r="Q523" s="497">
        <v>6.5</v>
      </c>
      <c r="R523" s="497">
        <v>6.4</v>
      </c>
      <c r="S523" s="497">
        <v>600.01</v>
      </c>
      <c r="T523" s="497">
        <v>1</v>
      </c>
    </row>
    <row r="524" spans="16:20" ht="15">
      <c r="P524" s="447"/>
      <c r="Q524" s="497">
        <v>6.5</v>
      </c>
      <c r="R524" s="497">
        <v>6.4</v>
      </c>
      <c r="S524" s="497">
        <v>10000</v>
      </c>
      <c r="T524" s="497">
        <v>1</v>
      </c>
    </row>
    <row r="525" spans="16:20" ht="15">
      <c r="P525" s="447"/>
      <c r="Q525" s="497">
        <v>6.5</v>
      </c>
      <c r="R525" s="497">
        <v>1000</v>
      </c>
      <c r="S525" s="497">
        <v>0</v>
      </c>
      <c r="T525" s="497">
        <v>1</v>
      </c>
    </row>
    <row r="526" spans="16:20" ht="15">
      <c r="P526" s="447"/>
      <c r="Q526" s="497">
        <v>6.5</v>
      </c>
      <c r="R526" s="497">
        <v>1000</v>
      </c>
      <c r="S526" s="497">
        <v>300</v>
      </c>
      <c r="T526" s="497">
        <v>1</v>
      </c>
    </row>
    <row r="527" spans="16:20" ht="15">
      <c r="P527" s="447"/>
      <c r="Q527" s="497">
        <v>6.5</v>
      </c>
      <c r="R527" s="497">
        <v>1000</v>
      </c>
      <c r="S527" s="497">
        <v>300.01</v>
      </c>
      <c r="T527" s="497">
        <v>1</v>
      </c>
    </row>
    <row r="528" spans="16:20" ht="15">
      <c r="P528" s="447"/>
      <c r="Q528" s="497">
        <v>6.5</v>
      </c>
      <c r="R528" s="497">
        <v>1000</v>
      </c>
      <c r="S528" s="497">
        <v>600</v>
      </c>
      <c r="T528" s="497">
        <v>1</v>
      </c>
    </row>
    <row r="529" spans="16:20" ht="15">
      <c r="P529" s="447"/>
      <c r="Q529" s="497">
        <v>6.5</v>
      </c>
      <c r="R529" s="497">
        <v>1000</v>
      </c>
      <c r="S529" s="497">
        <v>600.01</v>
      </c>
      <c r="T529" s="497">
        <v>1</v>
      </c>
    </row>
    <row r="530" spans="16:20" ht="15">
      <c r="P530" s="447"/>
      <c r="Q530" s="497">
        <v>6.5</v>
      </c>
      <c r="R530" s="497">
        <v>1000</v>
      </c>
      <c r="S530" s="497">
        <v>10000</v>
      </c>
      <c r="T530" s="497">
        <v>1</v>
      </c>
    </row>
    <row r="531" spans="16:20" ht="15">
      <c r="P531" s="447"/>
      <c r="Q531" s="497">
        <v>100</v>
      </c>
      <c r="R531" s="497">
        <v>0</v>
      </c>
      <c r="S531" s="497">
        <v>0</v>
      </c>
      <c r="T531" s="497">
        <v>1</v>
      </c>
    </row>
    <row r="532" spans="16:20" ht="15">
      <c r="P532" s="447"/>
      <c r="Q532" s="497">
        <v>100</v>
      </c>
      <c r="R532" s="497">
        <v>0</v>
      </c>
      <c r="S532" s="497">
        <v>300</v>
      </c>
      <c r="T532" s="497">
        <v>1</v>
      </c>
    </row>
    <row r="533" spans="16:20" ht="15">
      <c r="P533" s="447"/>
      <c r="Q533" s="497">
        <v>100</v>
      </c>
      <c r="R533" s="497">
        <v>0</v>
      </c>
      <c r="S533" s="497">
        <v>300.01</v>
      </c>
      <c r="T533" s="497">
        <v>1</v>
      </c>
    </row>
    <row r="534" spans="16:20" ht="15">
      <c r="P534" s="447"/>
      <c r="Q534" s="497">
        <v>100</v>
      </c>
      <c r="R534" s="497">
        <v>0</v>
      </c>
      <c r="S534" s="497">
        <v>600</v>
      </c>
      <c r="T534" s="497">
        <v>1</v>
      </c>
    </row>
    <row r="535" spans="16:20" ht="15">
      <c r="P535" s="447"/>
      <c r="Q535" s="497">
        <v>100</v>
      </c>
      <c r="R535" s="497">
        <v>0</v>
      </c>
      <c r="S535" s="497">
        <v>600.01</v>
      </c>
      <c r="T535" s="497">
        <v>1</v>
      </c>
    </row>
    <row r="536" spans="16:20" ht="15">
      <c r="P536" s="447"/>
      <c r="Q536" s="497">
        <v>100</v>
      </c>
      <c r="R536" s="497">
        <v>0</v>
      </c>
      <c r="S536" s="497">
        <v>10000</v>
      </c>
      <c r="T536" s="497">
        <v>1</v>
      </c>
    </row>
    <row r="537" spans="16:20" ht="15">
      <c r="P537" s="447"/>
      <c r="Q537" s="497">
        <v>100</v>
      </c>
      <c r="R537" s="497">
        <v>0.4</v>
      </c>
      <c r="S537" s="497">
        <v>0</v>
      </c>
      <c r="T537" s="497">
        <v>1</v>
      </c>
    </row>
    <row r="538" spans="16:20" ht="15">
      <c r="P538" s="447"/>
      <c r="Q538" s="497">
        <v>100</v>
      </c>
      <c r="R538" s="497">
        <v>0.4</v>
      </c>
      <c r="S538" s="497">
        <v>300</v>
      </c>
      <c r="T538" s="497">
        <v>1</v>
      </c>
    </row>
    <row r="539" spans="16:20" ht="15">
      <c r="P539" s="447"/>
      <c r="Q539" s="497">
        <v>100</v>
      </c>
      <c r="R539" s="497">
        <v>0.4</v>
      </c>
      <c r="S539" s="497">
        <v>300.01</v>
      </c>
      <c r="T539" s="497">
        <v>1</v>
      </c>
    </row>
    <row r="540" spans="16:20" ht="15">
      <c r="P540" s="447"/>
      <c r="Q540" s="497">
        <v>100</v>
      </c>
      <c r="R540" s="497">
        <v>0.4</v>
      </c>
      <c r="S540" s="497">
        <v>600</v>
      </c>
      <c r="T540" s="497">
        <v>1</v>
      </c>
    </row>
    <row r="541" spans="16:20" ht="15">
      <c r="P541" s="447"/>
      <c r="Q541" s="497">
        <v>100</v>
      </c>
      <c r="R541" s="497">
        <v>0.4</v>
      </c>
      <c r="S541" s="497">
        <v>600.01</v>
      </c>
      <c r="T541" s="497">
        <v>1</v>
      </c>
    </row>
    <row r="542" spans="16:20" ht="15">
      <c r="P542" s="447"/>
      <c r="Q542" s="497">
        <v>100</v>
      </c>
      <c r="R542" s="497">
        <v>0.4</v>
      </c>
      <c r="S542" s="497">
        <v>10000</v>
      </c>
      <c r="T542" s="497">
        <v>1</v>
      </c>
    </row>
    <row r="543" spans="16:20" ht="15">
      <c r="P543" s="447"/>
      <c r="Q543" s="497">
        <v>100</v>
      </c>
      <c r="R543" s="497">
        <v>0.8</v>
      </c>
      <c r="S543" s="497">
        <v>0</v>
      </c>
      <c r="T543" s="497">
        <v>1</v>
      </c>
    </row>
    <row r="544" spans="16:20" ht="15">
      <c r="P544" s="447"/>
      <c r="Q544" s="497">
        <v>100</v>
      </c>
      <c r="R544" s="497">
        <v>0.8</v>
      </c>
      <c r="S544" s="497">
        <v>300</v>
      </c>
      <c r="T544" s="497">
        <v>1</v>
      </c>
    </row>
    <row r="545" spans="16:20" ht="15">
      <c r="P545" s="447"/>
      <c r="Q545" s="497">
        <v>100</v>
      </c>
      <c r="R545" s="497">
        <v>0.8</v>
      </c>
      <c r="S545" s="497">
        <v>300.01</v>
      </c>
      <c r="T545" s="497">
        <v>1</v>
      </c>
    </row>
    <row r="546" spans="16:20" ht="15">
      <c r="P546" s="447"/>
      <c r="Q546" s="497">
        <v>100</v>
      </c>
      <c r="R546" s="497">
        <v>0.8</v>
      </c>
      <c r="S546" s="497">
        <v>600</v>
      </c>
      <c r="T546" s="497">
        <v>1</v>
      </c>
    </row>
    <row r="547" spans="16:20" ht="15">
      <c r="P547" s="447"/>
      <c r="Q547" s="497">
        <v>100</v>
      </c>
      <c r="R547" s="497">
        <v>0.8</v>
      </c>
      <c r="S547" s="497">
        <v>600.01</v>
      </c>
      <c r="T547" s="497">
        <v>1</v>
      </c>
    </row>
    <row r="548" spans="16:20" ht="15">
      <c r="P548" s="447"/>
      <c r="Q548" s="497">
        <v>100</v>
      </c>
      <c r="R548" s="497">
        <v>0.8</v>
      </c>
      <c r="S548" s="497">
        <v>10000</v>
      </c>
      <c r="T548" s="497">
        <v>1</v>
      </c>
    </row>
    <row r="549" spans="16:20" ht="15">
      <c r="P549" s="447"/>
      <c r="Q549" s="497">
        <v>100</v>
      </c>
      <c r="R549" s="497">
        <v>1.2</v>
      </c>
      <c r="S549" s="497">
        <v>0</v>
      </c>
      <c r="T549" s="497">
        <v>1</v>
      </c>
    </row>
    <row r="550" spans="16:20" ht="15">
      <c r="P550" s="447"/>
      <c r="Q550" s="497">
        <v>100</v>
      </c>
      <c r="R550" s="497">
        <v>1.2</v>
      </c>
      <c r="S550" s="497">
        <v>300</v>
      </c>
      <c r="T550" s="497">
        <v>1</v>
      </c>
    </row>
    <row r="551" spans="16:20" ht="15">
      <c r="P551" s="447"/>
      <c r="Q551" s="497">
        <v>100</v>
      </c>
      <c r="R551" s="497">
        <v>1.2</v>
      </c>
      <c r="S551" s="497">
        <v>300.01</v>
      </c>
      <c r="T551" s="497">
        <v>1</v>
      </c>
    </row>
    <row r="552" spans="16:20" ht="15">
      <c r="P552" s="447"/>
      <c r="Q552" s="497">
        <v>100</v>
      </c>
      <c r="R552" s="497">
        <v>1.2</v>
      </c>
      <c r="S552" s="497">
        <v>600</v>
      </c>
      <c r="T552" s="497">
        <v>1</v>
      </c>
    </row>
    <row r="553" spans="16:20" ht="15">
      <c r="P553" s="447"/>
      <c r="Q553" s="497">
        <v>100</v>
      </c>
      <c r="R553" s="497">
        <v>1.2</v>
      </c>
      <c r="S553" s="497">
        <v>600.01</v>
      </c>
      <c r="T553" s="497">
        <v>1</v>
      </c>
    </row>
    <row r="554" spans="16:20" ht="15">
      <c r="P554" s="447"/>
      <c r="Q554" s="497">
        <v>100</v>
      </c>
      <c r="R554" s="497">
        <v>1.2</v>
      </c>
      <c r="S554" s="497">
        <v>10000</v>
      </c>
      <c r="T554" s="497">
        <v>1</v>
      </c>
    </row>
    <row r="555" spans="16:20" ht="15">
      <c r="P555" s="447"/>
      <c r="Q555" s="497">
        <v>100</v>
      </c>
      <c r="R555" s="497">
        <v>1.6</v>
      </c>
      <c r="S555" s="497">
        <v>0</v>
      </c>
      <c r="T555" s="497">
        <v>1</v>
      </c>
    </row>
    <row r="556" spans="16:20" ht="15">
      <c r="P556" s="447"/>
      <c r="Q556" s="497">
        <v>100</v>
      </c>
      <c r="R556" s="497">
        <v>1.6</v>
      </c>
      <c r="S556" s="497">
        <v>300</v>
      </c>
      <c r="T556" s="497">
        <v>1</v>
      </c>
    </row>
    <row r="557" spans="16:20" ht="15">
      <c r="P557" s="447"/>
      <c r="Q557" s="497">
        <v>100</v>
      </c>
      <c r="R557" s="497">
        <v>1.6</v>
      </c>
      <c r="S557" s="497">
        <v>300.01</v>
      </c>
      <c r="T557" s="497">
        <v>1</v>
      </c>
    </row>
    <row r="558" spans="16:20" ht="15">
      <c r="P558" s="447"/>
      <c r="Q558" s="497">
        <v>100</v>
      </c>
      <c r="R558" s="497">
        <v>1.6</v>
      </c>
      <c r="S558" s="497">
        <v>600</v>
      </c>
      <c r="T558" s="497">
        <v>1</v>
      </c>
    </row>
    <row r="559" spans="16:20" ht="15">
      <c r="P559" s="447"/>
      <c r="Q559" s="497">
        <v>100</v>
      </c>
      <c r="R559" s="497">
        <v>1.6</v>
      </c>
      <c r="S559" s="497">
        <v>600.01</v>
      </c>
      <c r="T559" s="497">
        <v>1</v>
      </c>
    </row>
    <row r="560" spans="16:20" ht="15">
      <c r="P560" s="447"/>
      <c r="Q560" s="497">
        <v>100</v>
      </c>
      <c r="R560" s="497">
        <v>1.6</v>
      </c>
      <c r="S560" s="497">
        <v>10000</v>
      </c>
      <c r="T560" s="497">
        <v>1</v>
      </c>
    </row>
    <row r="561" spans="16:20" ht="15">
      <c r="P561" s="447"/>
      <c r="Q561" s="497">
        <v>100</v>
      </c>
      <c r="R561" s="497">
        <v>2.4</v>
      </c>
      <c r="S561" s="497">
        <v>0</v>
      </c>
      <c r="T561" s="497">
        <v>1</v>
      </c>
    </row>
    <row r="562" spans="16:20" ht="15">
      <c r="P562" s="447"/>
      <c r="Q562" s="497">
        <v>100</v>
      </c>
      <c r="R562" s="497">
        <v>2.4</v>
      </c>
      <c r="S562" s="497">
        <v>300</v>
      </c>
      <c r="T562" s="497">
        <v>1</v>
      </c>
    </row>
    <row r="563" spans="16:20" ht="15">
      <c r="P563" s="447"/>
      <c r="Q563" s="497">
        <v>100</v>
      </c>
      <c r="R563" s="497">
        <v>2.4</v>
      </c>
      <c r="S563" s="497">
        <v>300.01</v>
      </c>
      <c r="T563" s="497">
        <v>1</v>
      </c>
    </row>
    <row r="564" spans="16:20" ht="15">
      <c r="P564" s="447"/>
      <c r="Q564" s="497">
        <v>100</v>
      </c>
      <c r="R564" s="497">
        <v>2.4</v>
      </c>
      <c r="S564" s="497">
        <v>600</v>
      </c>
      <c r="T564" s="497">
        <v>1</v>
      </c>
    </row>
    <row r="565" spans="16:20" ht="15">
      <c r="P565" s="447"/>
      <c r="Q565" s="497">
        <v>100</v>
      </c>
      <c r="R565" s="497">
        <v>2.4</v>
      </c>
      <c r="S565" s="497">
        <v>600.01</v>
      </c>
      <c r="T565" s="497">
        <v>1</v>
      </c>
    </row>
    <row r="566" spans="16:20" ht="15">
      <c r="P566" s="447"/>
      <c r="Q566" s="497">
        <v>100</v>
      </c>
      <c r="R566" s="497">
        <v>2.4</v>
      </c>
      <c r="S566" s="497">
        <v>10000</v>
      </c>
      <c r="T566" s="497">
        <v>1</v>
      </c>
    </row>
    <row r="567" spans="16:20" ht="15">
      <c r="P567" s="447"/>
      <c r="Q567" s="497">
        <v>100</v>
      </c>
      <c r="R567" s="497">
        <v>3.2</v>
      </c>
      <c r="S567" s="497">
        <v>0</v>
      </c>
      <c r="T567" s="497">
        <v>1</v>
      </c>
    </row>
    <row r="568" spans="16:20" ht="15">
      <c r="P568" s="447"/>
      <c r="Q568" s="497">
        <v>100</v>
      </c>
      <c r="R568" s="497">
        <v>3.2</v>
      </c>
      <c r="S568" s="497">
        <v>300</v>
      </c>
      <c r="T568" s="497">
        <v>1</v>
      </c>
    </row>
    <row r="569" spans="16:20" ht="15">
      <c r="P569" s="447"/>
      <c r="Q569" s="497">
        <v>100</v>
      </c>
      <c r="R569" s="497">
        <v>3.2</v>
      </c>
      <c r="S569" s="497">
        <v>300.01</v>
      </c>
      <c r="T569" s="497">
        <v>1</v>
      </c>
    </row>
    <row r="570" spans="16:20" ht="15">
      <c r="P570" s="447"/>
      <c r="Q570" s="497">
        <v>100</v>
      </c>
      <c r="R570" s="497">
        <v>3.2</v>
      </c>
      <c r="S570" s="497">
        <v>600</v>
      </c>
      <c r="T570" s="497">
        <v>1</v>
      </c>
    </row>
    <row r="571" spans="16:20" ht="15">
      <c r="P571" s="447"/>
      <c r="Q571" s="497">
        <v>100</v>
      </c>
      <c r="R571" s="497">
        <v>3.2</v>
      </c>
      <c r="S571" s="497">
        <v>600.01</v>
      </c>
      <c r="T571" s="497">
        <v>1</v>
      </c>
    </row>
    <row r="572" spans="16:20" ht="15">
      <c r="P572" s="447"/>
      <c r="Q572" s="497">
        <v>100</v>
      </c>
      <c r="R572" s="497">
        <v>3.2</v>
      </c>
      <c r="S572" s="497">
        <v>10000</v>
      </c>
      <c r="T572" s="497">
        <v>1</v>
      </c>
    </row>
    <row r="573" spans="16:20" ht="15">
      <c r="P573" s="447"/>
      <c r="Q573" s="497">
        <v>100</v>
      </c>
      <c r="R573" s="497">
        <v>4.8</v>
      </c>
      <c r="S573" s="497">
        <v>0</v>
      </c>
      <c r="T573" s="497">
        <v>1</v>
      </c>
    </row>
    <row r="574" spans="16:20" ht="15">
      <c r="P574" s="447"/>
      <c r="Q574" s="497">
        <v>100</v>
      </c>
      <c r="R574" s="497">
        <v>4.8</v>
      </c>
      <c r="S574" s="497">
        <v>300</v>
      </c>
      <c r="T574" s="497">
        <v>1</v>
      </c>
    </row>
    <row r="575" spans="16:20" ht="15">
      <c r="P575" s="447"/>
      <c r="Q575" s="497">
        <v>100</v>
      </c>
      <c r="R575" s="497">
        <v>4.8</v>
      </c>
      <c r="S575" s="497">
        <v>300.01</v>
      </c>
      <c r="T575" s="497">
        <v>1</v>
      </c>
    </row>
    <row r="576" spans="16:20" ht="15">
      <c r="P576" s="447"/>
      <c r="Q576" s="497">
        <v>100</v>
      </c>
      <c r="R576" s="497">
        <v>4.8</v>
      </c>
      <c r="S576" s="497">
        <v>600</v>
      </c>
      <c r="T576" s="497">
        <v>1</v>
      </c>
    </row>
    <row r="577" spans="16:20" ht="15">
      <c r="P577" s="447"/>
      <c r="Q577" s="497">
        <v>100</v>
      </c>
      <c r="R577" s="497">
        <v>4.8</v>
      </c>
      <c r="S577" s="497">
        <v>600.01</v>
      </c>
      <c r="T577" s="497">
        <v>1</v>
      </c>
    </row>
    <row r="578" spans="16:20" ht="15">
      <c r="P578" s="447"/>
      <c r="Q578" s="497">
        <v>100</v>
      </c>
      <c r="R578" s="497">
        <v>4.8</v>
      </c>
      <c r="S578" s="497">
        <v>10000</v>
      </c>
      <c r="T578" s="497">
        <v>1</v>
      </c>
    </row>
    <row r="579" spans="16:20" ht="15">
      <c r="P579" s="447"/>
      <c r="Q579" s="497">
        <v>100</v>
      </c>
      <c r="R579" s="497">
        <v>6.4</v>
      </c>
      <c r="S579" s="497">
        <v>0</v>
      </c>
      <c r="T579" s="497">
        <v>1</v>
      </c>
    </row>
    <row r="580" spans="16:20" ht="15">
      <c r="P580" s="447"/>
      <c r="Q580" s="497">
        <v>100</v>
      </c>
      <c r="R580" s="497">
        <v>6.4</v>
      </c>
      <c r="S580" s="497">
        <v>300</v>
      </c>
      <c r="T580" s="497">
        <v>1</v>
      </c>
    </row>
    <row r="581" spans="16:20" ht="15">
      <c r="P581" s="447"/>
      <c r="Q581" s="497">
        <v>100</v>
      </c>
      <c r="R581" s="497">
        <v>6.4</v>
      </c>
      <c r="S581" s="497">
        <v>300.01</v>
      </c>
      <c r="T581" s="497">
        <v>1</v>
      </c>
    </row>
    <row r="582" spans="16:20" ht="15">
      <c r="P582" s="447"/>
      <c r="Q582" s="497">
        <v>100</v>
      </c>
      <c r="R582" s="497">
        <v>6.4</v>
      </c>
      <c r="S582" s="497">
        <v>600</v>
      </c>
      <c r="T582" s="497">
        <v>1</v>
      </c>
    </row>
    <row r="583" spans="16:20" ht="15">
      <c r="P583" s="447"/>
      <c r="Q583" s="497">
        <v>100</v>
      </c>
      <c r="R583" s="497">
        <v>6.4</v>
      </c>
      <c r="S583" s="497">
        <v>600.01</v>
      </c>
      <c r="T583" s="497">
        <v>1</v>
      </c>
    </row>
    <row r="584" spans="16:20" ht="15">
      <c r="P584" s="447"/>
      <c r="Q584" s="497">
        <v>100</v>
      </c>
      <c r="R584" s="497">
        <v>6.4</v>
      </c>
      <c r="S584" s="497">
        <v>10000</v>
      </c>
      <c r="T584" s="497">
        <v>1</v>
      </c>
    </row>
    <row r="585" spans="16:20" ht="15">
      <c r="P585" s="447"/>
      <c r="Q585" s="497">
        <v>100</v>
      </c>
      <c r="R585" s="497">
        <v>1000</v>
      </c>
      <c r="S585" s="497">
        <v>0</v>
      </c>
      <c r="T585" s="497">
        <v>1</v>
      </c>
    </row>
    <row r="586" spans="16:20" ht="15">
      <c r="P586" s="447"/>
      <c r="Q586" s="497">
        <v>100</v>
      </c>
      <c r="R586" s="497">
        <v>1000</v>
      </c>
      <c r="S586" s="497">
        <v>300</v>
      </c>
      <c r="T586" s="497">
        <v>1</v>
      </c>
    </row>
    <row r="587" spans="16:20" ht="15">
      <c r="P587" s="447"/>
      <c r="Q587" s="497">
        <v>100</v>
      </c>
      <c r="R587" s="497">
        <v>1000</v>
      </c>
      <c r="S587" s="497">
        <v>300.01</v>
      </c>
      <c r="T587" s="497">
        <v>1</v>
      </c>
    </row>
    <row r="588" spans="16:20" ht="15">
      <c r="P588" s="447"/>
      <c r="Q588" s="497">
        <v>100</v>
      </c>
      <c r="R588" s="497">
        <v>1000</v>
      </c>
      <c r="S588" s="497">
        <v>600</v>
      </c>
      <c r="T588" s="497">
        <v>1</v>
      </c>
    </row>
    <row r="589" spans="16:20" ht="15">
      <c r="P589" s="447"/>
      <c r="Q589" s="497">
        <v>100</v>
      </c>
      <c r="R589" s="497">
        <v>1000</v>
      </c>
      <c r="S589" s="497">
        <v>600.01</v>
      </c>
      <c r="T589" s="497">
        <v>1</v>
      </c>
    </row>
    <row r="590" spans="16:20" ht="15">
      <c r="P590" s="447"/>
      <c r="Q590" s="497">
        <v>100</v>
      </c>
      <c r="R590" s="497">
        <v>1000</v>
      </c>
      <c r="S590" s="497">
        <v>10000</v>
      </c>
      <c r="T590" s="497">
        <v>1</v>
      </c>
    </row>
    <row r="591" spans="16:20" ht="15">
      <c r="P591" s="447"/>
      <c r="Q591" s="497"/>
      <c r="R591" s="497"/>
      <c r="S591" s="497"/>
      <c r="T591" s="497"/>
    </row>
    <row r="592" spans="16:20" ht="15">
      <c r="P592" s="447"/>
      <c r="Q592" s="497"/>
      <c r="R592" s="497"/>
      <c r="S592" s="497"/>
      <c r="T592" s="497"/>
    </row>
    <row r="593" spans="1:16" s="497" customFormat="1" ht="15">
      <c r="A593" s="443"/>
      <c r="B593" s="443"/>
      <c r="C593" s="443"/>
      <c r="D593" s="443"/>
      <c r="E593" s="458"/>
      <c r="F593" s="458"/>
      <c r="G593" s="458"/>
      <c r="H593" s="458"/>
      <c r="I593" s="458"/>
      <c r="J593" s="458"/>
      <c r="K593" s="458"/>
      <c r="L593" s="458"/>
      <c r="M593" s="458"/>
      <c r="N593" s="458"/>
      <c r="O593" s="443"/>
      <c r="P593" s="447"/>
    </row>
    <row r="594" spans="1:16" s="497" customFormat="1" ht="15">
      <c r="A594" s="443"/>
      <c r="B594" s="443"/>
      <c r="C594" s="443"/>
      <c r="D594" s="443"/>
      <c r="E594" s="458"/>
      <c r="F594" s="458"/>
      <c r="G594" s="458"/>
      <c r="H594" s="458"/>
      <c r="I594" s="458"/>
      <c r="J594" s="458"/>
      <c r="K594" s="458"/>
      <c r="L594" s="458"/>
      <c r="M594" s="458"/>
      <c r="N594" s="458"/>
      <c r="O594" s="443"/>
      <c r="P594" s="447"/>
    </row>
    <row r="595" spans="1:16" s="497" customFormat="1" ht="15">
      <c r="A595" s="443"/>
      <c r="B595" s="443"/>
      <c r="C595" s="443"/>
      <c r="D595" s="443"/>
      <c r="E595" s="458"/>
      <c r="F595" s="458"/>
      <c r="G595" s="458"/>
      <c r="H595" s="458"/>
      <c r="I595" s="458"/>
      <c r="J595" s="458"/>
      <c r="K595" s="458"/>
      <c r="L595" s="458"/>
      <c r="M595" s="458"/>
      <c r="N595" s="458"/>
      <c r="O595" s="443"/>
      <c r="P595" s="447"/>
    </row>
    <row r="596" spans="1:16" s="497" customFormat="1" ht="15">
      <c r="A596" s="443"/>
      <c r="B596" s="443"/>
      <c r="C596" s="443"/>
      <c r="D596" s="443"/>
      <c r="E596" s="458"/>
      <c r="F596" s="458"/>
      <c r="G596" s="458"/>
      <c r="H596" s="458"/>
      <c r="I596" s="458"/>
      <c r="J596" s="458"/>
      <c r="K596" s="458"/>
      <c r="L596" s="458"/>
      <c r="M596" s="458"/>
      <c r="N596" s="458"/>
      <c r="O596" s="443"/>
      <c r="P596" s="447"/>
    </row>
    <row r="597" spans="1:16" s="497" customFormat="1" ht="15">
      <c r="A597" s="443"/>
      <c r="B597" s="443"/>
      <c r="C597" s="443"/>
      <c r="D597" s="443"/>
      <c r="E597" s="458"/>
      <c r="F597" s="458"/>
      <c r="G597" s="458"/>
      <c r="H597" s="458"/>
      <c r="I597" s="458"/>
      <c r="J597" s="458"/>
      <c r="K597" s="458"/>
      <c r="L597" s="458"/>
      <c r="M597" s="458"/>
      <c r="N597" s="458"/>
      <c r="O597" s="443"/>
      <c r="P597" s="447"/>
    </row>
    <row r="598" spans="1:16" s="497" customFormat="1" ht="15">
      <c r="A598" s="443"/>
      <c r="B598" s="443"/>
      <c r="C598" s="443"/>
      <c r="D598" s="443"/>
      <c r="E598" s="458"/>
      <c r="F598" s="458"/>
      <c r="G598" s="458"/>
      <c r="H598" s="458"/>
      <c r="I598" s="458"/>
      <c r="J598" s="458"/>
      <c r="K598" s="458"/>
      <c r="L598" s="458"/>
      <c r="M598" s="458"/>
      <c r="N598" s="458"/>
      <c r="O598" s="443"/>
      <c r="P598" s="447"/>
    </row>
    <row r="599" spans="1:16" s="497" customFormat="1" ht="15">
      <c r="A599" s="443"/>
      <c r="B599" s="443"/>
      <c r="C599" s="443"/>
      <c r="D599" s="443"/>
      <c r="E599" s="458"/>
      <c r="F599" s="458"/>
      <c r="G599" s="458"/>
      <c r="H599" s="458"/>
      <c r="I599" s="458"/>
      <c r="J599" s="458"/>
      <c r="K599" s="458"/>
      <c r="L599" s="458"/>
      <c r="M599" s="458"/>
      <c r="N599" s="458"/>
      <c r="O599" s="443"/>
      <c r="P599" s="447"/>
    </row>
    <row r="600" spans="1:16" s="497" customFormat="1" ht="15">
      <c r="A600" s="443"/>
      <c r="B600" s="443"/>
      <c r="C600" s="443"/>
      <c r="D600" s="443"/>
      <c r="E600" s="458"/>
      <c r="F600" s="458"/>
      <c r="G600" s="458"/>
      <c r="H600" s="458"/>
      <c r="I600" s="458"/>
      <c r="J600" s="458"/>
      <c r="K600" s="458"/>
      <c r="L600" s="458"/>
      <c r="M600" s="458"/>
      <c r="N600" s="458"/>
      <c r="O600" s="443"/>
      <c r="P600" s="447"/>
    </row>
    <row r="601" spans="1:16" s="497" customFormat="1" ht="15">
      <c r="A601" s="443"/>
      <c r="B601" s="443"/>
      <c r="C601" s="443"/>
      <c r="D601" s="443"/>
      <c r="E601" s="458"/>
      <c r="F601" s="458"/>
      <c r="G601" s="458"/>
      <c r="H601" s="458"/>
      <c r="I601" s="458"/>
      <c r="J601" s="458"/>
      <c r="K601" s="458"/>
      <c r="L601" s="458"/>
      <c r="M601" s="458"/>
      <c r="N601" s="458"/>
      <c r="O601" s="443"/>
      <c r="P601" s="447"/>
    </row>
    <row r="602" spans="1:16" s="497" customFormat="1" ht="15">
      <c r="A602" s="443"/>
      <c r="B602" s="443"/>
      <c r="C602" s="443"/>
      <c r="D602" s="443"/>
      <c r="E602" s="458"/>
      <c r="F602" s="458"/>
      <c r="G602" s="458"/>
      <c r="H602" s="458"/>
      <c r="I602" s="458"/>
      <c r="J602" s="458"/>
      <c r="K602" s="458"/>
      <c r="L602" s="458"/>
      <c r="M602" s="458"/>
      <c r="N602" s="458"/>
      <c r="O602" s="443"/>
      <c r="P602" s="447"/>
    </row>
    <row r="603" spans="1:16" s="497" customFormat="1" ht="15">
      <c r="A603" s="443"/>
      <c r="B603" s="443"/>
      <c r="C603" s="443"/>
      <c r="D603" s="443"/>
      <c r="E603" s="458"/>
      <c r="F603" s="458"/>
      <c r="G603" s="458"/>
      <c r="H603" s="458"/>
      <c r="I603" s="458"/>
      <c r="J603" s="458"/>
      <c r="K603" s="458"/>
      <c r="L603" s="458"/>
      <c r="M603" s="458"/>
      <c r="N603" s="458"/>
      <c r="O603" s="443"/>
      <c r="P603" s="447"/>
    </row>
    <row r="604" spans="1:16" s="497" customFormat="1" ht="15">
      <c r="A604" s="443"/>
      <c r="B604" s="443"/>
      <c r="C604" s="443"/>
      <c r="D604" s="443"/>
      <c r="E604" s="458"/>
      <c r="F604" s="458"/>
      <c r="G604" s="458"/>
      <c r="H604" s="458"/>
      <c r="I604" s="458"/>
      <c r="J604" s="458"/>
      <c r="K604" s="458"/>
      <c r="L604" s="458"/>
      <c r="M604" s="458"/>
      <c r="N604" s="458"/>
      <c r="O604" s="443"/>
      <c r="P604" s="447"/>
    </row>
    <row r="605" spans="1:16" s="497" customFormat="1" ht="15">
      <c r="A605" s="443"/>
      <c r="B605" s="443"/>
      <c r="C605" s="443"/>
      <c r="D605" s="443"/>
      <c r="E605" s="458"/>
      <c r="F605" s="458"/>
      <c r="G605" s="458"/>
      <c r="H605" s="458"/>
      <c r="I605" s="458"/>
      <c r="J605" s="458"/>
      <c r="K605" s="458"/>
      <c r="L605" s="458"/>
      <c r="M605" s="458"/>
      <c r="N605" s="458"/>
      <c r="O605" s="443"/>
      <c r="P605" s="447"/>
    </row>
    <row r="606" spans="1:16" s="497" customFormat="1" ht="15">
      <c r="A606" s="443"/>
      <c r="B606" s="443"/>
      <c r="C606" s="443"/>
      <c r="D606" s="443"/>
      <c r="E606" s="458"/>
      <c r="F606" s="458"/>
      <c r="G606" s="458"/>
      <c r="H606" s="458"/>
      <c r="I606" s="458"/>
      <c r="J606" s="458"/>
      <c r="K606" s="458"/>
      <c r="L606" s="458"/>
      <c r="M606" s="458"/>
      <c r="N606" s="458"/>
      <c r="O606" s="443"/>
      <c r="P606" s="447"/>
    </row>
    <row r="607" spans="1:16" s="497" customFormat="1" ht="15">
      <c r="A607" s="443"/>
      <c r="B607" s="443"/>
      <c r="C607" s="443"/>
      <c r="D607" s="443"/>
      <c r="E607" s="458"/>
      <c r="F607" s="458"/>
      <c r="G607" s="458"/>
      <c r="H607" s="458"/>
      <c r="I607" s="458"/>
      <c r="J607" s="458"/>
      <c r="K607" s="458"/>
      <c r="L607" s="458"/>
      <c r="M607" s="458"/>
      <c r="N607" s="458"/>
      <c r="O607" s="443"/>
      <c r="P607" s="447"/>
    </row>
    <row r="608" spans="1:16" s="497" customFormat="1" ht="15">
      <c r="A608" s="443"/>
      <c r="B608" s="443"/>
      <c r="C608" s="443"/>
      <c r="D608" s="443"/>
      <c r="E608" s="458"/>
      <c r="F608" s="458"/>
      <c r="G608" s="458"/>
      <c r="H608" s="458"/>
      <c r="I608" s="458"/>
      <c r="J608" s="458"/>
      <c r="K608" s="458"/>
      <c r="L608" s="458"/>
      <c r="M608" s="458"/>
      <c r="N608" s="458"/>
      <c r="O608" s="443"/>
      <c r="P608" s="447"/>
    </row>
    <row r="609" spans="1:16" s="497" customFormat="1" ht="15">
      <c r="A609" s="443"/>
      <c r="B609" s="443"/>
      <c r="C609" s="443"/>
      <c r="D609" s="443"/>
      <c r="E609" s="458"/>
      <c r="F609" s="458"/>
      <c r="G609" s="458"/>
      <c r="H609" s="458"/>
      <c r="I609" s="458"/>
      <c r="J609" s="458"/>
      <c r="K609" s="458"/>
      <c r="L609" s="458"/>
      <c r="M609" s="458"/>
      <c r="N609" s="458"/>
      <c r="O609" s="443"/>
      <c r="P609" s="447"/>
    </row>
    <row r="610" spans="1:16" s="497" customFormat="1" ht="15">
      <c r="A610" s="443"/>
      <c r="B610" s="443"/>
      <c r="C610" s="443"/>
      <c r="D610" s="443"/>
      <c r="E610" s="458"/>
      <c r="F610" s="458"/>
      <c r="G610" s="458"/>
      <c r="H610" s="458"/>
      <c r="I610" s="458"/>
      <c r="J610" s="458"/>
      <c r="K610" s="458"/>
      <c r="L610" s="458"/>
      <c r="M610" s="458"/>
      <c r="N610" s="458"/>
      <c r="O610" s="443"/>
      <c r="P610" s="447"/>
    </row>
    <row r="611" spans="1:16" s="497" customFormat="1" ht="15">
      <c r="A611" s="443"/>
      <c r="B611" s="443"/>
      <c r="C611" s="443"/>
      <c r="D611" s="443"/>
      <c r="E611" s="458"/>
      <c r="F611" s="458"/>
      <c r="G611" s="458"/>
      <c r="H611" s="458"/>
      <c r="I611" s="458"/>
      <c r="J611" s="458"/>
      <c r="K611" s="458"/>
      <c r="L611" s="458"/>
      <c r="M611" s="458"/>
      <c r="N611" s="458"/>
      <c r="O611" s="443"/>
      <c r="P611" s="447"/>
    </row>
    <row r="612" spans="1:16" s="497" customFormat="1" ht="15">
      <c r="A612" s="443"/>
      <c r="B612" s="443"/>
      <c r="C612" s="443"/>
      <c r="D612" s="443"/>
      <c r="E612" s="458"/>
      <c r="F612" s="458"/>
      <c r="G612" s="458"/>
      <c r="H612" s="458"/>
      <c r="I612" s="458"/>
      <c r="J612" s="458"/>
      <c r="K612" s="458"/>
      <c r="L612" s="458"/>
      <c r="M612" s="458"/>
      <c r="N612" s="458"/>
      <c r="O612" s="443"/>
      <c r="P612" s="447"/>
    </row>
    <row r="613" spans="1:16" s="497" customFormat="1" ht="15">
      <c r="A613" s="443"/>
      <c r="B613" s="443"/>
      <c r="C613" s="443"/>
      <c r="D613" s="443"/>
      <c r="E613" s="458"/>
      <c r="F613" s="458"/>
      <c r="G613" s="458"/>
      <c r="H613" s="458"/>
      <c r="I613" s="458"/>
      <c r="J613" s="458"/>
      <c r="K613" s="458"/>
      <c r="L613" s="458"/>
      <c r="M613" s="458"/>
      <c r="N613" s="458"/>
      <c r="O613" s="443"/>
      <c r="P613" s="447"/>
    </row>
    <row r="614" spans="1:16" s="497" customFormat="1" ht="15">
      <c r="A614" s="443"/>
      <c r="B614" s="443"/>
      <c r="C614" s="443"/>
      <c r="D614" s="443"/>
      <c r="E614" s="458"/>
      <c r="F614" s="458"/>
      <c r="G614" s="458"/>
      <c r="H614" s="458"/>
      <c r="I614" s="458"/>
      <c r="J614" s="458"/>
      <c r="K614" s="458"/>
      <c r="L614" s="458"/>
      <c r="M614" s="458"/>
      <c r="N614" s="458"/>
      <c r="O614" s="443"/>
      <c r="P614" s="447"/>
    </row>
    <row r="615" spans="1:16" s="497" customFormat="1" ht="15">
      <c r="A615" s="443"/>
      <c r="B615" s="443"/>
      <c r="C615" s="443"/>
      <c r="D615" s="443"/>
      <c r="E615" s="458"/>
      <c r="F615" s="458"/>
      <c r="G615" s="458"/>
      <c r="H615" s="458"/>
      <c r="I615" s="458"/>
      <c r="J615" s="458"/>
      <c r="K615" s="458"/>
      <c r="L615" s="458"/>
      <c r="M615" s="458"/>
      <c r="N615" s="458"/>
      <c r="O615" s="443"/>
      <c r="P615" s="447"/>
    </row>
    <row r="616" spans="1:16" s="497" customFormat="1" ht="15">
      <c r="A616" s="443"/>
      <c r="B616" s="443"/>
      <c r="C616" s="443"/>
      <c r="D616" s="443"/>
      <c r="E616" s="458"/>
      <c r="F616" s="458"/>
      <c r="G616" s="458"/>
      <c r="H616" s="458"/>
      <c r="I616" s="458"/>
      <c r="J616" s="458"/>
      <c r="K616" s="458"/>
      <c r="L616" s="458"/>
      <c r="M616" s="458"/>
      <c r="N616" s="458"/>
      <c r="O616" s="443"/>
      <c r="P616" s="447"/>
    </row>
    <row r="617" spans="1:16" s="497" customFormat="1" ht="15">
      <c r="A617" s="443"/>
      <c r="B617" s="443"/>
      <c r="C617" s="443"/>
      <c r="D617" s="443"/>
      <c r="E617" s="458"/>
      <c r="F617" s="458"/>
      <c r="G617" s="458"/>
      <c r="H617" s="458"/>
      <c r="I617" s="458"/>
      <c r="J617" s="458"/>
      <c r="K617" s="458"/>
      <c r="L617" s="458"/>
      <c r="M617" s="458"/>
      <c r="N617" s="458"/>
      <c r="O617" s="443"/>
      <c r="P617" s="447"/>
    </row>
    <row r="618" spans="1:16" s="497" customFormat="1" ht="15">
      <c r="A618" s="443"/>
      <c r="B618" s="443"/>
      <c r="C618" s="443"/>
      <c r="D618" s="443"/>
      <c r="E618" s="458"/>
      <c r="F618" s="458"/>
      <c r="G618" s="458"/>
      <c r="H618" s="458"/>
      <c r="I618" s="458"/>
      <c r="J618" s="458"/>
      <c r="K618" s="458"/>
      <c r="L618" s="458"/>
      <c r="M618" s="458"/>
      <c r="N618" s="458"/>
      <c r="O618" s="443"/>
      <c r="P618" s="447"/>
    </row>
    <row r="619" spans="1:16" s="497" customFormat="1" ht="15">
      <c r="A619" s="443"/>
      <c r="B619" s="443"/>
      <c r="C619" s="443"/>
      <c r="D619" s="443"/>
      <c r="E619" s="458"/>
      <c r="F619" s="458"/>
      <c r="G619" s="458"/>
      <c r="H619" s="458"/>
      <c r="I619" s="458"/>
      <c r="J619" s="458"/>
      <c r="K619" s="458"/>
      <c r="L619" s="458"/>
      <c r="M619" s="458"/>
      <c r="N619" s="458"/>
      <c r="O619" s="443"/>
      <c r="P619" s="447"/>
    </row>
    <row r="620" spans="1:16" s="497" customFormat="1" ht="15">
      <c r="A620" s="443"/>
      <c r="B620" s="443"/>
      <c r="C620" s="443"/>
      <c r="D620" s="443"/>
      <c r="E620" s="458"/>
      <c r="F620" s="458"/>
      <c r="G620" s="458"/>
      <c r="H620" s="458"/>
      <c r="I620" s="458"/>
      <c r="J620" s="458"/>
      <c r="K620" s="458"/>
      <c r="L620" s="458"/>
      <c r="M620" s="458"/>
      <c r="N620" s="458"/>
      <c r="O620" s="443"/>
      <c r="P620" s="447"/>
    </row>
    <row r="621" spans="1:16" s="497" customFormat="1" ht="15">
      <c r="A621" s="443"/>
      <c r="B621" s="443"/>
      <c r="C621" s="443"/>
      <c r="D621" s="443"/>
      <c r="E621" s="458"/>
      <c r="F621" s="458"/>
      <c r="G621" s="458"/>
      <c r="H621" s="458"/>
      <c r="I621" s="458"/>
      <c r="J621" s="458"/>
      <c r="K621" s="458"/>
      <c r="L621" s="458"/>
      <c r="M621" s="458"/>
      <c r="N621" s="458"/>
      <c r="O621" s="443"/>
      <c r="P621" s="447"/>
    </row>
    <row r="622" spans="1:16" s="497" customFormat="1" ht="15">
      <c r="A622" s="443"/>
      <c r="B622" s="443"/>
      <c r="C622" s="443"/>
      <c r="D622" s="443"/>
      <c r="E622" s="458"/>
      <c r="F622" s="458"/>
      <c r="G622" s="458"/>
      <c r="H622" s="458"/>
      <c r="I622" s="458"/>
      <c r="J622" s="458"/>
      <c r="K622" s="458"/>
      <c r="L622" s="458"/>
      <c r="M622" s="458"/>
      <c r="N622" s="458"/>
      <c r="O622" s="443"/>
      <c r="P622" s="447"/>
    </row>
    <row r="623" spans="1:16" s="497" customFormat="1" ht="15">
      <c r="A623" s="443"/>
      <c r="B623" s="443"/>
      <c r="C623" s="443"/>
      <c r="D623" s="443"/>
      <c r="E623" s="458"/>
      <c r="F623" s="458"/>
      <c r="G623" s="458"/>
      <c r="H623" s="458"/>
      <c r="I623" s="458"/>
      <c r="J623" s="458"/>
      <c r="K623" s="458"/>
      <c r="L623" s="458"/>
      <c r="M623" s="458"/>
      <c r="N623" s="458"/>
      <c r="O623" s="443"/>
      <c r="P623" s="447"/>
    </row>
    <row r="624" spans="1:16" s="497" customFormat="1" ht="15">
      <c r="A624" s="443"/>
      <c r="B624" s="443"/>
      <c r="C624" s="443"/>
      <c r="D624" s="443"/>
      <c r="E624" s="458"/>
      <c r="F624" s="458"/>
      <c r="G624" s="458"/>
      <c r="H624" s="458"/>
      <c r="I624" s="458"/>
      <c r="J624" s="458"/>
      <c r="K624" s="458"/>
      <c r="L624" s="458"/>
      <c r="M624" s="458"/>
      <c r="N624" s="458"/>
      <c r="O624" s="443"/>
      <c r="P624" s="447"/>
    </row>
    <row r="625" spans="1:16" s="497" customFormat="1" ht="15">
      <c r="A625" s="443"/>
      <c r="B625" s="443"/>
      <c r="C625" s="443"/>
      <c r="D625" s="443"/>
      <c r="E625" s="458"/>
      <c r="F625" s="458"/>
      <c r="G625" s="458"/>
      <c r="H625" s="458"/>
      <c r="I625" s="458"/>
      <c r="J625" s="458"/>
      <c r="K625" s="458"/>
      <c r="L625" s="458"/>
      <c r="M625" s="458"/>
      <c r="N625" s="458"/>
      <c r="O625" s="443"/>
      <c r="P625" s="447"/>
    </row>
    <row r="626" spans="1:16" s="497" customFormat="1" ht="15">
      <c r="A626" s="443"/>
      <c r="B626" s="443"/>
      <c r="C626" s="443"/>
      <c r="D626" s="443"/>
      <c r="E626" s="458"/>
      <c r="F626" s="458"/>
      <c r="G626" s="458"/>
      <c r="H626" s="458"/>
      <c r="I626" s="458"/>
      <c r="J626" s="458"/>
      <c r="K626" s="458"/>
      <c r="L626" s="458"/>
      <c r="M626" s="458"/>
      <c r="N626" s="458"/>
      <c r="O626" s="443"/>
      <c r="P626" s="447"/>
    </row>
    <row r="627" spans="1:16" s="497" customFormat="1" ht="15">
      <c r="A627" s="443"/>
      <c r="B627" s="443"/>
      <c r="C627" s="443"/>
      <c r="D627" s="443"/>
      <c r="E627" s="458"/>
      <c r="F627" s="458"/>
      <c r="G627" s="458"/>
      <c r="H627" s="458"/>
      <c r="I627" s="458"/>
      <c r="J627" s="458"/>
      <c r="K627" s="458"/>
      <c r="L627" s="458"/>
      <c r="M627" s="458"/>
      <c r="N627" s="458"/>
      <c r="O627" s="443"/>
      <c r="P627" s="447"/>
    </row>
    <row r="628" spans="1:16" s="497" customFormat="1" ht="15">
      <c r="A628" s="443"/>
      <c r="B628" s="443"/>
      <c r="C628" s="443"/>
      <c r="D628" s="443"/>
      <c r="E628" s="458"/>
      <c r="F628" s="458"/>
      <c r="G628" s="458"/>
      <c r="H628" s="458"/>
      <c r="I628" s="458"/>
      <c r="J628" s="458"/>
      <c r="K628" s="458"/>
      <c r="L628" s="458"/>
      <c r="M628" s="458"/>
      <c r="N628" s="458"/>
      <c r="O628" s="443"/>
      <c r="P628" s="447"/>
    </row>
    <row r="629" spans="1:16" s="497" customFormat="1" ht="15">
      <c r="A629" s="443"/>
      <c r="B629" s="443"/>
      <c r="C629" s="443"/>
      <c r="D629" s="443"/>
      <c r="E629" s="458"/>
      <c r="F629" s="458"/>
      <c r="G629" s="458"/>
      <c r="H629" s="458"/>
      <c r="I629" s="458"/>
      <c r="J629" s="458"/>
      <c r="K629" s="458"/>
      <c r="L629" s="458"/>
      <c r="M629" s="458"/>
      <c r="N629" s="458"/>
      <c r="O629" s="443"/>
      <c r="P629" s="447"/>
    </row>
    <row r="630" spans="1:16" s="497" customFormat="1" ht="15">
      <c r="A630" s="443"/>
      <c r="B630" s="443"/>
      <c r="C630" s="443"/>
      <c r="D630" s="443"/>
      <c r="E630" s="458"/>
      <c r="F630" s="458"/>
      <c r="G630" s="458"/>
      <c r="H630" s="458"/>
      <c r="I630" s="458"/>
      <c r="J630" s="458"/>
      <c r="K630" s="458"/>
      <c r="L630" s="458"/>
      <c r="M630" s="458"/>
      <c r="N630" s="458"/>
      <c r="O630" s="443"/>
      <c r="P630" s="447"/>
    </row>
    <row r="631" spans="1:16" s="497" customFormat="1" ht="15">
      <c r="A631" s="443"/>
      <c r="B631" s="443"/>
      <c r="C631" s="443"/>
      <c r="D631" s="443"/>
      <c r="E631" s="458"/>
      <c r="F631" s="458"/>
      <c r="G631" s="458"/>
      <c r="H631" s="458"/>
      <c r="I631" s="458"/>
      <c r="J631" s="458"/>
      <c r="K631" s="458"/>
      <c r="L631" s="458"/>
      <c r="M631" s="458"/>
      <c r="N631" s="458"/>
      <c r="O631" s="443"/>
      <c r="P631" s="447"/>
    </row>
    <row r="632" spans="1:16" s="497" customFormat="1" ht="15">
      <c r="A632" s="443"/>
      <c r="B632" s="443"/>
      <c r="C632" s="443"/>
      <c r="D632" s="443"/>
      <c r="E632" s="458"/>
      <c r="F632" s="458"/>
      <c r="G632" s="458"/>
      <c r="H632" s="458"/>
      <c r="I632" s="458"/>
      <c r="J632" s="458"/>
      <c r="K632" s="458"/>
      <c r="L632" s="458"/>
      <c r="M632" s="458"/>
      <c r="N632" s="458"/>
      <c r="O632" s="443"/>
      <c r="P632" s="447"/>
    </row>
    <row r="633" spans="1:16" s="497" customFormat="1" ht="15">
      <c r="A633" s="443"/>
      <c r="B633" s="443"/>
      <c r="C633" s="443"/>
      <c r="D633" s="443"/>
      <c r="E633" s="458"/>
      <c r="F633" s="458"/>
      <c r="G633" s="458"/>
      <c r="H633" s="458"/>
      <c r="I633" s="458"/>
      <c r="J633" s="458"/>
      <c r="K633" s="458"/>
      <c r="L633" s="458"/>
      <c r="M633" s="458"/>
      <c r="N633" s="458"/>
      <c r="O633" s="443"/>
      <c r="P633" s="447"/>
    </row>
    <row r="634" spans="1:16" s="497" customFormat="1" ht="15">
      <c r="A634" s="443"/>
      <c r="B634" s="443"/>
      <c r="C634" s="443"/>
      <c r="D634" s="443"/>
      <c r="E634" s="458"/>
      <c r="F634" s="458"/>
      <c r="G634" s="458"/>
      <c r="H634" s="458"/>
      <c r="I634" s="458"/>
      <c r="J634" s="458"/>
      <c r="K634" s="458"/>
      <c r="L634" s="458"/>
      <c r="M634" s="458"/>
      <c r="N634" s="458"/>
      <c r="O634" s="443"/>
      <c r="P634" s="447"/>
    </row>
    <row r="635" spans="1:16" s="497" customFormat="1" ht="15">
      <c r="A635" s="443"/>
      <c r="B635" s="443"/>
      <c r="C635" s="443"/>
      <c r="D635" s="443"/>
      <c r="E635" s="458"/>
      <c r="F635" s="458"/>
      <c r="G635" s="458"/>
      <c r="H635" s="458"/>
      <c r="I635" s="458"/>
      <c r="J635" s="458"/>
      <c r="K635" s="458"/>
      <c r="L635" s="458"/>
      <c r="M635" s="458"/>
      <c r="N635" s="458"/>
      <c r="O635" s="443"/>
      <c r="P635" s="447"/>
    </row>
    <row r="636" spans="1:16" s="497" customFormat="1" ht="15">
      <c r="A636" s="443"/>
      <c r="B636" s="443"/>
      <c r="C636" s="443"/>
      <c r="D636" s="443"/>
      <c r="E636" s="458"/>
      <c r="F636" s="458"/>
      <c r="G636" s="458"/>
      <c r="H636" s="458"/>
      <c r="I636" s="458"/>
      <c r="J636" s="458"/>
      <c r="K636" s="458"/>
      <c r="L636" s="458"/>
      <c r="M636" s="458"/>
      <c r="N636" s="458"/>
      <c r="O636" s="443"/>
      <c r="P636" s="447"/>
    </row>
    <row r="637" spans="1:16" s="497" customFormat="1" ht="15">
      <c r="A637" s="443"/>
      <c r="B637" s="443"/>
      <c r="C637" s="443"/>
      <c r="D637" s="443"/>
      <c r="E637" s="458"/>
      <c r="F637" s="458"/>
      <c r="G637" s="458"/>
      <c r="H637" s="458"/>
      <c r="I637" s="458"/>
      <c r="J637" s="458"/>
      <c r="K637" s="458"/>
      <c r="L637" s="458"/>
      <c r="M637" s="458"/>
      <c r="N637" s="458"/>
      <c r="O637" s="443"/>
      <c r="P637" s="447"/>
    </row>
    <row r="638" spans="1:16" s="497" customFormat="1" ht="15">
      <c r="A638" s="443"/>
      <c r="B638" s="443"/>
      <c r="C638" s="443"/>
      <c r="D638" s="443"/>
      <c r="E638" s="458"/>
      <c r="F638" s="458"/>
      <c r="G638" s="458"/>
      <c r="H638" s="458"/>
      <c r="I638" s="458"/>
      <c r="J638" s="458"/>
      <c r="K638" s="458"/>
      <c r="L638" s="458"/>
      <c r="M638" s="458"/>
      <c r="N638" s="458"/>
      <c r="O638" s="443"/>
      <c r="P638" s="447"/>
    </row>
    <row r="639" spans="1:16" s="497" customFormat="1" ht="15">
      <c r="A639" s="443"/>
      <c r="B639" s="443"/>
      <c r="C639" s="443"/>
      <c r="D639" s="443"/>
      <c r="E639" s="458"/>
      <c r="F639" s="458"/>
      <c r="G639" s="458"/>
      <c r="H639" s="458"/>
      <c r="I639" s="458"/>
      <c r="J639" s="458"/>
      <c r="K639" s="458"/>
      <c r="L639" s="458"/>
      <c r="M639" s="458"/>
      <c r="N639" s="458"/>
      <c r="O639" s="443"/>
      <c r="P639" s="447"/>
    </row>
    <row r="640" spans="1:16" s="497" customFormat="1" ht="15">
      <c r="A640" s="443"/>
      <c r="B640" s="443"/>
      <c r="C640" s="443"/>
      <c r="D640" s="443"/>
      <c r="E640" s="458"/>
      <c r="F640" s="458"/>
      <c r="G640" s="458"/>
      <c r="H640" s="458"/>
      <c r="I640" s="458"/>
      <c r="J640" s="458"/>
      <c r="K640" s="458"/>
      <c r="L640" s="458"/>
      <c r="M640" s="458"/>
      <c r="N640" s="458"/>
      <c r="O640" s="443"/>
      <c r="P640" s="447"/>
    </row>
    <row r="641" spans="1:16" s="497" customFormat="1" ht="15">
      <c r="A641" s="443"/>
      <c r="B641" s="443"/>
      <c r="C641" s="443"/>
      <c r="D641" s="443"/>
      <c r="E641" s="458"/>
      <c r="F641" s="458"/>
      <c r="G641" s="458"/>
      <c r="H641" s="458"/>
      <c r="I641" s="458"/>
      <c r="J641" s="458"/>
      <c r="K641" s="458"/>
      <c r="L641" s="458"/>
      <c r="M641" s="458"/>
      <c r="N641" s="458"/>
      <c r="O641" s="443"/>
      <c r="P641" s="447"/>
    </row>
    <row r="642" spans="1:16" s="497" customFormat="1" ht="15">
      <c r="A642" s="443"/>
      <c r="B642" s="443"/>
      <c r="C642" s="443"/>
      <c r="D642" s="443"/>
      <c r="E642" s="458"/>
      <c r="F642" s="458"/>
      <c r="G642" s="458"/>
      <c r="H642" s="458"/>
      <c r="I642" s="458"/>
      <c r="J642" s="458"/>
      <c r="K642" s="458"/>
      <c r="L642" s="458"/>
      <c r="M642" s="458"/>
      <c r="N642" s="458"/>
      <c r="O642" s="443"/>
      <c r="P642" s="447"/>
    </row>
    <row r="643" spans="1:16" s="497" customFormat="1" ht="15">
      <c r="A643" s="443"/>
      <c r="B643" s="443"/>
      <c r="C643" s="443"/>
      <c r="D643" s="443"/>
      <c r="E643" s="458"/>
      <c r="F643" s="458"/>
      <c r="G643" s="458"/>
      <c r="H643" s="458"/>
      <c r="I643" s="458"/>
      <c r="J643" s="458"/>
      <c r="K643" s="458"/>
      <c r="L643" s="458"/>
      <c r="M643" s="458"/>
      <c r="N643" s="458"/>
      <c r="O643" s="443"/>
      <c r="P643" s="447"/>
    </row>
    <row r="644" spans="1:16" s="497" customFormat="1" ht="15">
      <c r="A644" s="443"/>
      <c r="B644" s="443"/>
      <c r="C644" s="443"/>
      <c r="D644" s="443"/>
      <c r="E644" s="458"/>
      <c r="F644" s="458"/>
      <c r="G644" s="458"/>
      <c r="H644" s="458"/>
      <c r="I644" s="458"/>
      <c r="J644" s="458"/>
      <c r="K644" s="458"/>
      <c r="L644" s="458"/>
      <c r="M644" s="458"/>
      <c r="N644" s="458"/>
      <c r="O644" s="443"/>
      <c r="P644" s="447"/>
    </row>
    <row r="645" spans="1:16" s="497" customFormat="1" ht="15">
      <c r="A645" s="443"/>
      <c r="B645" s="443"/>
      <c r="C645" s="443"/>
      <c r="D645" s="443"/>
      <c r="E645" s="458"/>
      <c r="F645" s="458"/>
      <c r="G645" s="458"/>
      <c r="H645" s="458"/>
      <c r="I645" s="458"/>
      <c r="J645" s="458"/>
      <c r="K645" s="458"/>
      <c r="L645" s="458"/>
      <c r="M645" s="458"/>
      <c r="N645" s="458"/>
      <c r="O645" s="443"/>
      <c r="P645" s="447"/>
    </row>
    <row r="646" spans="1:16" s="497" customFormat="1" ht="15">
      <c r="A646" s="443"/>
      <c r="B646" s="443"/>
      <c r="C646" s="443"/>
      <c r="D646" s="443"/>
      <c r="E646" s="458"/>
      <c r="F646" s="458"/>
      <c r="G646" s="458"/>
      <c r="H646" s="458"/>
      <c r="I646" s="458"/>
      <c r="J646" s="458"/>
      <c r="K646" s="458"/>
      <c r="L646" s="458"/>
      <c r="M646" s="458"/>
      <c r="N646" s="458"/>
      <c r="O646" s="443"/>
      <c r="P646" s="447"/>
    </row>
    <row r="647" spans="1:16" s="497" customFormat="1" ht="15">
      <c r="A647" s="443"/>
      <c r="B647" s="443"/>
      <c r="C647" s="443"/>
      <c r="D647" s="443"/>
      <c r="E647" s="458"/>
      <c r="F647" s="458"/>
      <c r="G647" s="458"/>
      <c r="H647" s="458"/>
      <c r="I647" s="458"/>
      <c r="J647" s="458"/>
      <c r="K647" s="458"/>
      <c r="L647" s="458"/>
      <c r="M647" s="458"/>
      <c r="N647" s="458"/>
      <c r="O647" s="443"/>
      <c r="P647" s="447"/>
    </row>
    <row r="648" spans="1:16" s="497" customFormat="1" ht="15">
      <c r="A648" s="443"/>
      <c r="B648" s="443"/>
      <c r="C648" s="443"/>
      <c r="D648" s="443"/>
      <c r="E648" s="458"/>
      <c r="F648" s="458"/>
      <c r="G648" s="458"/>
      <c r="H648" s="458"/>
      <c r="I648" s="458"/>
      <c r="J648" s="458"/>
      <c r="K648" s="458"/>
      <c r="L648" s="458"/>
      <c r="M648" s="458"/>
      <c r="N648" s="458"/>
      <c r="O648" s="443"/>
      <c r="P648" s="447"/>
    </row>
    <row r="649" spans="1:16" s="497" customFormat="1" ht="15">
      <c r="A649" s="443"/>
      <c r="B649" s="443"/>
      <c r="C649" s="443"/>
      <c r="D649" s="443"/>
      <c r="E649" s="458"/>
      <c r="F649" s="458"/>
      <c r="G649" s="458"/>
      <c r="H649" s="458"/>
      <c r="I649" s="458"/>
      <c r="J649" s="458"/>
      <c r="K649" s="458"/>
      <c r="L649" s="458"/>
      <c r="M649" s="458"/>
      <c r="N649" s="458"/>
      <c r="O649" s="443"/>
      <c r="P649" s="447"/>
    </row>
    <row r="650" spans="1:16" s="497" customFormat="1" ht="15">
      <c r="A650" s="443"/>
      <c r="B650" s="443"/>
      <c r="C650" s="443"/>
      <c r="D650" s="443"/>
      <c r="E650" s="458"/>
      <c r="F650" s="458"/>
      <c r="G650" s="458"/>
      <c r="H650" s="458"/>
      <c r="I650" s="458"/>
      <c r="J650" s="458"/>
      <c r="K650" s="458"/>
      <c r="L650" s="458"/>
      <c r="M650" s="458"/>
      <c r="N650" s="458"/>
      <c r="O650" s="443"/>
      <c r="P650" s="447"/>
    </row>
    <row r="651" spans="1:16" s="497" customFormat="1" ht="15">
      <c r="A651" s="443"/>
      <c r="B651" s="443"/>
      <c r="C651" s="443"/>
      <c r="D651" s="443"/>
      <c r="E651" s="458"/>
      <c r="F651" s="458"/>
      <c r="G651" s="458"/>
      <c r="H651" s="458"/>
      <c r="I651" s="458"/>
      <c r="J651" s="458"/>
      <c r="K651" s="458"/>
      <c r="L651" s="458"/>
      <c r="M651" s="458"/>
      <c r="N651" s="458"/>
      <c r="O651" s="443"/>
      <c r="P651" s="447"/>
    </row>
    <row r="652" spans="1:16" s="497" customFormat="1" ht="15">
      <c r="A652" s="443"/>
      <c r="B652" s="443"/>
      <c r="C652" s="443"/>
      <c r="D652" s="443"/>
      <c r="E652" s="458"/>
      <c r="F652" s="458"/>
      <c r="G652" s="458"/>
      <c r="H652" s="458"/>
      <c r="I652" s="458"/>
      <c r="J652" s="458"/>
      <c r="K652" s="458"/>
      <c r="L652" s="458"/>
      <c r="M652" s="458"/>
      <c r="N652" s="458"/>
      <c r="O652" s="443"/>
      <c r="P652" s="447"/>
    </row>
    <row r="653" spans="1:16" s="497" customFormat="1" ht="15">
      <c r="A653" s="443"/>
      <c r="B653" s="443"/>
      <c r="C653" s="443"/>
      <c r="D653" s="443"/>
      <c r="E653" s="458"/>
      <c r="F653" s="458"/>
      <c r="G653" s="458"/>
      <c r="H653" s="458"/>
      <c r="I653" s="458"/>
      <c r="J653" s="458"/>
      <c r="K653" s="458"/>
      <c r="L653" s="458"/>
      <c r="M653" s="458"/>
      <c r="N653" s="458"/>
      <c r="O653" s="443"/>
      <c r="P653" s="447"/>
    </row>
    <row r="654" spans="1:16" s="497" customFormat="1" ht="15">
      <c r="A654" s="443"/>
      <c r="B654" s="443"/>
      <c r="C654" s="443"/>
      <c r="D654" s="443"/>
      <c r="E654" s="458"/>
      <c r="F654" s="458"/>
      <c r="G654" s="458"/>
      <c r="H654" s="458"/>
      <c r="I654" s="458"/>
      <c r="J654" s="458"/>
      <c r="K654" s="458"/>
      <c r="L654" s="458"/>
      <c r="M654" s="458"/>
      <c r="N654" s="458"/>
      <c r="O654" s="443"/>
      <c r="P654" s="447"/>
    </row>
    <row r="655" spans="1:16" s="497" customFormat="1" ht="15">
      <c r="A655" s="443"/>
      <c r="B655" s="443"/>
      <c r="C655" s="443"/>
      <c r="D655" s="443"/>
      <c r="E655" s="458"/>
      <c r="F655" s="458"/>
      <c r="G655" s="458"/>
      <c r="H655" s="458"/>
      <c r="I655" s="458"/>
      <c r="J655" s="458"/>
      <c r="K655" s="458"/>
      <c r="L655" s="458"/>
      <c r="M655" s="458"/>
      <c r="N655" s="458"/>
      <c r="O655" s="443"/>
      <c r="P655" s="447"/>
    </row>
    <row r="656" spans="1:16" s="497" customFormat="1" ht="15">
      <c r="A656" s="443"/>
      <c r="B656" s="443"/>
      <c r="C656" s="443"/>
      <c r="D656" s="443"/>
      <c r="E656" s="458"/>
      <c r="F656" s="458"/>
      <c r="G656" s="458"/>
      <c r="H656" s="458"/>
      <c r="I656" s="458"/>
      <c r="J656" s="458"/>
      <c r="K656" s="458"/>
      <c r="L656" s="458"/>
      <c r="M656" s="458"/>
      <c r="N656" s="458"/>
      <c r="O656" s="443"/>
      <c r="P656" s="447"/>
    </row>
    <row r="657" spans="1:16" s="497" customFormat="1" ht="15">
      <c r="A657" s="443"/>
      <c r="B657" s="443"/>
      <c r="C657" s="443"/>
      <c r="D657" s="443"/>
      <c r="E657" s="458"/>
      <c r="F657" s="458"/>
      <c r="G657" s="458"/>
      <c r="H657" s="458"/>
      <c r="I657" s="458"/>
      <c r="J657" s="458"/>
      <c r="K657" s="458"/>
      <c r="L657" s="458"/>
      <c r="M657" s="458"/>
      <c r="N657" s="458"/>
      <c r="O657" s="443"/>
      <c r="P657" s="447"/>
    </row>
    <row r="658" spans="1:16" s="497" customFormat="1" ht="15">
      <c r="A658" s="443"/>
      <c r="B658" s="443"/>
      <c r="C658" s="443"/>
      <c r="D658" s="443"/>
      <c r="E658" s="458"/>
      <c r="F658" s="458"/>
      <c r="G658" s="458"/>
      <c r="H658" s="458"/>
      <c r="I658" s="458"/>
      <c r="J658" s="458"/>
      <c r="K658" s="458"/>
      <c r="L658" s="458"/>
      <c r="M658" s="458"/>
      <c r="N658" s="458"/>
      <c r="O658" s="443"/>
      <c r="P658" s="447"/>
    </row>
    <row r="659" spans="1:16" s="497" customFormat="1" ht="15">
      <c r="A659" s="443"/>
      <c r="B659" s="443"/>
      <c r="C659" s="443"/>
      <c r="D659" s="443"/>
      <c r="E659" s="458"/>
      <c r="F659" s="458"/>
      <c r="G659" s="458"/>
      <c r="H659" s="458"/>
      <c r="I659" s="458"/>
      <c r="J659" s="458"/>
      <c r="K659" s="458"/>
      <c r="L659" s="458"/>
      <c r="M659" s="458"/>
      <c r="N659" s="458"/>
      <c r="O659" s="443"/>
      <c r="P659" s="447"/>
    </row>
    <row r="660" spans="1:16" s="497" customFormat="1" ht="15">
      <c r="A660" s="443"/>
      <c r="B660" s="443"/>
      <c r="C660" s="443"/>
      <c r="D660" s="443"/>
      <c r="E660" s="458"/>
      <c r="F660" s="458"/>
      <c r="G660" s="458"/>
      <c r="H660" s="458"/>
      <c r="I660" s="458"/>
      <c r="J660" s="458"/>
      <c r="K660" s="458"/>
      <c r="L660" s="458"/>
      <c r="M660" s="458"/>
      <c r="N660" s="458"/>
      <c r="O660" s="443"/>
      <c r="P660" s="447"/>
    </row>
    <row r="661" spans="1:16" s="497" customFormat="1" ht="15">
      <c r="A661" s="443"/>
      <c r="B661" s="443"/>
      <c r="C661" s="443"/>
      <c r="D661" s="443"/>
      <c r="E661" s="458"/>
      <c r="F661" s="458"/>
      <c r="G661" s="458"/>
      <c r="H661" s="458"/>
      <c r="I661" s="458"/>
      <c r="J661" s="458"/>
      <c r="K661" s="458"/>
      <c r="L661" s="458"/>
      <c r="M661" s="458"/>
      <c r="N661" s="458"/>
      <c r="O661" s="443"/>
      <c r="P661" s="447"/>
    </row>
    <row r="662" spans="1:16" s="497" customFormat="1" ht="15">
      <c r="A662" s="443"/>
      <c r="B662" s="443"/>
      <c r="C662" s="443"/>
      <c r="D662" s="443"/>
      <c r="E662" s="458"/>
      <c r="F662" s="458"/>
      <c r="G662" s="458"/>
      <c r="H662" s="458"/>
      <c r="I662" s="458"/>
      <c r="J662" s="458"/>
      <c r="K662" s="458"/>
      <c r="L662" s="458"/>
      <c r="M662" s="458"/>
      <c r="N662" s="458"/>
      <c r="O662" s="443"/>
      <c r="P662" s="447"/>
    </row>
    <row r="663" spans="1:16" s="497" customFormat="1" ht="15">
      <c r="A663" s="443"/>
      <c r="B663" s="443"/>
      <c r="C663" s="443"/>
      <c r="D663" s="443"/>
      <c r="E663" s="458"/>
      <c r="F663" s="458"/>
      <c r="G663" s="458"/>
      <c r="H663" s="458"/>
      <c r="I663" s="458"/>
      <c r="J663" s="458"/>
      <c r="K663" s="458"/>
      <c r="L663" s="458"/>
      <c r="M663" s="458"/>
      <c r="N663" s="458"/>
      <c r="O663" s="443"/>
      <c r="P663" s="447"/>
    </row>
    <row r="664" spans="1:16" s="497" customFormat="1" ht="15">
      <c r="A664" s="443"/>
      <c r="B664" s="443"/>
      <c r="C664" s="443"/>
      <c r="D664" s="443"/>
      <c r="E664" s="458"/>
      <c r="F664" s="458"/>
      <c r="G664" s="458"/>
      <c r="H664" s="458"/>
      <c r="I664" s="458"/>
      <c r="J664" s="458"/>
      <c r="K664" s="458"/>
      <c r="L664" s="458"/>
      <c r="M664" s="458"/>
      <c r="N664" s="458"/>
      <c r="O664" s="443"/>
      <c r="P664" s="447"/>
    </row>
    <row r="665" spans="1:16" s="497" customFormat="1" ht="15">
      <c r="A665" s="443"/>
      <c r="B665" s="443"/>
      <c r="C665" s="443"/>
      <c r="D665" s="443"/>
      <c r="E665" s="458"/>
      <c r="F665" s="458"/>
      <c r="G665" s="458"/>
      <c r="H665" s="458"/>
      <c r="I665" s="458"/>
      <c r="J665" s="458"/>
      <c r="K665" s="458"/>
      <c r="L665" s="458"/>
      <c r="M665" s="458"/>
      <c r="N665" s="458"/>
      <c r="O665" s="443"/>
      <c r="P665" s="447"/>
    </row>
    <row r="666" spans="1:16" s="497" customFormat="1" ht="15">
      <c r="A666" s="443"/>
      <c r="B666" s="443"/>
      <c r="C666" s="443"/>
      <c r="D666" s="443"/>
      <c r="E666" s="458"/>
      <c r="F666" s="458"/>
      <c r="G666" s="458"/>
      <c r="H666" s="458"/>
      <c r="I666" s="458"/>
      <c r="J666" s="458"/>
      <c r="K666" s="458"/>
      <c r="L666" s="458"/>
      <c r="M666" s="458"/>
      <c r="N666" s="458"/>
      <c r="O666" s="443"/>
      <c r="P666" s="447"/>
    </row>
    <row r="667" spans="1:16" s="497" customFormat="1" ht="15">
      <c r="A667" s="443"/>
      <c r="B667" s="443"/>
      <c r="C667" s="443"/>
      <c r="D667" s="443"/>
      <c r="E667" s="458"/>
      <c r="F667" s="458"/>
      <c r="G667" s="458"/>
      <c r="H667" s="458"/>
      <c r="I667" s="458"/>
      <c r="J667" s="458"/>
      <c r="K667" s="458"/>
      <c r="L667" s="458"/>
      <c r="M667" s="458"/>
      <c r="N667" s="458"/>
      <c r="O667" s="443"/>
      <c r="P667" s="447"/>
    </row>
    <row r="668" spans="1:16" s="497" customFormat="1" ht="15">
      <c r="A668" s="443"/>
      <c r="B668" s="443"/>
      <c r="C668" s="443"/>
      <c r="D668" s="443"/>
      <c r="E668" s="458"/>
      <c r="F668" s="458"/>
      <c r="G668" s="458"/>
      <c r="H668" s="458"/>
      <c r="I668" s="458"/>
      <c r="J668" s="458"/>
      <c r="K668" s="458"/>
      <c r="L668" s="458"/>
      <c r="M668" s="458"/>
      <c r="N668" s="458"/>
      <c r="O668" s="443"/>
      <c r="P668" s="447"/>
    </row>
    <row r="669" spans="1:16" s="497" customFormat="1" ht="15">
      <c r="A669" s="443"/>
      <c r="B669" s="443"/>
      <c r="C669" s="443"/>
      <c r="D669" s="443"/>
      <c r="E669" s="458"/>
      <c r="F669" s="458"/>
      <c r="G669" s="458"/>
      <c r="H669" s="458"/>
      <c r="I669" s="458"/>
      <c r="J669" s="458"/>
      <c r="K669" s="458"/>
      <c r="L669" s="458"/>
      <c r="M669" s="458"/>
      <c r="N669" s="458"/>
      <c r="O669" s="443"/>
      <c r="P669" s="447"/>
    </row>
    <row r="670" spans="1:16" s="497" customFormat="1" ht="15">
      <c r="A670" s="443"/>
      <c r="B670" s="443"/>
      <c r="C670" s="443"/>
      <c r="D670" s="443"/>
      <c r="E670" s="458"/>
      <c r="F670" s="458"/>
      <c r="G670" s="458"/>
      <c r="H670" s="458"/>
      <c r="I670" s="458"/>
      <c r="J670" s="458"/>
      <c r="K670" s="458"/>
      <c r="L670" s="458"/>
      <c r="M670" s="458"/>
      <c r="N670" s="458"/>
      <c r="O670" s="443"/>
      <c r="P670" s="447"/>
    </row>
    <row r="671" spans="1:16" s="497" customFormat="1" ht="15">
      <c r="A671" s="443"/>
      <c r="B671" s="443"/>
      <c r="C671" s="443"/>
      <c r="D671" s="443"/>
      <c r="E671" s="458"/>
      <c r="F671" s="458"/>
      <c r="G671" s="458"/>
      <c r="H671" s="458"/>
      <c r="I671" s="458"/>
      <c r="J671" s="458"/>
      <c r="K671" s="458"/>
      <c r="L671" s="458"/>
      <c r="M671" s="458"/>
      <c r="N671" s="458"/>
      <c r="O671" s="443"/>
      <c r="P671" s="447"/>
    </row>
    <row r="672" spans="1:16" s="497" customFormat="1" ht="15">
      <c r="A672" s="443"/>
      <c r="B672" s="443"/>
      <c r="C672" s="443"/>
      <c r="D672" s="443"/>
      <c r="E672" s="458"/>
      <c r="F672" s="458"/>
      <c r="G672" s="458"/>
      <c r="H672" s="458"/>
      <c r="I672" s="458"/>
      <c r="J672" s="458"/>
      <c r="K672" s="458"/>
      <c r="L672" s="458"/>
      <c r="M672" s="458"/>
      <c r="N672" s="458"/>
      <c r="O672" s="443"/>
      <c r="P672" s="447"/>
    </row>
    <row r="673" spans="1:16" s="497" customFormat="1" ht="15">
      <c r="A673" s="443"/>
      <c r="B673" s="443"/>
      <c r="C673" s="443"/>
      <c r="D673" s="443"/>
      <c r="E673" s="458"/>
      <c r="F673" s="458"/>
      <c r="G673" s="458"/>
      <c r="H673" s="458"/>
      <c r="I673" s="458"/>
      <c r="J673" s="458"/>
      <c r="K673" s="458"/>
      <c r="L673" s="458"/>
      <c r="M673" s="458"/>
      <c r="N673" s="458"/>
      <c r="O673" s="443"/>
      <c r="P673" s="447"/>
    </row>
    <row r="674" spans="1:16" s="497" customFormat="1" ht="15">
      <c r="A674" s="443"/>
      <c r="B674" s="443"/>
      <c r="C674" s="443"/>
      <c r="D674" s="443"/>
      <c r="E674" s="458"/>
      <c r="F674" s="458"/>
      <c r="G674" s="458"/>
      <c r="H674" s="458"/>
      <c r="I674" s="458"/>
      <c r="J674" s="458"/>
      <c r="K674" s="458"/>
      <c r="L674" s="458"/>
      <c r="M674" s="458"/>
      <c r="N674" s="458"/>
      <c r="O674" s="443"/>
      <c r="P674" s="447"/>
    </row>
    <row r="675" spans="1:16" s="497" customFormat="1" ht="15">
      <c r="A675" s="443"/>
      <c r="B675" s="443"/>
      <c r="C675" s="443"/>
      <c r="D675" s="443"/>
      <c r="E675" s="458"/>
      <c r="F675" s="458"/>
      <c r="G675" s="458"/>
      <c r="H675" s="458"/>
      <c r="I675" s="458"/>
      <c r="J675" s="458"/>
      <c r="K675" s="458"/>
      <c r="L675" s="458"/>
      <c r="M675" s="458"/>
      <c r="N675" s="458"/>
      <c r="O675" s="443"/>
      <c r="P675" s="447"/>
    </row>
    <row r="676" spans="1:16" s="497" customFormat="1" ht="15">
      <c r="A676" s="443"/>
      <c r="B676" s="443"/>
      <c r="C676" s="443"/>
      <c r="D676" s="443"/>
      <c r="E676" s="458"/>
      <c r="F676" s="458"/>
      <c r="G676" s="458"/>
      <c r="H676" s="458"/>
      <c r="I676" s="458"/>
      <c r="J676" s="458"/>
      <c r="K676" s="458"/>
      <c r="L676" s="458"/>
      <c r="M676" s="458"/>
      <c r="N676" s="458"/>
      <c r="O676" s="443"/>
      <c r="P676" s="447"/>
    </row>
    <row r="677" spans="1:16" s="497" customFormat="1" ht="15">
      <c r="A677" s="443"/>
      <c r="B677" s="443"/>
      <c r="C677" s="443"/>
      <c r="D677" s="443"/>
      <c r="E677" s="458"/>
      <c r="F677" s="458"/>
      <c r="G677" s="458"/>
      <c r="H677" s="458"/>
      <c r="I677" s="458"/>
      <c r="J677" s="458"/>
      <c r="K677" s="458"/>
      <c r="L677" s="458"/>
      <c r="M677" s="458"/>
      <c r="N677" s="458"/>
      <c r="O677" s="443"/>
      <c r="P677" s="447"/>
    </row>
    <row r="678" spans="1:16" s="497" customFormat="1" ht="15">
      <c r="A678" s="443"/>
      <c r="B678" s="443"/>
      <c r="C678" s="443"/>
      <c r="D678" s="443"/>
      <c r="E678" s="458"/>
      <c r="F678" s="458"/>
      <c r="G678" s="458"/>
      <c r="H678" s="458"/>
      <c r="I678" s="458"/>
      <c r="J678" s="458"/>
      <c r="K678" s="458"/>
      <c r="L678" s="458"/>
      <c r="M678" s="458"/>
      <c r="N678" s="458"/>
      <c r="O678" s="443"/>
      <c r="P678" s="447"/>
    </row>
    <row r="679" spans="1:16" s="497" customFormat="1" ht="15">
      <c r="A679" s="443"/>
      <c r="B679" s="443"/>
      <c r="C679" s="443"/>
      <c r="D679" s="443"/>
      <c r="E679" s="458"/>
      <c r="F679" s="458"/>
      <c r="G679" s="458"/>
      <c r="H679" s="458"/>
      <c r="I679" s="458"/>
      <c r="J679" s="458"/>
      <c r="K679" s="458"/>
      <c r="L679" s="458"/>
      <c r="M679" s="458"/>
      <c r="N679" s="458"/>
      <c r="O679" s="443"/>
      <c r="P679" s="447"/>
    </row>
    <row r="680" spans="1:16" s="497" customFormat="1" ht="15">
      <c r="A680" s="443"/>
      <c r="B680" s="443"/>
      <c r="C680" s="443"/>
      <c r="D680" s="443"/>
      <c r="E680" s="458"/>
      <c r="F680" s="458"/>
      <c r="G680" s="458"/>
      <c r="H680" s="458"/>
      <c r="I680" s="458"/>
      <c r="J680" s="458"/>
      <c r="K680" s="458"/>
      <c r="L680" s="458"/>
      <c r="M680" s="458"/>
      <c r="N680" s="458"/>
      <c r="O680" s="443"/>
      <c r="P680" s="447"/>
    </row>
    <row r="681" spans="1:16" s="497" customFormat="1" ht="15">
      <c r="A681" s="443"/>
      <c r="B681" s="443"/>
      <c r="C681" s="443"/>
      <c r="D681" s="443"/>
      <c r="E681" s="458"/>
      <c r="F681" s="458"/>
      <c r="G681" s="458"/>
      <c r="H681" s="458"/>
      <c r="I681" s="458"/>
      <c r="J681" s="458"/>
      <c r="K681" s="458"/>
      <c r="L681" s="458"/>
      <c r="M681" s="458"/>
      <c r="N681" s="458"/>
      <c r="O681" s="443"/>
      <c r="P681" s="447"/>
    </row>
    <row r="682" spans="1:16" s="497" customFormat="1" ht="15">
      <c r="A682" s="443"/>
      <c r="B682" s="443"/>
      <c r="C682" s="443"/>
      <c r="D682" s="443"/>
      <c r="E682" s="458"/>
      <c r="F682" s="458"/>
      <c r="G682" s="458"/>
      <c r="H682" s="458"/>
      <c r="I682" s="458"/>
      <c r="J682" s="458"/>
      <c r="K682" s="458"/>
      <c r="L682" s="458"/>
      <c r="M682" s="458"/>
      <c r="N682" s="458"/>
      <c r="O682" s="443"/>
      <c r="P682" s="447"/>
    </row>
    <row r="683" spans="1:16" s="497" customFormat="1" ht="15">
      <c r="A683" s="443"/>
      <c r="B683" s="443"/>
      <c r="C683" s="443"/>
      <c r="D683" s="443"/>
      <c r="E683" s="458"/>
      <c r="F683" s="458"/>
      <c r="G683" s="458"/>
      <c r="H683" s="458"/>
      <c r="I683" s="458"/>
      <c r="J683" s="458"/>
      <c r="K683" s="458"/>
      <c r="L683" s="458"/>
      <c r="M683" s="458"/>
      <c r="N683" s="458"/>
      <c r="O683" s="443"/>
      <c r="P683" s="447"/>
    </row>
    <row r="684" spans="1:16" s="497" customFormat="1" ht="15">
      <c r="A684" s="443"/>
      <c r="B684" s="443"/>
      <c r="C684" s="443"/>
      <c r="D684" s="443"/>
      <c r="E684" s="458"/>
      <c r="F684" s="458"/>
      <c r="G684" s="458"/>
      <c r="H684" s="458"/>
      <c r="I684" s="458"/>
      <c r="J684" s="458"/>
      <c r="K684" s="458"/>
      <c r="L684" s="458"/>
      <c r="M684" s="458"/>
      <c r="N684" s="458"/>
      <c r="O684" s="443"/>
      <c r="P684" s="447"/>
    </row>
    <row r="685" spans="1:16" s="497" customFormat="1" ht="15">
      <c r="A685" s="443"/>
      <c r="B685" s="443"/>
      <c r="C685" s="443"/>
      <c r="D685" s="443"/>
      <c r="E685" s="458"/>
      <c r="F685" s="458"/>
      <c r="G685" s="458"/>
      <c r="H685" s="458"/>
      <c r="I685" s="458"/>
      <c r="J685" s="458"/>
      <c r="K685" s="458"/>
      <c r="L685" s="458"/>
      <c r="M685" s="458"/>
      <c r="N685" s="458"/>
      <c r="O685" s="443"/>
      <c r="P685" s="447"/>
    </row>
    <row r="686" spans="1:16" s="497" customFormat="1" ht="15">
      <c r="A686" s="443"/>
      <c r="B686" s="443"/>
      <c r="C686" s="443"/>
      <c r="D686" s="443"/>
      <c r="E686" s="458"/>
      <c r="F686" s="458"/>
      <c r="G686" s="458"/>
      <c r="H686" s="458"/>
      <c r="I686" s="458"/>
      <c r="J686" s="458"/>
      <c r="K686" s="458"/>
      <c r="L686" s="458"/>
      <c r="M686" s="458"/>
      <c r="N686" s="458"/>
      <c r="O686" s="443"/>
      <c r="P686" s="447"/>
    </row>
    <row r="687" spans="1:16" s="497" customFormat="1" ht="15">
      <c r="A687" s="443"/>
      <c r="B687" s="443"/>
      <c r="C687" s="443"/>
      <c r="D687" s="443"/>
      <c r="E687" s="458"/>
      <c r="F687" s="458"/>
      <c r="G687" s="458"/>
      <c r="H687" s="458"/>
      <c r="I687" s="458"/>
      <c r="J687" s="458"/>
      <c r="K687" s="458"/>
      <c r="L687" s="458"/>
      <c r="M687" s="458"/>
      <c r="N687" s="458"/>
      <c r="O687" s="443"/>
      <c r="P687" s="447"/>
    </row>
    <row r="688" spans="1:16" s="497" customFormat="1" ht="15">
      <c r="A688" s="443"/>
      <c r="B688" s="443"/>
      <c r="C688" s="443"/>
      <c r="D688" s="443"/>
      <c r="E688" s="458"/>
      <c r="F688" s="458"/>
      <c r="G688" s="458"/>
      <c r="H688" s="458"/>
      <c r="I688" s="458"/>
      <c r="J688" s="458"/>
      <c r="K688" s="458"/>
      <c r="L688" s="458"/>
      <c r="M688" s="458"/>
      <c r="N688" s="458"/>
      <c r="O688" s="443"/>
      <c r="P688" s="447"/>
    </row>
    <row r="689" spans="1:16" s="497" customFormat="1" ht="15">
      <c r="A689" s="443"/>
      <c r="B689" s="443"/>
      <c r="C689" s="443"/>
      <c r="D689" s="443"/>
      <c r="E689" s="458"/>
      <c r="F689" s="458"/>
      <c r="G689" s="458"/>
      <c r="H689" s="458"/>
      <c r="I689" s="458"/>
      <c r="J689" s="458"/>
      <c r="K689" s="458"/>
      <c r="L689" s="458"/>
      <c r="M689" s="458"/>
      <c r="N689" s="458"/>
      <c r="O689" s="443"/>
      <c r="P689" s="447"/>
    </row>
    <row r="690" spans="1:16" s="497" customFormat="1" ht="15">
      <c r="A690" s="443"/>
      <c r="B690" s="443"/>
      <c r="C690" s="443"/>
      <c r="D690" s="443"/>
      <c r="E690" s="458"/>
      <c r="F690" s="458"/>
      <c r="G690" s="458"/>
      <c r="H690" s="458"/>
      <c r="I690" s="458"/>
      <c r="J690" s="458"/>
      <c r="K690" s="458"/>
      <c r="L690" s="458"/>
      <c r="M690" s="458"/>
      <c r="N690" s="458"/>
      <c r="O690" s="443"/>
      <c r="P690" s="447"/>
    </row>
    <row r="691" spans="1:16" s="497" customFormat="1" ht="15">
      <c r="A691" s="443"/>
      <c r="B691" s="443"/>
      <c r="C691" s="443"/>
      <c r="D691" s="443"/>
      <c r="E691" s="458"/>
      <c r="F691" s="458"/>
      <c r="G691" s="458"/>
      <c r="H691" s="458"/>
      <c r="I691" s="458"/>
      <c r="J691" s="458"/>
      <c r="K691" s="458"/>
      <c r="L691" s="458"/>
      <c r="M691" s="458"/>
      <c r="N691" s="458"/>
      <c r="O691" s="443"/>
      <c r="P691" s="447"/>
    </row>
    <row r="692" spans="1:16" s="497" customFormat="1" ht="15">
      <c r="A692" s="443"/>
      <c r="B692" s="443"/>
      <c r="C692" s="443"/>
      <c r="D692" s="443"/>
      <c r="E692" s="458"/>
      <c r="F692" s="458"/>
      <c r="G692" s="458"/>
      <c r="H692" s="458"/>
      <c r="I692" s="458"/>
      <c r="J692" s="458"/>
      <c r="K692" s="458"/>
      <c r="L692" s="458"/>
      <c r="M692" s="458"/>
      <c r="N692" s="458"/>
      <c r="O692" s="443"/>
      <c r="P692" s="447"/>
    </row>
    <row r="693" spans="1:16" s="497" customFormat="1" ht="15">
      <c r="A693" s="443"/>
      <c r="B693" s="443"/>
      <c r="C693" s="443"/>
      <c r="D693" s="443"/>
      <c r="E693" s="458"/>
      <c r="F693" s="458"/>
      <c r="G693" s="458"/>
      <c r="H693" s="458"/>
      <c r="I693" s="458"/>
      <c r="J693" s="458"/>
      <c r="K693" s="458"/>
      <c r="L693" s="458"/>
      <c r="M693" s="458"/>
      <c r="N693" s="458"/>
      <c r="O693" s="443"/>
      <c r="P693" s="447"/>
    </row>
    <row r="694" spans="1:16" s="497" customFormat="1" ht="15">
      <c r="A694" s="443"/>
      <c r="B694" s="443"/>
      <c r="C694" s="443"/>
      <c r="D694" s="443"/>
      <c r="E694" s="458"/>
      <c r="F694" s="458"/>
      <c r="G694" s="458"/>
      <c r="H694" s="458"/>
      <c r="I694" s="458"/>
      <c r="J694" s="458"/>
      <c r="K694" s="458"/>
      <c r="L694" s="458"/>
      <c r="M694" s="458"/>
      <c r="N694" s="458"/>
      <c r="O694" s="443"/>
      <c r="P694" s="447"/>
    </row>
    <row r="695" spans="1:16" s="497" customFormat="1" ht="15">
      <c r="A695" s="443"/>
      <c r="B695" s="443"/>
      <c r="C695" s="443"/>
      <c r="D695" s="443"/>
      <c r="E695" s="458"/>
      <c r="F695" s="458"/>
      <c r="G695" s="458"/>
      <c r="H695" s="458"/>
      <c r="I695" s="458"/>
      <c r="J695" s="458"/>
      <c r="K695" s="458"/>
      <c r="L695" s="458"/>
      <c r="M695" s="458"/>
      <c r="N695" s="458"/>
      <c r="O695" s="443"/>
      <c r="P695" s="447"/>
    </row>
    <row r="696" spans="1:16" s="497" customFormat="1" ht="15">
      <c r="A696" s="443"/>
      <c r="B696" s="443"/>
      <c r="C696" s="443"/>
      <c r="D696" s="443"/>
      <c r="E696" s="458"/>
      <c r="F696" s="458"/>
      <c r="G696" s="458"/>
      <c r="H696" s="458"/>
      <c r="I696" s="458"/>
      <c r="J696" s="458"/>
      <c r="K696" s="458"/>
      <c r="L696" s="458"/>
      <c r="M696" s="458"/>
      <c r="N696" s="458"/>
      <c r="O696" s="443"/>
      <c r="P696" s="447"/>
    </row>
    <row r="697" spans="1:16" s="497" customFormat="1" ht="15">
      <c r="A697" s="443"/>
      <c r="B697" s="443"/>
      <c r="C697" s="443"/>
      <c r="D697" s="443"/>
      <c r="E697" s="458"/>
      <c r="F697" s="458"/>
      <c r="G697" s="458"/>
      <c r="H697" s="458"/>
      <c r="I697" s="458"/>
      <c r="J697" s="458"/>
      <c r="K697" s="458"/>
      <c r="L697" s="458"/>
      <c r="M697" s="458"/>
      <c r="N697" s="458"/>
      <c r="O697" s="443"/>
      <c r="P697" s="447"/>
    </row>
    <row r="698" spans="1:16" s="497" customFormat="1" ht="15">
      <c r="A698" s="443"/>
      <c r="B698" s="443"/>
      <c r="C698" s="443"/>
      <c r="D698" s="443"/>
      <c r="E698" s="458"/>
      <c r="F698" s="458"/>
      <c r="G698" s="458"/>
      <c r="H698" s="458"/>
      <c r="I698" s="458"/>
      <c r="J698" s="458"/>
      <c r="K698" s="458"/>
      <c r="L698" s="458"/>
      <c r="M698" s="458"/>
      <c r="N698" s="458"/>
      <c r="O698" s="443"/>
      <c r="P698" s="447"/>
    </row>
    <row r="699" spans="1:16" s="497" customFormat="1" ht="15">
      <c r="A699" s="443"/>
      <c r="B699" s="443"/>
      <c r="C699" s="443"/>
      <c r="D699" s="443"/>
      <c r="E699" s="458"/>
      <c r="F699" s="458"/>
      <c r="G699" s="458"/>
      <c r="H699" s="458"/>
      <c r="I699" s="458"/>
      <c r="J699" s="458"/>
      <c r="K699" s="458"/>
      <c r="L699" s="458"/>
      <c r="M699" s="458"/>
      <c r="N699" s="458"/>
      <c r="O699" s="443"/>
      <c r="P699" s="447"/>
    </row>
    <row r="700" spans="1:16" s="497" customFormat="1" ht="15">
      <c r="A700" s="443"/>
      <c r="B700" s="443"/>
      <c r="C700" s="443"/>
      <c r="D700" s="443"/>
      <c r="E700" s="458"/>
      <c r="F700" s="458"/>
      <c r="G700" s="458"/>
      <c r="H700" s="458"/>
      <c r="I700" s="458"/>
      <c r="J700" s="458"/>
      <c r="K700" s="458"/>
      <c r="L700" s="458"/>
      <c r="M700" s="458"/>
      <c r="N700" s="458"/>
      <c r="O700" s="443"/>
      <c r="P700" s="447"/>
    </row>
    <row r="701" spans="1:16" s="497" customFormat="1" ht="15">
      <c r="A701" s="443"/>
      <c r="B701" s="443"/>
      <c r="C701" s="443"/>
      <c r="D701" s="443"/>
      <c r="E701" s="458"/>
      <c r="F701" s="458"/>
      <c r="G701" s="458"/>
      <c r="H701" s="458"/>
      <c r="I701" s="458"/>
      <c r="J701" s="458"/>
      <c r="K701" s="458"/>
      <c r="L701" s="458"/>
      <c r="M701" s="458"/>
      <c r="N701" s="458"/>
      <c r="O701" s="443"/>
      <c r="P701" s="447"/>
    </row>
    <row r="702" spans="1:16" s="497" customFormat="1" ht="15">
      <c r="A702" s="443"/>
      <c r="B702" s="443"/>
      <c r="C702" s="443"/>
      <c r="D702" s="443"/>
      <c r="E702" s="458"/>
      <c r="F702" s="458"/>
      <c r="G702" s="458"/>
      <c r="H702" s="458"/>
      <c r="I702" s="458"/>
      <c r="J702" s="458"/>
      <c r="K702" s="458"/>
      <c r="L702" s="458"/>
      <c r="M702" s="458"/>
      <c r="N702" s="458"/>
      <c r="O702" s="443"/>
      <c r="P702" s="447"/>
    </row>
    <row r="703" spans="1:16" s="497" customFormat="1" ht="15">
      <c r="A703" s="443"/>
      <c r="B703" s="443"/>
      <c r="C703" s="443"/>
      <c r="D703" s="443"/>
      <c r="E703" s="458"/>
      <c r="F703" s="458"/>
      <c r="G703" s="458"/>
      <c r="H703" s="458"/>
      <c r="I703" s="458"/>
      <c r="J703" s="458"/>
      <c r="K703" s="458"/>
      <c r="L703" s="458"/>
      <c r="M703" s="458"/>
      <c r="N703" s="458"/>
      <c r="O703" s="443"/>
      <c r="P703" s="447"/>
    </row>
    <row r="704" spans="1:16" s="497" customFormat="1" ht="15">
      <c r="A704" s="443"/>
      <c r="B704" s="443"/>
      <c r="C704" s="443"/>
      <c r="D704" s="443"/>
      <c r="E704" s="458"/>
      <c r="F704" s="458"/>
      <c r="G704" s="458"/>
      <c r="H704" s="458"/>
      <c r="I704" s="458"/>
      <c r="J704" s="458"/>
      <c r="K704" s="458"/>
      <c r="L704" s="458"/>
      <c r="M704" s="458"/>
      <c r="N704" s="458"/>
      <c r="O704" s="443"/>
      <c r="P704" s="447"/>
    </row>
    <row r="705" spans="1:16" s="497" customFormat="1" ht="15">
      <c r="A705" s="443"/>
      <c r="B705" s="443"/>
      <c r="C705" s="443"/>
      <c r="D705" s="443"/>
      <c r="E705" s="458"/>
      <c r="F705" s="458"/>
      <c r="G705" s="458"/>
      <c r="H705" s="458"/>
      <c r="I705" s="458"/>
      <c r="J705" s="458"/>
      <c r="K705" s="458"/>
      <c r="L705" s="458"/>
      <c r="M705" s="458"/>
      <c r="N705" s="458"/>
      <c r="O705" s="443"/>
      <c r="P705" s="447"/>
    </row>
    <row r="706" spans="1:16" s="497" customFormat="1" ht="15">
      <c r="A706" s="443"/>
      <c r="B706" s="443"/>
      <c r="C706" s="443"/>
      <c r="D706" s="443"/>
      <c r="E706" s="458"/>
      <c r="F706" s="458"/>
      <c r="G706" s="458"/>
      <c r="H706" s="458"/>
      <c r="I706" s="458"/>
      <c r="J706" s="458"/>
      <c r="K706" s="458"/>
      <c r="L706" s="458"/>
      <c r="M706" s="458"/>
      <c r="N706" s="458"/>
      <c r="O706" s="443"/>
      <c r="P706" s="447"/>
    </row>
    <row r="707" spans="1:16" s="497" customFormat="1" ht="15">
      <c r="A707" s="443"/>
      <c r="B707" s="443"/>
      <c r="C707" s="443"/>
      <c r="D707" s="443"/>
      <c r="E707" s="458"/>
      <c r="F707" s="458"/>
      <c r="G707" s="458"/>
      <c r="H707" s="458"/>
      <c r="I707" s="458"/>
      <c r="J707" s="458"/>
      <c r="K707" s="458"/>
      <c r="L707" s="458"/>
      <c r="M707" s="458"/>
      <c r="N707" s="458"/>
      <c r="O707" s="443"/>
      <c r="P707" s="447"/>
    </row>
    <row r="708" spans="1:16" s="497" customFormat="1" ht="15">
      <c r="A708" s="443"/>
      <c r="B708" s="443"/>
      <c r="C708" s="443"/>
      <c r="D708" s="443"/>
      <c r="E708" s="458"/>
      <c r="F708" s="458"/>
      <c r="G708" s="458"/>
      <c r="H708" s="458"/>
      <c r="I708" s="458"/>
      <c r="J708" s="458"/>
      <c r="K708" s="458"/>
      <c r="L708" s="458"/>
      <c r="M708" s="458"/>
      <c r="N708" s="458"/>
      <c r="O708" s="443"/>
      <c r="P708" s="447"/>
    </row>
    <row r="709" spans="1:16" s="497" customFormat="1" ht="15">
      <c r="A709" s="443"/>
      <c r="B709" s="443"/>
      <c r="C709" s="443"/>
      <c r="D709" s="443"/>
      <c r="E709" s="458"/>
      <c r="F709" s="458"/>
      <c r="G709" s="458"/>
      <c r="H709" s="458"/>
      <c r="I709" s="458"/>
      <c r="J709" s="458"/>
      <c r="K709" s="458"/>
      <c r="L709" s="458"/>
      <c r="M709" s="458"/>
      <c r="N709" s="458"/>
      <c r="O709" s="443"/>
      <c r="P709" s="447"/>
    </row>
    <row r="710" spans="1:16" s="497" customFormat="1" ht="15">
      <c r="A710" s="443"/>
      <c r="B710" s="443"/>
      <c r="C710" s="443"/>
      <c r="D710" s="443"/>
      <c r="E710" s="458"/>
      <c r="F710" s="458"/>
      <c r="G710" s="458"/>
      <c r="H710" s="458"/>
      <c r="I710" s="458"/>
      <c r="J710" s="458"/>
      <c r="K710" s="458"/>
      <c r="L710" s="458"/>
      <c r="M710" s="458"/>
      <c r="N710" s="458"/>
      <c r="O710" s="443"/>
      <c r="P710" s="447"/>
    </row>
    <row r="711" spans="1:16" s="497" customFormat="1" ht="15">
      <c r="A711" s="443"/>
      <c r="B711" s="443"/>
      <c r="C711" s="443"/>
      <c r="D711" s="443"/>
      <c r="E711" s="458"/>
      <c r="F711" s="458"/>
      <c r="G711" s="458"/>
      <c r="H711" s="458"/>
      <c r="I711" s="458"/>
      <c r="J711" s="458"/>
      <c r="K711" s="458"/>
      <c r="L711" s="458"/>
      <c r="M711" s="458"/>
      <c r="N711" s="458"/>
      <c r="O711" s="443"/>
      <c r="P711" s="447"/>
    </row>
    <row r="712" spans="1:16" s="497" customFormat="1" ht="15">
      <c r="A712" s="443"/>
      <c r="B712" s="443"/>
      <c r="C712" s="443"/>
      <c r="D712" s="443"/>
      <c r="E712" s="458"/>
      <c r="F712" s="458"/>
      <c r="G712" s="458"/>
      <c r="H712" s="458"/>
      <c r="I712" s="458"/>
      <c r="J712" s="458"/>
      <c r="K712" s="458"/>
      <c r="L712" s="458"/>
      <c r="M712" s="458"/>
      <c r="N712" s="458"/>
      <c r="O712" s="443"/>
      <c r="P712" s="447"/>
    </row>
    <row r="713" spans="1:16" s="497" customFormat="1" ht="15">
      <c r="A713" s="443"/>
      <c r="B713" s="443"/>
      <c r="C713" s="443"/>
      <c r="D713" s="443"/>
      <c r="E713" s="458"/>
      <c r="F713" s="458"/>
      <c r="G713" s="458"/>
      <c r="H713" s="458"/>
      <c r="I713" s="458"/>
      <c r="J713" s="458"/>
      <c r="K713" s="458"/>
      <c r="L713" s="458"/>
      <c r="M713" s="458"/>
      <c r="N713" s="458"/>
      <c r="O713" s="443"/>
      <c r="P713" s="447"/>
    </row>
    <row r="714" spans="1:16" s="497" customFormat="1" ht="15">
      <c r="A714" s="443"/>
      <c r="B714" s="443"/>
      <c r="C714" s="443"/>
      <c r="D714" s="443"/>
      <c r="E714" s="458"/>
      <c r="F714" s="458"/>
      <c r="G714" s="458"/>
      <c r="H714" s="458"/>
      <c r="I714" s="458"/>
      <c r="J714" s="458"/>
      <c r="K714" s="458"/>
      <c r="L714" s="458"/>
      <c r="M714" s="458"/>
      <c r="N714" s="458"/>
      <c r="O714" s="443"/>
      <c r="P714" s="447"/>
    </row>
    <row r="715" spans="1:16" s="497" customFormat="1" ht="15">
      <c r="A715" s="443"/>
      <c r="B715" s="443"/>
      <c r="C715" s="443"/>
      <c r="D715" s="443"/>
      <c r="E715" s="458"/>
      <c r="F715" s="458"/>
      <c r="G715" s="458"/>
      <c r="H715" s="458"/>
      <c r="I715" s="458"/>
      <c r="J715" s="458"/>
      <c r="K715" s="458"/>
      <c r="L715" s="458"/>
      <c r="M715" s="458"/>
      <c r="N715" s="458"/>
      <c r="O715" s="443"/>
      <c r="P715" s="447"/>
    </row>
    <row r="716" spans="1:16" s="497" customFormat="1" ht="15">
      <c r="A716" s="443"/>
      <c r="B716" s="443"/>
      <c r="C716" s="443"/>
      <c r="D716" s="443"/>
      <c r="E716" s="458"/>
      <c r="F716" s="458"/>
      <c r="G716" s="458"/>
      <c r="H716" s="458"/>
      <c r="I716" s="458"/>
      <c r="J716" s="458"/>
      <c r="K716" s="458"/>
      <c r="L716" s="458"/>
      <c r="M716" s="458"/>
      <c r="N716" s="458"/>
      <c r="O716" s="443"/>
      <c r="P716" s="447"/>
    </row>
    <row r="717" spans="1:16" s="497" customFormat="1" ht="15">
      <c r="A717" s="443"/>
      <c r="B717" s="443"/>
      <c r="C717" s="443"/>
      <c r="D717" s="443"/>
      <c r="E717" s="458"/>
      <c r="F717" s="458"/>
      <c r="G717" s="458"/>
      <c r="H717" s="458"/>
      <c r="I717" s="458"/>
      <c r="J717" s="458"/>
      <c r="K717" s="458"/>
      <c r="L717" s="458"/>
      <c r="M717" s="458"/>
      <c r="N717" s="458"/>
      <c r="O717" s="443"/>
      <c r="P717" s="447"/>
    </row>
    <row r="718" spans="1:16" s="497" customFormat="1" ht="15">
      <c r="A718" s="443"/>
      <c r="B718" s="443"/>
      <c r="C718" s="443"/>
      <c r="D718" s="443"/>
      <c r="E718" s="458"/>
      <c r="F718" s="458"/>
      <c r="G718" s="458"/>
      <c r="H718" s="458"/>
      <c r="I718" s="458"/>
      <c r="J718" s="458"/>
      <c r="K718" s="458"/>
      <c r="L718" s="458"/>
      <c r="M718" s="458"/>
      <c r="N718" s="458"/>
      <c r="O718" s="443"/>
      <c r="P718" s="447"/>
    </row>
    <row r="719" spans="1:16" s="497" customFormat="1" ht="15">
      <c r="A719" s="443"/>
      <c r="B719" s="443"/>
      <c r="C719" s="443"/>
      <c r="D719" s="443"/>
      <c r="E719" s="458"/>
      <c r="F719" s="458"/>
      <c r="G719" s="458"/>
      <c r="H719" s="458"/>
      <c r="I719" s="458"/>
      <c r="J719" s="458"/>
      <c r="K719" s="458"/>
      <c r="L719" s="458"/>
      <c r="M719" s="458"/>
      <c r="N719" s="458"/>
      <c r="O719" s="443"/>
      <c r="P719" s="447"/>
    </row>
    <row r="720" spans="1:16" s="497" customFormat="1" ht="15">
      <c r="A720" s="443"/>
      <c r="B720" s="443"/>
      <c r="C720" s="443"/>
      <c r="D720" s="443"/>
      <c r="E720" s="458"/>
      <c r="F720" s="458"/>
      <c r="G720" s="458"/>
      <c r="H720" s="458"/>
      <c r="I720" s="458"/>
      <c r="J720" s="458"/>
      <c r="K720" s="458"/>
      <c r="L720" s="458"/>
      <c r="M720" s="458"/>
      <c r="N720" s="458"/>
      <c r="O720" s="443"/>
      <c r="P720" s="447"/>
    </row>
    <row r="721" spans="1:16" s="497" customFormat="1" ht="15">
      <c r="A721" s="443"/>
      <c r="B721" s="443"/>
      <c r="C721" s="443"/>
      <c r="D721" s="443"/>
      <c r="E721" s="458"/>
      <c r="F721" s="458"/>
      <c r="G721" s="458"/>
      <c r="H721" s="458"/>
      <c r="I721" s="458"/>
      <c r="J721" s="458"/>
      <c r="K721" s="458"/>
      <c r="L721" s="458"/>
      <c r="M721" s="458"/>
      <c r="N721" s="458"/>
      <c r="O721" s="443"/>
      <c r="P721" s="447"/>
    </row>
    <row r="722" spans="1:16" s="497" customFormat="1" ht="15">
      <c r="A722" s="443"/>
      <c r="B722" s="443"/>
      <c r="C722" s="443"/>
      <c r="D722" s="443"/>
      <c r="E722" s="458"/>
      <c r="F722" s="458"/>
      <c r="G722" s="458"/>
      <c r="H722" s="458"/>
      <c r="I722" s="458"/>
      <c r="J722" s="458"/>
      <c r="K722" s="458"/>
      <c r="L722" s="458"/>
      <c r="M722" s="458"/>
      <c r="N722" s="458"/>
      <c r="O722" s="443"/>
      <c r="P722" s="447"/>
    </row>
    <row r="723" spans="1:16" s="497" customFormat="1" ht="15">
      <c r="A723" s="443"/>
      <c r="B723" s="443"/>
      <c r="C723" s="443"/>
      <c r="D723" s="443"/>
      <c r="E723" s="458"/>
      <c r="F723" s="458"/>
      <c r="G723" s="458"/>
      <c r="H723" s="458"/>
      <c r="I723" s="458"/>
      <c r="J723" s="458"/>
      <c r="K723" s="458"/>
      <c r="L723" s="458"/>
      <c r="M723" s="458"/>
      <c r="N723" s="458"/>
      <c r="O723" s="443"/>
      <c r="P723" s="447"/>
    </row>
    <row r="724" spans="1:16" s="497" customFormat="1" ht="15">
      <c r="A724" s="443"/>
      <c r="B724" s="443"/>
      <c r="C724" s="443"/>
      <c r="D724" s="443"/>
      <c r="E724" s="458"/>
      <c r="F724" s="458"/>
      <c r="G724" s="458"/>
      <c r="H724" s="458"/>
      <c r="I724" s="458"/>
      <c r="J724" s="458"/>
      <c r="K724" s="458"/>
      <c r="L724" s="458"/>
      <c r="M724" s="458"/>
      <c r="N724" s="458"/>
      <c r="O724" s="443"/>
      <c r="P724" s="447"/>
    </row>
    <row r="725" spans="1:16" s="497" customFormat="1" ht="15">
      <c r="A725" s="443"/>
      <c r="B725" s="443"/>
      <c r="C725" s="443"/>
      <c r="D725" s="443"/>
      <c r="E725" s="458"/>
      <c r="F725" s="458"/>
      <c r="G725" s="458"/>
      <c r="H725" s="458"/>
      <c r="I725" s="458"/>
      <c r="J725" s="458"/>
      <c r="K725" s="458"/>
      <c r="L725" s="458"/>
      <c r="M725" s="458"/>
      <c r="N725" s="458"/>
      <c r="O725" s="443"/>
      <c r="P725" s="447"/>
    </row>
    <row r="726" spans="1:16" s="497" customFormat="1" ht="15">
      <c r="A726" s="443"/>
      <c r="B726" s="443"/>
      <c r="C726" s="443"/>
      <c r="D726" s="443"/>
      <c r="E726" s="458"/>
      <c r="F726" s="458"/>
      <c r="G726" s="458"/>
      <c r="H726" s="458"/>
      <c r="I726" s="458"/>
      <c r="J726" s="458"/>
      <c r="K726" s="458"/>
      <c r="L726" s="458"/>
      <c r="M726" s="458"/>
      <c r="N726" s="458"/>
      <c r="O726" s="443"/>
      <c r="P726" s="447"/>
    </row>
    <row r="727" spans="1:16" s="497" customFormat="1" ht="15">
      <c r="A727" s="443"/>
      <c r="B727" s="443"/>
      <c r="C727" s="443"/>
      <c r="D727" s="443"/>
      <c r="E727" s="458"/>
      <c r="F727" s="458"/>
      <c r="G727" s="458"/>
      <c r="H727" s="458"/>
      <c r="I727" s="458"/>
      <c r="J727" s="458"/>
      <c r="K727" s="458"/>
      <c r="L727" s="458"/>
      <c r="M727" s="458"/>
      <c r="N727" s="458"/>
      <c r="O727" s="443"/>
      <c r="P727" s="447"/>
    </row>
    <row r="728" spans="1:16" s="497" customFormat="1" ht="15">
      <c r="A728" s="443"/>
      <c r="B728" s="443"/>
      <c r="C728" s="443"/>
      <c r="D728" s="443"/>
      <c r="E728" s="458"/>
      <c r="F728" s="458"/>
      <c r="G728" s="458"/>
      <c r="H728" s="458"/>
      <c r="I728" s="458"/>
      <c r="J728" s="458"/>
      <c r="K728" s="458"/>
      <c r="L728" s="458"/>
      <c r="M728" s="458"/>
      <c r="N728" s="458"/>
      <c r="O728" s="443"/>
      <c r="P728" s="447"/>
    </row>
    <row r="729" spans="1:16" s="497" customFormat="1" ht="15">
      <c r="A729" s="443"/>
      <c r="B729" s="443"/>
      <c r="C729" s="443"/>
      <c r="D729" s="443"/>
      <c r="E729" s="458"/>
      <c r="F729" s="458"/>
      <c r="G729" s="458"/>
      <c r="H729" s="458"/>
      <c r="I729" s="458"/>
      <c r="J729" s="458"/>
      <c r="K729" s="458"/>
      <c r="L729" s="458"/>
      <c r="M729" s="458"/>
      <c r="N729" s="458"/>
      <c r="O729" s="443"/>
      <c r="P729" s="447"/>
    </row>
    <row r="730" spans="1:16" s="497" customFormat="1" ht="15">
      <c r="A730" s="443"/>
      <c r="B730" s="443"/>
      <c r="C730" s="443"/>
      <c r="D730" s="443"/>
      <c r="E730" s="458"/>
      <c r="F730" s="458"/>
      <c r="G730" s="458"/>
      <c r="H730" s="458"/>
      <c r="I730" s="458"/>
      <c r="J730" s="458"/>
      <c r="K730" s="458"/>
      <c r="L730" s="458"/>
      <c r="M730" s="458"/>
      <c r="N730" s="458"/>
      <c r="O730" s="443"/>
      <c r="P730" s="447"/>
    </row>
    <row r="731" spans="1:16" s="497" customFormat="1" ht="15">
      <c r="A731" s="443"/>
      <c r="B731" s="443"/>
      <c r="C731" s="443"/>
      <c r="D731" s="443"/>
      <c r="E731" s="458"/>
      <c r="F731" s="458"/>
      <c r="G731" s="458"/>
      <c r="H731" s="458"/>
      <c r="I731" s="458"/>
      <c r="J731" s="458"/>
      <c r="K731" s="458"/>
      <c r="L731" s="458"/>
      <c r="M731" s="458"/>
      <c r="N731" s="458"/>
      <c r="O731" s="443"/>
      <c r="P731" s="447"/>
    </row>
    <row r="732" spans="1:16" s="497" customFormat="1" ht="15">
      <c r="A732" s="443"/>
      <c r="B732" s="443"/>
      <c r="C732" s="443"/>
      <c r="D732" s="443"/>
      <c r="E732" s="458"/>
      <c r="F732" s="458"/>
      <c r="G732" s="458"/>
      <c r="H732" s="458"/>
      <c r="I732" s="458"/>
      <c r="J732" s="458"/>
      <c r="K732" s="458"/>
      <c r="L732" s="458"/>
      <c r="M732" s="458"/>
      <c r="N732" s="458"/>
      <c r="O732" s="443"/>
      <c r="P732" s="447"/>
    </row>
    <row r="733" spans="1:16" s="497" customFormat="1" ht="15">
      <c r="A733" s="443"/>
      <c r="B733" s="443"/>
      <c r="C733" s="443"/>
      <c r="D733" s="443"/>
      <c r="E733" s="458"/>
      <c r="F733" s="458"/>
      <c r="G733" s="458"/>
      <c r="H733" s="458"/>
      <c r="I733" s="458"/>
      <c r="J733" s="458"/>
      <c r="K733" s="458"/>
      <c r="L733" s="458"/>
      <c r="M733" s="458"/>
      <c r="N733" s="458"/>
      <c r="O733" s="443"/>
      <c r="P733" s="447"/>
    </row>
    <row r="734" spans="1:16" s="497" customFormat="1" ht="15">
      <c r="A734" s="443"/>
      <c r="B734" s="443"/>
      <c r="C734" s="443"/>
      <c r="D734" s="443"/>
      <c r="E734" s="458"/>
      <c r="F734" s="458"/>
      <c r="G734" s="458"/>
      <c r="H734" s="458"/>
      <c r="I734" s="458"/>
      <c r="J734" s="458"/>
      <c r="K734" s="458"/>
      <c r="L734" s="458"/>
      <c r="M734" s="458"/>
      <c r="N734" s="458"/>
      <c r="O734" s="443"/>
      <c r="P734" s="447"/>
    </row>
    <row r="735" spans="1:16" s="497" customFormat="1" ht="15">
      <c r="A735" s="443"/>
      <c r="B735" s="443"/>
      <c r="C735" s="443"/>
      <c r="D735" s="443"/>
      <c r="E735" s="458"/>
      <c r="F735" s="458"/>
      <c r="G735" s="458"/>
      <c r="H735" s="458"/>
      <c r="I735" s="458"/>
      <c r="J735" s="458"/>
      <c r="K735" s="458"/>
      <c r="L735" s="458"/>
      <c r="M735" s="458"/>
      <c r="N735" s="458"/>
      <c r="O735" s="443"/>
      <c r="P735" s="447"/>
    </row>
    <row r="736" spans="1:16" s="497" customFormat="1" ht="15">
      <c r="A736" s="443"/>
      <c r="B736" s="443"/>
      <c r="C736" s="443"/>
      <c r="D736" s="443"/>
      <c r="E736" s="458"/>
      <c r="F736" s="458"/>
      <c r="G736" s="458"/>
      <c r="H736" s="458"/>
      <c r="I736" s="458"/>
      <c r="J736" s="458"/>
      <c r="K736" s="458"/>
      <c r="L736" s="458"/>
      <c r="M736" s="458"/>
      <c r="N736" s="458"/>
      <c r="O736" s="443"/>
      <c r="P736" s="447"/>
    </row>
    <row r="737" spans="16:16" s="497" customFormat="1" ht="15">
      <c r="P737" s="447"/>
    </row>
    <row r="738" spans="16:16" s="497" customFormat="1" ht="15">
      <c r="P738" s="447"/>
    </row>
    <row r="739" spans="16:16" s="497" customFormat="1" ht="15">
      <c r="P739" s="447"/>
    </row>
    <row r="740" spans="16:16" s="497" customFormat="1" ht="15">
      <c r="P740" s="447"/>
    </row>
    <row r="741" spans="16:16" s="497" customFormat="1" ht="15">
      <c r="P741" s="447"/>
    </row>
    <row r="742" spans="16:16" s="497" customFormat="1" ht="15">
      <c r="P742" s="447"/>
    </row>
    <row r="743" spans="16:16" s="497" customFormat="1" ht="15">
      <c r="P743" s="447"/>
    </row>
    <row r="744" spans="16:16" s="497" customFormat="1" ht="15">
      <c r="P744" s="447"/>
    </row>
    <row r="745" spans="16:16" s="497" customFormat="1" ht="15">
      <c r="P745" s="447"/>
    </row>
    <row r="746" spans="16:16" s="497" customFormat="1" ht="15">
      <c r="P746" s="447"/>
    </row>
    <row r="747" spans="16:16" s="497" customFormat="1" ht="15">
      <c r="P747" s="447"/>
    </row>
    <row r="748" spans="16:16" s="497" customFormat="1" ht="15">
      <c r="P748" s="447"/>
    </row>
    <row r="749" spans="16:16" s="497" customFormat="1" ht="15">
      <c r="P749" s="447"/>
    </row>
    <row r="750" spans="16:16" s="497" customFormat="1" ht="15">
      <c r="P750" s="447"/>
    </row>
    <row r="751" spans="16:16" s="497" customFormat="1" ht="15">
      <c r="P751" s="447"/>
    </row>
    <row r="752" spans="16:16" s="497" customFormat="1" ht="15">
      <c r="P752" s="447"/>
    </row>
    <row r="753" spans="16:16" s="497" customFormat="1" ht="15">
      <c r="P753" s="447"/>
    </row>
    <row r="754" spans="16:16" s="497" customFormat="1" ht="15">
      <c r="P754" s="447"/>
    </row>
    <row r="755" spans="16:16" s="497" customFormat="1" ht="15">
      <c r="P755" s="447"/>
    </row>
    <row r="756" spans="16:16" s="497" customFormat="1" ht="15">
      <c r="P756" s="447"/>
    </row>
    <row r="757" spans="16:16" s="497" customFormat="1" ht="15">
      <c r="P757" s="447"/>
    </row>
    <row r="758" spans="16:16" s="497" customFormat="1" ht="15">
      <c r="P758" s="447"/>
    </row>
    <row r="759" spans="16:16" s="497" customFormat="1" ht="15">
      <c r="P759" s="447"/>
    </row>
    <row r="760" spans="16:16" s="497" customFormat="1" ht="15">
      <c r="P760" s="447"/>
    </row>
    <row r="761" spans="16:16" s="497" customFormat="1" ht="15">
      <c r="P761" s="447"/>
    </row>
    <row r="762" spans="16:16" s="497" customFormat="1" ht="15">
      <c r="P762" s="447"/>
    </row>
    <row r="763" spans="16:16" s="497" customFormat="1" ht="15">
      <c r="P763" s="447"/>
    </row>
    <row r="764" spans="16:16" s="497" customFormat="1" ht="15">
      <c r="P764" s="447"/>
    </row>
    <row r="765" spans="16:16" s="497" customFormat="1" ht="15">
      <c r="P765" s="447"/>
    </row>
    <row r="766" spans="16:16" s="497" customFormat="1" ht="15">
      <c r="P766" s="447"/>
    </row>
    <row r="767" spans="16:16" s="497" customFormat="1" ht="15">
      <c r="P767" s="447"/>
    </row>
    <row r="768" spans="16:16" s="497" customFormat="1" ht="15">
      <c r="P768" s="447"/>
    </row>
    <row r="769" spans="16:16" s="497" customFormat="1" ht="15">
      <c r="P769" s="447"/>
    </row>
    <row r="770" spans="16:16" s="497" customFormat="1" ht="15">
      <c r="P770" s="447"/>
    </row>
    <row r="771" spans="16:16" s="497" customFormat="1" ht="15">
      <c r="P771" s="447"/>
    </row>
    <row r="772" spans="16:16" s="497" customFormat="1" ht="15">
      <c r="P772" s="447"/>
    </row>
    <row r="773" spans="16:16" s="497" customFormat="1" ht="15">
      <c r="P773" s="447"/>
    </row>
    <row r="774" spans="16:16" s="497" customFormat="1" ht="15">
      <c r="P774" s="447"/>
    </row>
    <row r="775" spans="16:16" s="497" customFormat="1" ht="15">
      <c r="P775" s="447"/>
    </row>
    <row r="776" spans="16:16" s="497" customFormat="1" ht="15">
      <c r="P776" s="447"/>
    </row>
    <row r="777" spans="16:16" s="497" customFormat="1" ht="15">
      <c r="P777" s="447"/>
    </row>
    <row r="778" spans="16:16" s="497" customFormat="1" ht="15">
      <c r="P778" s="447"/>
    </row>
    <row r="779" spans="16:16" s="497" customFormat="1" ht="15">
      <c r="P779" s="447"/>
    </row>
    <row r="780" spans="16:16" s="497" customFormat="1" ht="15">
      <c r="P780" s="447"/>
    </row>
    <row r="781" spans="16:16" s="497" customFormat="1" ht="15">
      <c r="P781" s="447"/>
    </row>
    <row r="782" spans="16:16" s="497" customFormat="1" ht="15">
      <c r="P782" s="447"/>
    </row>
    <row r="783" spans="16:16" s="497" customFormat="1" ht="15">
      <c r="P783" s="447"/>
    </row>
    <row r="784" spans="16:16" s="497" customFormat="1" ht="15">
      <c r="P784" s="447"/>
    </row>
    <row r="785" spans="16:16" s="497" customFormat="1" ht="15">
      <c r="P785" s="447"/>
    </row>
    <row r="786" spans="16:16" s="497" customFormat="1" ht="15">
      <c r="P786" s="447"/>
    </row>
    <row r="787" spans="16:16" s="497" customFormat="1" ht="15">
      <c r="P787" s="447"/>
    </row>
    <row r="788" spans="16:16" s="497" customFormat="1" ht="15">
      <c r="P788" s="447"/>
    </row>
    <row r="789" spans="16:16" s="497" customFormat="1" ht="15">
      <c r="P789" s="447"/>
    </row>
    <row r="790" spans="16:16" s="497" customFormat="1" ht="15">
      <c r="P790" s="447"/>
    </row>
    <row r="791" spans="16:16" s="497" customFormat="1" ht="15">
      <c r="P791" s="447"/>
    </row>
    <row r="792" spans="16:16" s="497" customFormat="1" ht="15">
      <c r="P792" s="447"/>
    </row>
    <row r="793" spans="16:16" s="497" customFormat="1" ht="15">
      <c r="P793" s="447"/>
    </row>
    <row r="794" spans="16:16" s="497" customFormat="1" ht="15">
      <c r="P794" s="447"/>
    </row>
    <row r="795" spans="16:16" s="497" customFormat="1" ht="15">
      <c r="P795" s="447"/>
    </row>
    <row r="796" spans="16:16" s="497" customFormat="1" ht="15">
      <c r="P796" s="447"/>
    </row>
    <row r="797" spans="16:16" s="497" customFormat="1" ht="15">
      <c r="P797" s="447"/>
    </row>
    <row r="798" spans="16:16" s="497" customFormat="1" ht="15">
      <c r="P798" s="447"/>
    </row>
    <row r="799" spans="16:16" s="497" customFormat="1" ht="15">
      <c r="P799" s="447"/>
    </row>
    <row r="800" spans="16:16" s="497" customFormat="1" ht="15">
      <c r="P800" s="447"/>
    </row>
    <row r="801" spans="16:16" s="497" customFormat="1" ht="15">
      <c r="P801" s="447"/>
    </row>
    <row r="802" spans="16:16" s="497" customFormat="1" ht="15">
      <c r="P802" s="447"/>
    </row>
    <row r="803" spans="16:16" s="497" customFormat="1" ht="15">
      <c r="P803" s="447"/>
    </row>
    <row r="804" spans="16:16" s="497" customFormat="1" ht="15">
      <c r="P804" s="447"/>
    </row>
    <row r="805" spans="16:16" s="497" customFormat="1" ht="15">
      <c r="P805" s="447"/>
    </row>
    <row r="806" spans="16:16" s="497" customFormat="1" ht="15">
      <c r="P806" s="447"/>
    </row>
    <row r="807" spans="16:16" s="497" customFormat="1" ht="15">
      <c r="P807" s="447"/>
    </row>
    <row r="808" spans="16:16" s="497" customFormat="1" ht="15">
      <c r="P808" s="447"/>
    </row>
    <row r="809" spans="16:16" s="497" customFormat="1" ht="15">
      <c r="P809" s="447"/>
    </row>
    <row r="810" spans="16:16" s="497" customFormat="1" ht="15">
      <c r="P810" s="447"/>
    </row>
    <row r="811" spans="16:16" s="497" customFormat="1" ht="15">
      <c r="P811" s="447"/>
    </row>
    <row r="812" spans="16:16" s="497" customFormat="1" ht="15">
      <c r="P812" s="447"/>
    </row>
    <row r="813" spans="16:16" s="497" customFormat="1" ht="15">
      <c r="P813" s="447"/>
    </row>
    <row r="814" spans="16:16" s="497" customFormat="1" ht="15">
      <c r="P814" s="447"/>
    </row>
    <row r="815" spans="16:16" s="497" customFormat="1" ht="15">
      <c r="P815" s="447"/>
    </row>
    <row r="816" spans="16:16" s="497" customFormat="1" ht="15">
      <c r="P816" s="447"/>
    </row>
    <row r="817" spans="16:16" s="497" customFormat="1" ht="15">
      <c r="P817" s="447"/>
    </row>
    <row r="818" spans="16:16" s="497" customFormat="1" ht="15">
      <c r="P818" s="447"/>
    </row>
    <row r="819" spans="16:16" s="497" customFormat="1" ht="15">
      <c r="P819" s="447"/>
    </row>
    <row r="820" spans="16:16" s="497" customFormat="1" ht="15">
      <c r="P820" s="447"/>
    </row>
    <row r="821" spans="16:16" s="497" customFormat="1" ht="15">
      <c r="P821" s="447"/>
    </row>
    <row r="822" spans="16:16" s="497" customFormat="1" ht="15">
      <c r="P822" s="447"/>
    </row>
    <row r="823" spans="16:16" s="497" customFormat="1" ht="15">
      <c r="P823" s="447"/>
    </row>
    <row r="824" spans="16:16" s="497" customFormat="1" ht="15">
      <c r="P824" s="447"/>
    </row>
    <row r="825" spans="16:16" s="497" customFormat="1" ht="15">
      <c r="P825" s="447"/>
    </row>
    <row r="826" spans="16:16" s="497" customFormat="1" ht="15">
      <c r="P826" s="447"/>
    </row>
    <row r="827" spans="16:16" s="497" customFormat="1" ht="15">
      <c r="P827" s="447"/>
    </row>
    <row r="828" spans="16:16" s="497" customFormat="1" ht="15">
      <c r="P828" s="447"/>
    </row>
    <row r="829" spans="16:16" s="497" customFormat="1" ht="15">
      <c r="P829" s="447"/>
    </row>
    <row r="830" spans="16:16" s="497" customFormat="1" ht="15">
      <c r="P830" s="447"/>
    </row>
    <row r="831" spans="16:16" s="497" customFormat="1" ht="15">
      <c r="P831" s="447"/>
    </row>
    <row r="832" spans="16:16" s="497" customFormat="1" ht="15">
      <c r="P832" s="447"/>
    </row>
    <row r="833" spans="16:16" s="497" customFormat="1" ht="15">
      <c r="P833" s="447"/>
    </row>
    <row r="834" spans="16:16" s="497" customFormat="1" ht="15">
      <c r="P834" s="447"/>
    </row>
    <row r="835" spans="16:16" s="497" customFormat="1" ht="15">
      <c r="P835" s="447"/>
    </row>
    <row r="836" spans="16:16" s="497" customFormat="1" ht="15">
      <c r="P836" s="447"/>
    </row>
    <row r="837" spans="16:16" s="497" customFormat="1" ht="15">
      <c r="P837" s="447"/>
    </row>
    <row r="838" spans="16:16" s="497" customFormat="1" ht="15">
      <c r="P838" s="447"/>
    </row>
    <row r="839" spans="16:16" s="497" customFormat="1" ht="15">
      <c r="P839" s="447"/>
    </row>
    <row r="840" spans="16:16" s="497" customFormat="1" ht="15">
      <c r="P840" s="447"/>
    </row>
    <row r="841" spans="16:16" s="497" customFormat="1" ht="15">
      <c r="P841" s="447"/>
    </row>
    <row r="842" spans="16:16" s="497" customFormat="1" ht="15">
      <c r="P842" s="447"/>
    </row>
    <row r="843" spans="16:16" s="497" customFormat="1" ht="15">
      <c r="P843" s="447"/>
    </row>
    <row r="844" spans="16:16" s="497" customFormat="1" ht="15">
      <c r="P844" s="447"/>
    </row>
    <row r="845" spans="16:16" s="497" customFormat="1" ht="15">
      <c r="P845" s="447"/>
    </row>
    <row r="846" spans="16:16" s="497" customFormat="1" ht="15">
      <c r="P846" s="447"/>
    </row>
    <row r="847" spans="16:16" s="497" customFormat="1" ht="15">
      <c r="P847" s="447"/>
    </row>
    <row r="848" spans="16:16" s="497" customFormat="1" ht="15">
      <c r="P848" s="447"/>
    </row>
    <row r="849" spans="16:16" s="497" customFormat="1" ht="15">
      <c r="P849" s="447"/>
    </row>
    <row r="850" spans="16:16" s="497" customFormat="1" ht="15">
      <c r="P850" s="447"/>
    </row>
    <row r="851" spans="16:16" s="497" customFormat="1" ht="15">
      <c r="P851" s="447"/>
    </row>
    <row r="852" spans="16:16" s="497" customFormat="1" ht="15">
      <c r="P852" s="447"/>
    </row>
    <row r="853" spans="16:16" s="497" customFormat="1" ht="15">
      <c r="P853" s="447"/>
    </row>
    <row r="854" spans="16:16" s="497" customFormat="1" ht="15">
      <c r="P854" s="447"/>
    </row>
    <row r="855" spans="16:16" s="497" customFormat="1" ht="15">
      <c r="P855" s="447"/>
    </row>
    <row r="856" spans="16:16" s="497" customFormat="1" ht="15">
      <c r="P856" s="447"/>
    </row>
    <row r="857" spans="16:16" s="497" customFormat="1" ht="15">
      <c r="P857" s="447"/>
    </row>
    <row r="858" spans="16:16" s="497" customFormat="1" ht="15">
      <c r="P858" s="447"/>
    </row>
    <row r="859" spans="16:16" s="497" customFormat="1" ht="15">
      <c r="P859" s="447"/>
    </row>
    <row r="860" spans="16:16" s="497" customFormat="1" ht="15">
      <c r="P860" s="447"/>
    </row>
    <row r="861" spans="16:16" s="497" customFormat="1" ht="15">
      <c r="P861" s="447"/>
    </row>
    <row r="862" spans="16:16" s="497" customFormat="1" ht="15">
      <c r="P862" s="447"/>
    </row>
    <row r="863" spans="16:16" s="497" customFormat="1" ht="15">
      <c r="P863" s="447"/>
    </row>
    <row r="864" spans="16:16" s="497" customFormat="1" ht="15">
      <c r="P864" s="447"/>
    </row>
    <row r="865" spans="16:16" s="497" customFormat="1" ht="15">
      <c r="P865" s="447"/>
    </row>
    <row r="866" spans="16:16" s="497" customFormat="1" ht="15">
      <c r="P866" s="447"/>
    </row>
    <row r="867" spans="16:16" s="497" customFormat="1" ht="15">
      <c r="P867" s="447"/>
    </row>
    <row r="868" spans="16:16" s="497" customFormat="1" ht="15">
      <c r="P868" s="447"/>
    </row>
    <row r="869" spans="16:16" s="497" customFormat="1" ht="15">
      <c r="P869" s="447"/>
    </row>
    <row r="870" spans="16:16" s="497" customFormat="1" ht="15">
      <c r="P870" s="447"/>
    </row>
    <row r="871" spans="16:16" s="497" customFormat="1" ht="15">
      <c r="P871" s="447"/>
    </row>
    <row r="872" spans="16:16" s="497" customFormat="1" ht="15">
      <c r="P872" s="447"/>
    </row>
    <row r="873" spans="16:16" s="497" customFormat="1" ht="15">
      <c r="P873" s="447"/>
    </row>
    <row r="874" spans="16:16" s="497" customFormat="1" ht="15">
      <c r="P874" s="447"/>
    </row>
    <row r="875" spans="16:16" s="497" customFormat="1" ht="15">
      <c r="P875" s="447"/>
    </row>
    <row r="876" spans="16:16" s="497" customFormat="1" ht="15">
      <c r="P876" s="447"/>
    </row>
    <row r="877" spans="16:16" s="497" customFormat="1" ht="15">
      <c r="P877" s="447"/>
    </row>
    <row r="878" spans="16:16" s="497" customFormat="1" ht="15">
      <c r="P878" s="447"/>
    </row>
    <row r="879" spans="16:16" s="497" customFormat="1" ht="15">
      <c r="P879" s="447"/>
    </row>
    <row r="880" spans="16:16" s="497" customFormat="1" ht="15">
      <c r="P880" s="447"/>
    </row>
    <row r="881" spans="16:16" s="497" customFormat="1" ht="15">
      <c r="P881" s="447"/>
    </row>
    <row r="882" spans="16:16" s="497" customFormat="1" ht="15">
      <c r="P882" s="447"/>
    </row>
    <row r="883" spans="16:16" s="497" customFormat="1" ht="15">
      <c r="P883" s="447"/>
    </row>
    <row r="884" spans="16:16" s="497" customFormat="1" ht="15">
      <c r="P884" s="447"/>
    </row>
    <row r="885" spans="16:16" s="497" customFormat="1" ht="15">
      <c r="P885" s="447"/>
    </row>
    <row r="886" spans="16:16" s="497" customFormat="1" ht="15">
      <c r="P886" s="447"/>
    </row>
    <row r="887" spans="16:16" s="497" customFormat="1" ht="15">
      <c r="P887" s="447"/>
    </row>
    <row r="888" spans="16:16" s="497" customFormat="1" ht="15">
      <c r="P888" s="447"/>
    </row>
    <row r="889" spans="16:16" s="497" customFormat="1" ht="15">
      <c r="P889" s="447"/>
    </row>
    <row r="890" spans="16:16" s="497" customFormat="1" ht="15">
      <c r="P890" s="447"/>
    </row>
    <row r="891" spans="16:16" s="497" customFormat="1" ht="15">
      <c r="P891" s="447"/>
    </row>
    <row r="892" spans="16:16" s="497" customFormat="1" ht="15">
      <c r="P892" s="447"/>
    </row>
    <row r="893" spans="16:16" s="497" customFormat="1" ht="15">
      <c r="P893" s="447"/>
    </row>
    <row r="894" spans="16:16" s="497" customFormat="1" ht="15">
      <c r="P894" s="447"/>
    </row>
    <row r="895" spans="16:16" s="497" customFormat="1" ht="15">
      <c r="P895" s="447"/>
    </row>
    <row r="896" spans="16:16" s="497" customFormat="1" ht="15">
      <c r="P896" s="447"/>
    </row>
    <row r="897" spans="16:16" s="497" customFormat="1" ht="15">
      <c r="P897" s="447"/>
    </row>
    <row r="898" spans="16:16" s="497" customFormat="1" ht="15">
      <c r="P898" s="447"/>
    </row>
    <row r="899" spans="16:16" s="497" customFormat="1" ht="15">
      <c r="P899" s="447"/>
    </row>
    <row r="900" spans="16:16" s="497" customFormat="1" ht="15">
      <c r="P900" s="447"/>
    </row>
    <row r="901" spans="16:16" s="497" customFormat="1" ht="15">
      <c r="P901" s="447"/>
    </row>
    <row r="902" spans="16:16" s="497" customFormat="1" ht="15">
      <c r="P902" s="447"/>
    </row>
    <row r="903" spans="16:16" s="497" customFormat="1" ht="15">
      <c r="P903" s="447"/>
    </row>
    <row r="904" spans="16:16" s="497" customFormat="1" ht="15">
      <c r="P904" s="447"/>
    </row>
    <row r="905" spans="16:16" s="497" customFormat="1" ht="15">
      <c r="P905" s="447"/>
    </row>
    <row r="906" spans="16:16" s="497" customFormat="1" ht="15">
      <c r="P906" s="447"/>
    </row>
    <row r="907" spans="16:16" s="497" customFormat="1" ht="15">
      <c r="P907" s="447"/>
    </row>
    <row r="908" spans="16:16" s="497" customFormat="1" ht="15">
      <c r="P908" s="447"/>
    </row>
    <row r="909" spans="16:16" s="497" customFormat="1" ht="15">
      <c r="P909" s="447"/>
    </row>
    <row r="910" spans="16:16" s="497" customFormat="1" ht="15">
      <c r="P910" s="447"/>
    </row>
    <row r="911" spans="16:16" s="497" customFormat="1" ht="15">
      <c r="P911" s="447"/>
    </row>
    <row r="912" spans="16:16" s="497" customFormat="1" ht="15">
      <c r="P912" s="447"/>
    </row>
    <row r="913" spans="16:16" s="497" customFormat="1" ht="15">
      <c r="P913" s="447"/>
    </row>
    <row r="914" spans="16:16" s="497" customFormat="1" ht="15">
      <c r="P914" s="447"/>
    </row>
    <row r="915" spans="16:16" s="497" customFormat="1" ht="15">
      <c r="P915" s="447"/>
    </row>
    <row r="916" spans="16:16" s="497" customFormat="1" ht="15">
      <c r="P916" s="447"/>
    </row>
    <row r="917" spans="16:16" s="497" customFormat="1" ht="15">
      <c r="P917" s="447"/>
    </row>
    <row r="918" spans="16:16" s="497" customFormat="1" ht="15">
      <c r="P918" s="447"/>
    </row>
    <row r="919" spans="16:16" s="497" customFormat="1" ht="15">
      <c r="P919" s="447"/>
    </row>
    <row r="920" spans="16:16" s="497" customFormat="1" ht="15">
      <c r="P920" s="447"/>
    </row>
    <row r="921" spans="16:16" s="497" customFormat="1" ht="15">
      <c r="P921" s="447"/>
    </row>
    <row r="922" spans="16:16" s="497" customFormat="1" ht="15">
      <c r="P922" s="447"/>
    </row>
    <row r="923" spans="16:16" s="497" customFormat="1" ht="15">
      <c r="P923" s="447"/>
    </row>
    <row r="924" spans="16:16" s="497" customFormat="1" ht="15">
      <c r="P924" s="447"/>
    </row>
    <row r="925" spans="16:16" s="497" customFormat="1" ht="15">
      <c r="P925" s="447"/>
    </row>
    <row r="926" spans="16:16" s="497" customFormat="1" ht="15">
      <c r="P926" s="447"/>
    </row>
    <row r="927" spans="16:16" s="497" customFormat="1" ht="15">
      <c r="P927" s="447"/>
    </row>
    <row r="928" spans="16:16" s="497" customFormat="1" ht="15">
      <c r="P928" s="447"/>
    </row>
    <row r="929" spans="16:16" s="497" customFormat="1" ht="15">
      <c r="P929" s="447"/>
    </row>
    <row r="930" spans="16:16" s="497" customFormat="1" ht="15">
      <c r="P930" s="447"/>
    </row>
    <row r="931" spans="16:16" s="497" customFormat="1" ht="15">
      <c r="P931" s="447"/>
    </row>
    <row r="932" spans="16:16" s="497" customFormat="1" ht="15">
      <c r="P932" s="447"/>
    </row>
    <row r="933" spans="16:16" s="497" customFormat="1" ht="15">
      <c r="P933" s="447"/>
    </row>
    <row r="934" spans="16:16" s="497" customFormat="1" ht="15">
      <c r="P934" s="447"/>
    </row>
    <row r="935" spans="16:16" s="497" customFormat="1" ht="15">
      <c r="P935" s="447"/>
    </row>
    <row r="936" spans="16:16" s="497" customFormat="1" ht="15">
      <c r="P936" s="447"/>
    </row>
    <row r="937" spans="16:16" s="497" customFormat="1" ht="15">
      <c r="P937" s="447"/>
    </row>
    <row r="938" spans="16:16" s="497" customFormat="1" ht="15">
      <c r="P938" s="447"/>
    </row>
    <row r="939" spans="16:16" s="497" customFormat="1" ht="15">
      <c r="P939" s="447"/>
    </row>
    <row r="940" spans="16:16" s="497" customFormat="1" ht="15">
      <c r="P940" s="447"/>
    </row>
    <row r="941" spans="16:16" s="497" customFormat="1" ht="15">
      <c r="P941" s="447"/>
    </row>
    <row r="942" spans="16:16" s="497" customFormat="1" ht="15">
      <c r="P942" s="447"/>
    </row>
    <row r="943" spans="16:16" s="497" customFormat="1" ht="15">
      <c r="P943" s="447"/>
    </row>
    <row r="944" spans="16:16" s="497" customFormat="1" ht="15">
      <c r="P944" s="447"/>
    </row>
    <row r="945" spans="16:16" s="497" customFormat="1" ht="15">
      <c r="P945" s="447"/>
    </row>
    <row r="946" spans="16:16" s="497" customFormat="1" ht="15">
      <c r="P946" s="447"/>
    </row>
    <row r="947" spans="16:16" s="497" customFormat="1" ht="15">
      <c r="P947" s="447"/>
    </row>
    <row r="948" spans="16:16" s="497" customFormat="1" ht="15">
      <c r="P948" s="447"/>
    </row>
    <row r="949" spans="16:16" s="497" customFormat="1" ht="15">
      <c r="P949" s="447"/>
    </row>
    <row r="950" spans="16:16" s="497" customFormat="1" ht="15">
      <c r="P950" s="447"/>
    </row>
    <row r="951" spans="16:16" s="497" customFormat="1" ht="15">
      <c r="P951" s="447"/>
    </row>
    <row r="952" spans="16:16" s="497" customFormat="1" ht="15">
      <c r="P952" s="447"/>
    </row>
    <row r="953" spans="16:16" s="497" customFormat="1" ht="15">
      <c r="P953" s="447"/>
    </row>
    <row r="954" spans="16:16" s="497" customFormat="1" ht="15">
      <c r="P954" s="447"/>
    </row>
    <row r="955" spans="16:16" s="497" customFormat="1" ht="15">
      <c r="P955" s="447"/>
    </row>
    <row r="956" spans="16:16" s="497" customFormat="1" ht="15">
      <c r="P956" s="447"/>
    </row>
    <row r="957" spans="16:16" s="497" customFormat="1" ht="15">
      <c r="P957" s="447"/>
    </row>
    <row r="958" spans="16:16" s="497" customFormat="1" ht="15">
      <c r="P958" s="447"/>
    </row>
    <row r="959" spans="16:16" s="497" customFormat="1" ht="15">
      <c r="P959" s="447"/>
    </row>
    <row r="960" spans="16:16" s="497" customFormat="1" ht="15">
      <c r="P960" s="447"/>
    </row>
    <row r="961" spans="16:16" s="497" customFormat="1" ht="15">
      <c r="P961" s="447"/>
    </row>
    <row r="962" spans="16:16" s="497" customFormat="1" ht="15">
      <c r="P962" s="447"/>
    </row>
    <row r="963" spans="16:16" s="497" customFormat="1" ht="15">
      <c r="P963" s="447"/>
    </row>
    <row r="964" spans="16:16" s="497" customFormat="1" ht="15">
      <c r="P964" s="447"/>
    </row>
    <row r="965" spans="16:16" s="497" customFormat="1" ht="15">
      <c r="P965" s="447"/>
    </row>
    <row r="966" spans="16:16" s="497" customFormat="1" ht="15">
      <c r="P966" s="447"/>
    </row>
    <row r="967" spans="16:16" s="497" customFormat="1" ht="15">
      <c r="P967" s="447"/>
    </row>
    <row r="968" spans="16:16" s="497" customFormat="1" ht="15">
      <c r="P968" s="447"/>
    </row>
    <row r="969" spans="16:16" s="497" customFormat="1" ht="15">
      <c r="P969" s="447"/>
    </row>
    <row r="970" spans="16:16" s="497" customFormat="1" ht="15">
      <c r="P970" s="447"/>
    </row>
    <row r="971" spans="16:16" s="497" customFormat="1" ht="15">
      <c r="P971" s="447"/>
    </row>
    <row r="972" spans="16:16" s="497" customFormat="1" ht="15">
      <c r="P972" s="447"/>
    </row>
    <row r="973" spans="16:16" s="497" customFormat="1" ht="15">
      <c r="P973" s="447"/>
    </row>
    <row r="974" spans="16:16" s="497" customFormat="1" ht="15">
      <c r="P974" s="447"/>
    </row>
    <row r="975" spans="16:16" s="497" customFormat="1" ht="15">
      <c r="P975" s="447"/>
    </row>
    <row r="976" spans="16:16" s="497" customFormat="1" ht="15">
      <c r="P976" s="447"/>
    </row>
    <row r="977" spans="16:16" s="497" customFormat="1" ht="15">
      <c r="P977" s="447"/>
    </row>
    <row r="978" spans="16:16" s="497" customFormat="1" ht="15">
      <c r="P978" s="447"/>
    </row>
    <row r="979" spans="16:16" s="497" customFormat="1" ht="15">
      <c r="P979" s="447"/>
    </row>
    <row r="980" spans="16:16" s="497" customFormat="1" ht="15">
      <c r="P980" s="447"/>
    </row>
    <row r="981" spans="16:16" s="497" customFormat="1" ht="15">
      <c r="P981" s="447"/>
    </row>
    <row r="982" spans="16:16" s="497" customFormat="1" ht="15">
      <c r="P982" s="447"/>
    </row>
    <row r="983" spans="16:16" s="497" customFormat="1" ht="15">
      <c r="P983" s="447"/>
    </row>
    <row r="984" spans="16:16" s="497" customFormat="1" ht="15">
      <c r="P984" s="447"/>
    </row>
    <row r="985" spans="16:16" s="497" customFormat="1" ht="15">
      <c r="P985" s="447"/>
    </row>
    <row r="986" spans="16:16" s="497" customFormat="1" ht="15">
      <c r="P986" s="447"/>
    </row>
    <row r="987" spans="16:16" s="497" customFormat="1" ht="15">
      <c r="P987" s="447"/>
    </row>
    <row r="988" spans="16:16" s="497" customFormat="1" ht="15">
      <c r="P988" s="447"/>
    </row>
    <row r="989" spans="16:16" s="497" customFormat="1" ht="15">
      <c r="P989" s="447"/>
    </row>
    <row r="990" spans="16:16" s="497" customFormat="1" ht="15">
      <c r="P990" s="447"/>
    </row>
    <row r="991" spans="16:16" s="497" customFormat="1" ht="15">
      <c r="P991" s="447"/>
    </row>
    <row r="992" spans="16:16" s="497" customFormat="1" ht="15">
      <c r="P992" s="447"/>
    </row>
    <row r="993" spans="16:16" s="497" customFormat="1" ht="15">
      <c r="P993" s="447"/>
    </row>
    <row r="994" spans="16:16" s="497" customFormat="1" ht="15">
      <c r="P994" s="447"/>
    </row>
    <row r="995" spans="16:16" s="497" customFormat="1" ht="15">
      <c r="P995" s="447"/>
    </row>
    <row r="996" spans="16:16" s="497" customFormat="1" ht="15">
      <c r="P996" s="447"/>
    </row>
    <row r="997" spans="16:16" s="497" customFormat="1" ht="15">
      <c r="P997" s="447"/>
    </row>
    <row r="998" spans="16:16" s="497" customFormat="1" ht="15">
      <c r="P998" s="447"/>
    </row>
    <row r="999" spans="16:16" s="497" customFormat="1" ht="15">
      <c r="P999" s="447"/>
    </row>
    <row r="1000" spans="16:16" s="497" customFormat="1" ht="15">
      <c r="P1000" s="447"/>
    </row>
    <row r="1001" spans="16:16" s="497" customFormat="1" ht="15">
      <c r="P1001" s="447"/>
    </row>
    <row r="1002" spans="16:16" s="497" customFormat="1" ht="15">
      <c r="P1002" s="447"/>
    </row>
    <row r="1003" spans="16:16" s="497" customFormat="1" ht="15">
      <c r="P1003" s="447"/>
    </row>
    <row r="1004" spans="16:16" s="497" customFormat="1" ht="15">
      <c r="P1004" s="447"/>
    </row>
    <row r="1005" spans="16:16" s="497" customFormat="1" ht="15">
      <c r="P1005" s="447"/>
    </row>
    <row r="1006" spans="16:16" s="497" customFormat="1" ht="15">
      <c r="P1006" s="447"/>
    </row>
    <row r="1007" spans="16:16" s="497" customFormat="1" ht="15">
      <c r="P1007" s="447"/>
    </row>
    <row r="1008" spans="16:16" s="497" customFormat="1" ht="15">
      <c r="P1008" s="447"/>
    </row>
    <row r="1009" spans="16:16" s="497" customFormat="1" ht="15">
      <c r="P1009" s="447"/>
    </row>
    <row r="1010" spans="16:16" s="497" customFormat="1" ht="15">
      <c r="P1010" s="447"/>
    </row>
    <row r="1011" spans="16:16" s="497" customFormat="1" ht="15">
      <c r="P1011" s="447"/>
    </row>
    <row r="1012" spans="16:16" s="497" customFormat="1" ht="15">
      <c r="P1012" s="447"/>
    </row>
    <row r="1013" spans="16:16" s="497" customFormat="1" ht="15">
      <c r="P1013" s="447"/>
    </row>
    <row r="1014" spans="16:16" s="497" customFormat="1" ht="15">
      <c r="P1014" s="447"/>
    </row>
    <row r="1015" spans="16:16" s="497" customFormat="1" ht="15">
      <c r="P1015" s="447"/>
    </row>
    <row r="1016" spans="16:16" s="497" customFormat="1" ht="15">
      <c r="P1016" s="447"/>
    </row>
    <row r="1017" spans="16:16" s="497" customFormat="1" ht="15">
      <c r="P1017" s="447"/>
    </row>
    <row r="1018" spans="16:16" s="497" customFormat="1" ht="15">
      <c r="P1018" s="447"/>
    </row>
    <row r="1019" spans="16:16" s="497" customFormat="1" ht="15">
      <c r="P1019" s="447"/>
    </row>
    <row r="1020" spans="16:16" s="497" customFormat="1" ht="15">
      <c r="P1020" s="447"/>
    </row>
    <row r="1021" spans="16:16" s="497" customFormat="1" ht="15">
      <c r="P1021" s="447"/>
    </row>
    <row r="1022" spans="16:16" s="497" customFormat="1" ht="15">
      <c r="P1022" s="447"/>
    </row>
    <row r="1023" spans="16:16" s="497" customFormat="1" ht="15">
      <c r="P1023" s="447"/>
    </row>
    <row r="1024" spans="16:16" s="497" customFormat="1" ht="15">
      <c r="P1024" s="447"/>
    </row>
    <row r="1025" spans="16:16" s="497" customFormat="1" ht="15">
      <c r="P1025" s="447"/>
    </row>
    <row r="1026" spans="16:16" s="497" customFormat="1" ht="15">
      <c r="P1026" s="447"/>
    </row>
    <row r="1027" spans="16:16" s="497" customFormat="1" ht="15">
      <c r="P1027" s="447"/>
    </row>
    <row r="1028" spans="16:16" s="497" customFormat="1" ht="15">
      <c r="P1028" s="447"/>
    </row>
    <row r="1029" spans="16:16" s="497" customFormat="1" ht="15">
      <c r="P1029" s="447"/>
    </row>
    <row r="1030" spans="16:16" s="497" customFormat="1" ht="15">
      <c r="P1030" s="447"/>
    </row>
    <row r="1031" spans="16:16" s="497" customFormat="1" ht="15">
      <c r="P1031" s="447"/>
    </row>
    <row r="1032" spans="16:16" s="497" customFormat="1" ht="15">
      <c r="P1032" s="447"/>
    </row>
    <row r="1033" spans="16:16" s="497" customFormat="1" ht="15">
      <c r="P1033" s="447"/>
    </row>
    <row r="1034" spans="16:16" s="497" customFormat="1" ht="15">
      <c r="P1034" s="447"/>
    </row>
    <row r="1035" spans="16:16" s="497" customFormat="1" ht="15">
      <c r="P1035" s="447"/>
    </row>
    <row r="1036" spans="16:16" s="497" customFormat="1" ht="15">
      <c r="P1036" s="447"/>
    </row>
    <row r="1037" spans="16:16" s="497" customFormat="1" ht="15">
      <c r="P1037" s="447"/>
    </row>
    <row r="1038" spans="16:16" s="497" customFormat="1" ht="15">
      <c r="P1038" s="447"/>
    </row>
    <row r="1039" spans="16:16" s="497" customFormat="1" ht="15">
      <c r="P1039" s="447"/>
    </row>
    <row r="1040" spans="16:16" s="497" customFormat="1" ht="15">
      <c r="P1040" s="447"/>
    </row>
    <row r="1041" spans="16:16" s="497" customFormat="1" ht="15">
      <c r="P1041" s="447"/>
    </row>
    <row r="1042" spans="16:16" s="497" customFormat="1" ht="15">
      <c r="P1042" s="447"/>
    </row>
    <row r="1043" spans="16:16" s="497" customFormat="1" ht="15">
      <c r="P1043" s="447"/>
    </row>
    <row r="1044" spans="16:16" s="497" customFormat="1" ht="15">
      <c r="P1044" s="447"/>
    </row>
    <row r="1045" spans="16:16" s="497" customFormat="1" ht="15">
      <c r="P1045" s="447"/>
    </row>
    <row r="1046" spans="16:16" s="497" customFormat="1" ht="15">
      <c r="P1046" s="447"/>
    </row>
    <row r="1047" spans="16:16" s="497" customFormat="1" ht="15">
      <c r="P1047" s="447"/>
    </row>
    <row r="1048" spans="16:16" s="497" customFormat="1" ht="15">
      <c r="P1048" s="447"/>
    </row>
    <row r="1049" spans="16:16" s="497" customFormat="1" ht="15">
      <c r="P1049" s="447"/>
    </row>
    <row r="1050" spans="16:16" s="497" customFormat="1" ht="15">
      <c r="P1050" s="447"/>
    </row>
    <row r="1051" spans="16:16" s="497" customFormat="1" ht="15">
      <c r="P1051" s="447"/>
    </row>
    <row r="1052" spans="16:16" s="497" customFormat="1" ht="15">
      <c r="P1052" s="447"/>
    </row>
    <row r="1053" spans="16:16" s="497" customFormat="1" ht="15">
      <c r="P1053" s="447"/>
    </row>
    <row r="1054" spans="16:16" s="497" customFormat="1" ht="15">
      <c r="P1054" s="447"/>
    </row>
    <row r="1055" spans="16:16" s="497" customFormat="1" ht="15">
      <c r="P1055" s="447"/>
    </row>
    <row r="1056" spans="16:16" s="497" customFormat="1" ht="15">
      <c r="P1056" s="447"/>
    </row>
    <row r="1057" spans="16:16" s="497" customFormat="1" ht="15">
      <c r="P1057" s="447"/>
    </row>
    <row r="1058" spans="16:16" s="497" customFormat="1" ht="15">
      <c r="P1058" s="447"/>
    </row>
    <row r="1059" spans="16:16" s="497" customFormat="1" ht="15">
      <c r="P1059" s="447"/>
    </row>
    <row r="1060" spans="16:16" s="497" customFormat="1" ht="15">
      <c r="P1060" s="447"/>
    </row>
    <row r="1061" spans="16:16" s="497" customFormat="1" ht="15">
      <c r="P1061" s="447"/>
    </row>
    <row r="1062" spans="16:16" s="497" customFormat="1" ht="15">
      <c r="P1062" s="447"/>
    </row>
    <row r="1063" spans="16:16" s="497" customFormat="1" ht="15">
      <c r="P1063" s="447"/>
    </row>
    <row r="1064" spans="16:16" s="497" customFormat="1" ht="15">
      <c r="P1064" s="447"/>
    </row>
    <row r="1065" spans="16:16" s="497" customFormat="1" ht="15">
      <c r="P1065" s="447"/>
    </row>
    <row r="1066" spans="16:16" s="497" customFormat="1" ht="15">
      <c r="P1066" s="447"/>
    </row>
    <row r="1067" spans="16:16" s="497" customFormat="1" ht="15">
      <c r="P1067" s="447"/>
    </row>
    <row r="1068" spans="16:16" s="497" customFormat="1" ht="15">
      <c r="P1068" s="447"/>
    </row>
    <row r="1069" spans="16:16" s="497" customFormat="1" ht="15">
      <c r="P1069" s="447"/>
    </row>
    <row r="1070" spans="16:16" s="497" customFormat="1" ht="15">
      <c r="P1070" s="447"/>
    </row>
    <row r="1071" spans="16:16" s="497" customFormat="1" ht="15">
      <c r="P1071" s="447"/>
    </row>
    <row r="1072" spans="16:16" s="497" customFormat="1" ht="15">
      <c r="P1072" s="447"/>
    </row>
    <row r="1073" spans="16:16" s="497" customFormat="1" ht="15">
      <c r="P1073" s="447"/>
    </row>
    <row r="1074" spans="16:16" s="497" customFormat="1" ht="15">
      <c r="P1074" s="447"/>
    </row>
    <row r="1075" spans="16:16" s="497" customFormat="1" ht="15">
      <c r="P1075" s="447"/>
    </row>
    <row r="1076" spans="16:16" s="497" customFormat="1" ht="15">
      <c r="P1076" s="447"/>
    </row>
    <row r="1077" spans="16:16" s="497" customFormat="1" ht="15">
      <c r="P1077" s="447"/>
    </row>
    <row r="1078" spans="16:16" s="497" customFormat="1" ht="15">
      <c r="P1078" s="447"/>
    </row>
    <row r="1079" spans="16:16" s="497" customFormat="1" ht="15">
      <c r="P1079" s="447"/>
    </row>
    <row r="1080" spans="16:16" s="497" customFormat="1" ht="15">
      <c r="P1080" s="447"/>
    </row>
    <row r="1081" spans="16:16" s="497" customFormat="1" ht="15">
      <c r="P1081" s="447"/>
    </row>
    <row r="1082" spans="16:16" s="497" customFormat="1" ht="15">
      <c r="P1082" s="447"/>
    </row>
    <row r="1083" spans="16:16" s="497" customFormat="1" ht="15">
      <c r="P1083" s="447"/>
    </row>
    <row r="1084" spans="16:16" s="497" customFormat="1" ht="15">
      <c r="P1084" s="447"/>
    </row>
    <row r="1085" spans="16:16" s="497" customFormat="1" ht="15">
      <c r="P1085" s="447"/>
    </row>
    <row r="1086" spans="16:16" s="497" customFormat="1" ht="15">
      <c r="P1086" s="447"/>
    </row>
    <row r="1087" spans="16:16" s="497" customFormat="1" ht="15">
      <c r="P1087" s="447"/>
    </row>
    <row r="1088" spans="16:16" s="497" customFormat="1" ht="15">
      <c r="P1088" s="447"/>
    </row>
    <row r="1089" spans="16:16" s="497" customFormat="1" ht="15">
      <c r="P1089" s="447"/>
    </row>
    <row r="1090" spans="16:16" s="497" customFormat="1" ht="15">
      <c r="P1090" s="447"/>
    </row>
    <row r="1091" spans="16:16" s="497" customFormat="1" ht="15">
      <c r="P1091" s="447"/>
    </row>
    <row r="1092" spans="16:16" s="497" customFormat="1" ht="15">
      <c r="P1092" s="447"/>
    </row>
    <row r="1093" spans="16:16" s="497" customFormat="1" ht="15">
      <c r="P1093" s="447"/>
    </row>
    <row r="1094" spans="16:16" s="497" customFormat="1" ht="15">
      <c r="P1094" s="447"/>
    </row>
    <row r="1095" spans="16:16" s="497" customFormat="1" ht="15">
      <c r="P1095" s="447"/>
    </row>
    <row r="1096" spans="16:16" s="497" customFormat="1" ht="15">
      <c r="P1096" s="447"/>
    </row>
    <row r="1097" spans="16:16" s="497" customFormat="1" ht="15">
      <c r="P1097" s="447"/>
    </row>
    <row r="1098" spans="16:16" s="497" customFormat="1" ht="15">
      <c r="P1098" s="447"/>
    </row>
    <row r="1099" spans="16:16" s="497" customFormat="1" ht="15">
      <c r="P1099" s="447"/>
    </row>
    <row r="1100" spans="16:16" s="497" customFormat="1" ht="15">
      <c r="P1100" s="447"/>
    </row>
    <row r="1101" spans="16:16" s="497" customFormat="1" ht="15">
      <c r="P1101" s="447"/>
    </row>
    <row r="1102" spans="16:16" s="497" customFormat="1" ht="15">
      <c r="P1102" s="447"/>
    </row>
    <row r="1103" spans="16:16" s="497" customFormat="1" ht="15">
      <c r="P1103" s="447"/>
    </row>
    <row r="1104" spans="16:16" s="497" customFormat="1" ht="15">
      <c r="P1104" s="447"/>
    </row>
    <row r="1105" spans="16:16" s="497" customFormat="1" ht="15">
      <c r="P1105" s="447"/>
    </row>
    <row r="1106" spans="16:16" s="497" customFormat="1" ht="15">
      <c r="P1106" s="447"/>
    </row>
    <row r="1107" spans="16:16" s="497" customFormat="1" ht="15">
      <c r="P1107" s="447"/>
    </row>
    <row r="1108" spans="16:16" s="497" customFormat="1" ht="15">
      <c r="P1108" s="447"/>
    </row>
    <row r="1109" spans="16:16" s="497" customFormat="1" ht="15">
      <c r="P1109" s="447"/>
    </row>
    <row r="1110" spans="16:16" s="497" customFormat="1" ht="15">
      <c r="P1110" s="447"/>
    </row>
    <row r="1111" spans="16:16" s="497" customFormat="1" ht="15">
      <c r="P1111" s="447"/>
    </row>
    <row r="1112" spans="16:16" s="497" customFormat="1" ht="15">
      <c r="P1112" s="447"/>
    </row>
    <row r="1113" spans="16:16" s="497" customFormat="1" ht="15">
      <c r="P1113" s="447"/>
    </row>
    <row r="1114" spans="16:16" s="497" customFormat="1" ht="15">
      <c r="P1114" s="447"/>
    </row>
    <row r="1115" spans="16:16" s="497" customFormat="1" ht="15">
      <c r="P1115" s="447"/>
    </row>
    <row r="1116" spans="16:16" s="497" customFormat="1" ht="15">
      <c r="P1116" s="447"/>
    </row>
    <row r="1117" spans="16:16" s="497" customFormat="1" ht="15">
      <c r="P1117" s="447"/>
    </row>
    <row r="1118" spans="16:16" s="497" customFormat="1" ht="15">
      <c r="P1118" s="447"/>
    </row>
    <row r="1119" spans="16:16" s="497" customFormat="1" ht="15">
      <c r="P1119" s="447"/>
    </row>
    <row r="1120" spans="16:16" s="497" customFormat="1" ht="15">
      <c r="P1120" s="447"/>
    </row>
    <row r="1121" spans="16:16" s="497" customFormat="1" ht="15">
      <c r="P1121" s="447"/>
    </row>
    <row r="1122" spans="16:16" s="497" customFormat="1" ht="15">
      <c r="P1122" s="447"/>
    </row>
    <row r="1123" spans="16:16" s="497" customFormat="1" ht="15">
      <c r="P1123" s="447"/>
    </row>
    <row r="1124" spans="16:16" s="497" customFormat="1" ht="15">
      <c r="P1124" s="447"/>
    </row>
    <row r="1125" spans="16:16" s="497" customFormat="1" ht="15">
      <c r="P1125" s="447"/>
    </row>
    <row r="1126" spans="16:16" s="497" customFormat="1" ht="15">
      <c r="P1126" s="447"/>
    </row>
    <row r="1127" spans="16:16" s="497" customFormat="1" ht="15">
      <c r="P1127" s="447"/>
    </row>
    <row r="1128" spans="16:16" s="497" customFormat="1" ht="15">
      <c r="P1128" s="447"/>
    </row>
    <row r="1129" spans="16:16" s="497" customFormat="1" ht="15">
      <c r="P1129" s="447"/>
    </row>
    <row r="1130" spans="16:16" s="497" customFormat="1" ht="15">
      <c r="P1130" s="447"/>
    </row>
    <row r="1131" spans="16:16" s="497" customFormat="1" ht="15">
      <c r="P1131" s="447"/>
    </row>
    <row r="1132" spans="16:16" s="497" customFormat="1" ht="15">
      <c r="P1132" s="447"/>
    </row>
    <row r="1133" spans="16:16" s="497" customFormat="1" ht="15">
      <c r="P1133" s="447"/>
    </row>
    <row r="1134" spans="16:16" s="497" customFormat="1" ht="15">
      <c r="P1134" s="447"/>
    </row>
    <row r="1135" spans="16:16" s="497" customFormat="1" ht="15">
      <c r="P1135" s="447"/>
    </row>
    <row r="1136" spans="16:16" s="497" customFormat="1" ht="15">
      <c r="P1136" s="447"/>
    </row>
    <row r="1137" spans="16:16" s="497" customFormat="1" ht="15">
      <c r="P1137" s="447"/>
    </row>
    <row r="1138" spans="16:16" s="497" customFormat="1" ht="15">
      <c r="P1138" s="447"/>
    </row>
    <row r="1139" spans="16:16" s="497" customFormat="1" ht="15">
      <c r="P1139" s="447"/>
    </row>
    <row r="1140" spans="16:16" s="497" customFormat="1" ht="15">
      <c r="P1140" s="447"/>
    </row>
    <row r="1141" spans="16:16" s="497" customFormat="1" ht="15">
      <c r="P1141" s="447"/>
    </row>
    <row r="1142" spans="16:16" s="497" customFormat="1" ht="15">
      <c r="P1142" s="447"/>
    </row>
    <row r="1143" spans="16:16" s="497" customFormat="1" ht="15">
      <c r="P1143" s="447"/>
    </row>
    <row r="1144" spans="16:16" s="497" customFormat="1" ht="15">
      <c r="P1144" s="447"/>
    </row>
    <row r="1145" spans="16:16" s="497" customFormat="1" ht="15">
      <c r="P1145" s="447"/>
    </row>
    <row r="1146" spans="16:16" s="497" customFormat="1" ht="15">
      <c r="P1146" s="447"/>
    </row>
    <row r="1147" spans="16:16" s="497" customFormat="1" ht="15">
      <c r="P1147" s="447"/>
    </row>
    <row r="1148" spans="16:16" s="497" customFormat="1" ht="15">
      <c r="P1148" s="447"/>
    </row>
    <row r="1149" spans="16:16" s="497" customFormat="1" ht="15">
      <c r="P1149" s="447"/>
    </row>
    <row r="1150" spans="16:16" s="497" customFormat="1" ht="15">
      <c r="P1150" s="447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>
    <tabColor rgb="FF002060"/>
  </sheetPr>
  <dimension ref="A1:T1150"/>
  <sheetViews>
    <sheetView workbookViewId="0">
      <selection activeCell="C5" sqref="C5"/>
    </sheetView>
  </sheetViews>
  <sheetFormatPr defaultRowHeight="12.75"/>
  <cols>
    <col min="1" max="4" width="9.140625" style="443"/>
    <col min="5" max="6" width="5.140625" style="458" customWidth="1"/>
    <col min="7" max="7" width="6" style="458" customWidth="1"/>
    <col min="8" max="14" width="5.140625" style="458" customWidth="1"/>
    <col min="15" max="15" width="9.140625" style="443"/>
    <col min="16" max="16" width="9.140625" style="497"/>
    <col min="17" max="20" width="9.140625" style="473"/>
    <col min="21" max="16384" width="9.140625" style="497"/>
  </cols>
  <sheetData>
    <row r="1" spans="1:20" s="443" customFormat="1" ht="23.25">
      <c r="A1" s="495" t="s">
        <v>591</v>
      </c>
      <c r="E1" s="458"/>
      <c r="F1" s="458"/>
      <c r="G1" s="458"/>
      <c r="H1" s="458"/>
      <c r="I1" s="458"/>
      <c r="J1" s="458"/>
      <c r="K1" s="458"/>
      <c r="L1" s="458"/>
      <c r="M1" s="458"/>
      <c r="N1" s="458"/>
      <c r="Q1" s="496" t="s">
        <v>417</v>
      </c>
      <c r="R1" s="496" t="s">
        <v>524</v>
      </c>
      <c r="S1" s="496" t="s">
        <v>525</v>
      </c>
      <c r="T1" s="496" t="s">
        <v>74</v>
      </c>
    </row>
    <row r="2" spans="1:20" ht="15">
      <c r="B2" s="445" t="s">
        <v>421</v>
      </c>
      <c r="C2" s="445"/>
      <c r="D2" s="445"/>
      <c r="F2" s="446" t="s">
        <v>422</v>
      </c>
      <c r="G2" s="446" t="s">
        <v>423</v>
      </c>
      <c r="P2" s="447"/>
      <c r="Q2" s="447" t="s">
        <v>456</v>
      </c>
      <c r="R2" s="447" t="s">
        <v>457</v>
      </c>
      <c r="S2" s="447" t="s">
        <v>425</v>
      </c>
      <c r="T2" s="447" t="s">
        <v>460</v>
      </c>
    </row>
    <row r="3" spans="1:20" ht="15">
      <c r="B3" s="443" t="s">
        <v>426</v>
      </c>
      <c r="C3" s="448">
        <v>3.5008273438823068</v>
      </c>
      <c r="D3" s="449" t="s">
        <v>427</v>
      </c>
      <c r="F3" s="446">
        <f>MIN(XX_value)</f>
        <v>3</v>
      </c>
      <c r="G3" s="446">
        <f>MAX(XX_value)</f>
        <v>100</v>
      </c>
      <c r="P3" s="447"/>
      <c r="Q3" s="450">
        <v>3</v>
      </c>
      <c r="R3" s="450">
        <v>0</v>
      </c>
      <c r="S3" s="450">
        <v>0</v>
      </c>
      <c r="T3" s="443">
        <v>2.5</v>
      </c>
    </row>
    <row r="4" spans="1:20" ht="15">
      <c r="B4" s="443" t="s">
        <v>430</v>
      </c>
      <c r="C4" s="448">
        <v>1.0629800000000103</v>
      </c>
      <c r="D4" s="449" t="s">
        <v>427</v>
      </c>
      <c r="F4" s="446">
        <f>MIN(YY_value)</f>
        <v>0</v>
      </c>
      <c r="G4" s="446">
        <f>MAX(YY_value)</f>
        <v>100</v>
      </c>
      <c r="P4" s="447"/>
      <c r="Q4" s="450">
        <v>3</v>
      </c>
      <c r="R4" s="450">
        <v>0</v>
      </c>
      <c r="S4" s="450">
        <v>300</v>
      </c>
      <c r="T4" s="443">
        <v>2.5</v>
      </c>
    </row>
    <row r="5" spans="1:20" ht="15">
      <c r="B5" s="443" t="s">
        <v>390</v>
      </c>
      <c r="C5" s="448">
        <v>541.56762934883636</v>
      </c>
      <c r="D5" s="449" t="s">
        <v>427</v>
      </c>
      <c r="F5" s="446">
        <f>MIN(ZZ_value)</f>
        <v>0</v>
      </c>
      <c r="G5" s="446">
        <f>MAX(ZZ_value)</f>
        <v>10000</v>
      </c>
      <c r="P5" s="447"/>
      <c r="Q5" s="450">
        <v>3</v>
      </c>
      <c r="R5" s="450">
        <v>0</v>
      </c>
      <c r="S5" s="450">
        <v>300.01</v>
      </c>
      <c r="T5" s="443">
        <v>1.9</v>
      </c>
    </row>
    <row r="6" spans="1:20" ht="15">
      <c r="G6" s="446"/>
      <c r="P6" s="447"/>
      <c r="Q6" s="450">
        <v>3</v>
      </c>
      <c r="R6" s="450">
        <v>0</v>
      </c>
      <c r="S6" s="450">
        <v>600</v>
      </c>
      <c r="T6" s="443">
        <v>1.9</v>
      </c>
    </row>
    <row r="7" spans="1:20" ht="15">
      <c r="B7" s="445" t="s">
        <v>424</v>
      </c>
      <c r="C7" s="445"/>
      <c r="D7" s="445"/>
      <c r="P7" s="447"/>
      <c r="Q7" s="450">
        <v>3</v>
      </c>
      <c r="R7" s="450">
        <v>0</v>
      </c>
      <c r="S7" s="450">
        <v>600.01</v>
      </c>
      <c r="T7" s="443">
        <v>1.5</v>
      </c>
    </row>
    <row r="8" spans="1:20" ht="15">
      <c r="B8" s="443" t="s">
        <v>461</v>
      </c>
      <c r="C8" s="468">
        <f>SUMPRODUCT(D37:D44,D46:D53)</f>
        <v>5.9148999999999754</v>
      </c>
      <c r="D8" s="449" t="s">
        <v>427</v>
      </c>
      <c r="P8" s="447"/>
      <c r="Q8" s="450">
        <v>3</v>
      </c>
      <c r="R8" s="450">
        <v>0</v>
      </c>
      <c r="S8" s="450">
        <v>10000</v>
      </c>
      <c r="T8" s="443">
        <v>1.5</v>
      </c>
    </row>
    <row r="9" spans="1:20" ht="15">
      <c r="P9" s="447"/>
      <c r="Q9" s="450">
        <v>3</v>
      </c>
      <c r="R9" s="450">
        <v>0.4</v>
      </c>
      <c r="S9" s="450">
        <v>0</v>
      </c>
      <c r="T9" s="443">
        <v>2.5</v>
      </c>
    </row>
    <row r="10" spans="1:20" ht="15">
      <c r="B10" s="445" t="s">
        <v>431</v>
      </c>
      <c r="C10" s="445"/>
      <c r="D10" s="445"/>
      <c r="F10" s="446"/>
      <c r="P10" s="447"/>
      <c r="Q10" s="450">
        <v>3</v>
      </c>
      <c r="R10" s="450">
        <v>0.4</v>
      </c>
      <c r="S10" s="450">
        <v>300</v>
      </c>
      <c r="T10" s="443">
        <v>2.5</v>
      </c>
    </row>
    <row r="11" spans="1:20" ht="15">
      <c r="B11" s="443" t="s">
        <v>433</v>
      </c>
      <c r="C11" s="450">
        <f>INDEX(XX_value,MATCH(XX,XX_value,1))</f>
        <v>3.5</v>
      </c>
      <c r="D11" s="449" t="s">
        <v>427</v>
      </c>
      <c r="F11" s="446"/>
      <c r="P11" s="447"/>
      <c r="Q11" s="450">
        <v>3</v>
      </c>
      <c r="R11" s="450">
        <v>0.4</v>
      </c>
      <c r="S11" s="450">
        <v>300.01</v>
      </c>
      <c r="T11" s="443">
        <v>1.9</v>
      </c>
    </row>
    <row r="12" spans="1:20" ht="15">
      <c r="B12" s="443" t="s">
        <v>434</v>
      </c>
      <c r="C12" s="450">
        <f>INDEX(XX_value,MATCH(XX,XX_value,1)+1)</f>
        <v>4.49</v>
      </c>
      <c r="D12" s="449" t="s">
        <v>427</v>
      </c>
      <c r="F12" s="446"/>
      <c r="P12" s="447"/>
      <c r="Q12" s="450">
        <v>3</v>
      </c>
      <c r="R12" s="450">
        <v>0.4</v>
      </c>
      <c r="S12" s="450">
        <v>600</v>
      </c>
      <c r="T12" s="443">
        <v>1.9</v>
      </c>
    </row>
    <row r="13" spans="1:20" ht="15">
      <c r="B13" s="443" t="s">
        <v>435</v>
      </c>
      <c r="C13" s="450">
        <f>INDEX(YY_value,MATCH(YY,YY_value,1))</f>
        <v>0.8</v>
      </c>
      <c r="D13" s="449" t="s">
        <v>427</v>
      </c>
      <c r="F13" s="446"/>
      <c r="P13" s="447"/>
      <c r="Q13" s="450">
        <v>3</v>
      </c>
      <c r="R13" s="450">
        <v>0.4</v>
      </c>
      <c r="S13" s="450">
        <v>600.01</v>
      </c>
      <c r="T13" s="443">
        <v>1.5</v>
      </c>
    </row>
    <row r="14" spans="1:20" ht="15">
      <c r="B14" s="443" t="s">
        <v>436</v>
      </c>
      <c r="C14" s="450">
        <f>INDEX(YY_value,MATCH(YY,YY_value,1)+1)</f>
        <v>1.2</v>
      </c>
      <c r="D14" s="449" t="s">
        <v>427</v>
      </c>
      <c r="F14" s="446"/>
      <c r="P14" s="447"/>
      <c r="Q14" s="450">
        <v>3</v>
      </c>
      <c r="R14" s="450">
        <v>0.4</v>
      </c>
      <c r="S14" s="450">
        <v>10000</v>
      </c>
      <c r="T14" s="443">
        <v>1.5</v>
      </c>
    </row>
    <row r="15" spans="1:20" ht="15">
      <c r="B15" s="443" t="s">
        <v>462</v>
      </c>
      <c r="C15" s="450">
        <f>INDEX(ZZ_value,MATCH(ZZ,ZZ_value,1))</f>
        <v>300.01</v>
      </c>
      <c r="D15" s="449" t="s">
        <v>427</v>
      </c>
      <c r="P15" s="447"/>
      <c r="Q15" s="450">
        <v>3</v>
      </c>
      <c r="R15" s="450">
        <v>0.8</v>
      </c>
      <c r="S15" s="450">
        <v>0</v>
      </c>
      <c r="T15" s="443">
        <v>3.5</v>
      </c>
    </row>
    <row r="16" spans="1:20" ht="15">
      <c r="B16" s="443" t="s">
        <v>463</v>
      </c>
      <c r="C16" s="450">
        <f>INDEX(ZZ_value,MATCH(ZZ,ZZ_value,1)+1)</f>
        <v>600</v>
      </c>
      <c r="D16" s="449" t="s">
        <v>427</v>
      </c>
      <c r="F16" s="446" t="s">
        <v>432</v>
      </c>
      <c r="P16" s="447"/>
      <c r="Q16" s="450">
        <v>3</v>
      </c>
      <c r="R16" s="450">
        <v>0.8</v>
      </c>
      <c r="S16" s="450">
        <v>300</v>
      </c>
      <c r="T16" s="443">
        <v>3.5</v>
      </c>
    </row>
    <row r="17" spans="2:20" s="497" customFormat="1" ht="15">
      <c r="B17" s="443" t="s">
        <v>464</v>
      </c>
      <c r="C17" s="469">
        <f t="shared" ref="C17" si="0">INDEX(TT_value,F17,0)</f>
        <v>4.5999999999999996</v>
      </c>
      <c r="D17" s="449" t="s">
        <v>427</v>
      </c>
      <c r="E17" s="458"/>
      <c r="F17" s="446">
        <f t="array" ref="F17">MATCH(1,(XX_value=xx_1)*(YY_value=yy_1)*(ZZ_value=zz_1),0)</f>
        <v>137</v>
      </c>
      <c r="G17" s="458"/>
      <c r="H17" s="458"/>
      <c r="I17" s="458"/>
      <c r="J17" s="458"/>
      <c r="K17" s="458"/>
      <c r="L17" s="458"/>
      <c r="M17" s="458"/>
      <c r="N17" s="458"/>
      <c r="O17" s="443"/>
      <c r="P17" s="447"/>
      <c r="Q17" s="450">
        <v>3</v>
      </c>
      <c r="R17" s="450">
        <v>0.8</v>
      </c>
      <c r="S17" s="450">
        <v>300.01</v>
      </c>
      <c r="T17" s="443">
        <v>2.8</v>
      </c>
    </row>
    <row r="18" spans="2:20" s="497" customFormat="1" ht="15">
      <c r="B18" s="443" t="s">
        <v>465</v>
      </c>
      <c r="C18" s="469">
        <f t="shared" ref="C18" si="1">INDEX(TT_value,F18,0)</f>
        <v>4.5999999999999996</v>
      </c>
      <c r="D18" s="449" t="s">
        <v>427</v>
      </c>
      <c r="E18" s="458"/>
      <c r="F18" s="446">
        <f t="array" ref="F18">MATCH(1,(XX_value=xx_2)*(YY_value=yy_1)*(ZZ_value=zz_1),0)</f>
        <v>197</v>
      </c>
      <c r="G18" s="458"/>
      <c r="H18" s="458"/>
      <c r="I18" s="458"/>
      <c r="J18" s="458"/>
      <c r="K18" s="458"/>
      <c r="L18" s="458"/>
      <c r="M18" s="458"/>
      <c r="N18" s="458"/>
      <c r="O18" s="443"/>
      <c r="P18" s="447"/>
      <c r="Q18" s="450">
        <v>3</v>
      </c>
      <c r="R18" s="450">
        <v>0.8</v>
      </c>
      <c r="S18" s="450">
        <v>600</v>
      </c>
      <c r="T18" s="443">
        <v>2.8</v>
      </c>
    </row>
    <row r="19" spans="2:20" s="497" customFormat="1" ht="15">
      <c r="B19" s="443" t="s">
        <v>466</v>
      </c>
      <c r="C19" s="469">
        <f t="shared" ref="C19" si="2">INDEX(TT_value,F19,0)</f>
        <v>6.6</v>
      </c>
      <c r="D19" s="449" t="s">
        <v>427</v>
      </c>
      <c r="E19" s="458"/>
      <c r="F19" s="446">
        <f t="array" ref="F19">MATCH(1,(XX_value=xx_1)*(YY_value=yy_2)*(ZZ_value=zz_1),0)</f>
        <v>143</v>
      </c>
      <c r="G19" s="458"/>
      <c r="H19" s="458"/>
      <c r="I19" s="458"/>
      <c r="J19" s="458"/>
      <c r="K19" s="458"/>
      <c r="L19" s="458"/>
      <c r="M19" s="458"/>
      <c r="N19" s="458"/>
      <c r="O19" s="443"/>
      <c r="P19" s="447"/>
      <c r="Q19" s="450">
        <v>3</v>
      </c>
      <c r="R19" s="450">
        <v>0.8</v>
      </c>
      <c r="S19" s="450">
        <v>600.01</v>
      </c>
      <c r="T19" s="443">
        <v>2.2999999999999998</v>
      </c>
    </row>
    <row r="20" spans="2:20" s="497" customFormat="1" ht="15">
      <c r="B20" s="443" t="s">
        <v>467</v>
      </c>
      <c r="C20" s="469">
        <f t="shared" ref="C20" si="3">INDEX(TT_value,F20,0)</f>
        <v>6.6</v>
      </c>
      <c r="D20" s="449" t="s">
        <v>427</v>
      </c>
      <c r="E20" s="458"/>
      <c r="F20" s="446">
        <f t="array" ref="F20">MATCH(1,(XX_value=xx_2)*(YY_value=yy_2)*(ZZ_value=zz_1),0)</f>
        <v>203</v>
      </c>
      <c r="G20" s="458"/>
      <c r="H20" s="458"/>
      <c r="I20" s="458"/>
      <c r="J20" s="458"/>
      <c r="K20" s="458"/>
      <c r="L20" s="458"/>
      <c r="M20" s="458"/>
      <c r="N20" s="458"/>
      <c r="O20" s="443"/>
      <c r="P20" s="447"/>
      <c r="Q20" s="450">
        <v>3</v>
      </c>
      <c r="R20" s="450">
        <v>0.8</v>
      </c>
      <c r="S20" s="450">
        <v>10000</v>
      </c>
      <c r="T20" s="443">
        <v>2.2999999999999998</v>
      </c>
    </row>
    <row r="21" spans="2:20" s="497" customFormat="1" ht="15">
      <c r="B21" s="443" t="s">
        <v>468</v>
      </c>
      <c r="C21" s="469">
        <f t="shared" ref="C21" si="4">INDEX(TT_value,F21,0)</f>
        <v>4.5999999999999996</v>
      </c>
      <c r="D21" s="449" t="s">
        <v>427</v>
      </c>
      <c r="E21" s="458"/>
      <c r="F21" s="446">
        <f t="array" ref="F21">MATCH(1,(XX_value=xx_1)*(YY_value=yy_1)*(ZZ_value=zz_2),0)</f>
        <v>138</v>
      </c>
      <c r="G21" s="458"/>
      <c r="H21" s="458"/>
      <c r="I21" s="458"/>
      <c r="J21" s="458"/>
      <c r="K21" s="458"/>
      <c r="L21" s="458"/>
      <c r="M21" s="458"/>
      <c r="N21" s="458"/>
      <c r="O21" s="443"/>
      <c r="P21" s="447"/>
      <c r="Q21" s="450">
        <v>3</v>
      </c>
      <c r="R21" s="450">
        <v>1.2</v>
      </c>
      <c r="S21" s="450">
        <v>0</v>
      </c>
      <c r="T21" s="443">
        <v>4.5</v>
      </c>
    </row>
    <row r="22" spans="2:20" s="497" customFormat="1" ht="15">
      <c r="B22" s="443" t="s">
        <v>469</v>
      </c>
      <c r="C22" s="469">
        <f t="shared" ref="C22" si="5">INDEX(TT_value,F22,0)</f>
        <v>4.5999999999999996</v>
      </c>
      <c r="D22" s="449" t="s">
        <v>427</v>
      </c>
      <c r="E22" s="458"/>
      <c r="F22" s="446">
        <f t="array" ref="F22">MATCH(1,(XX_value=xx_2)*(YY_value=yy_1)*(ZZ_value=zz_2),0)</f>
        <v>198</v>
      </c>
      <c r="G22" s="458"/>
      <c r="H22" s="458"/>
      <c r="I22" s="458"/>
      <c r="J22" s="458"/>
      <c r="K22" s="458"/>
      <c r="L22" s="458"/>
      <c r="M22" s="458"/>
      <c r="N22" s="458"/>
      <c r="O22" s="443"/>
      <c r="P22" s="447"/>
      <c r="Q22" s="450">
        <v>3</v>
      </c>
      <c r="R22" s="450">
        <v>1.2</v>
      </c>
      <c r="S22" s="450">
        <v>300</v>
      </c>
      <c r="T22" s="443">
        <v>4.5</v>
      </c>
    </row>
    <row r="23" spans="2:20" s="497" customFormat="1" ht="15">
      <c r="B23" s="443" t="s">
        <v>470</v>
      </c>
      <c r="C23" s="469">
        <f t="shared" ref="C23" si="6">INDEX(TT_value,F23,0)</f>
        <v>6.6</v>
      </c>
      <c r="D23" s="449" t="s">
        <v>427</v>
      </c>
      <c r="E23" s="458"/>
      <c r="F23" s="446">
        <f t="array" ref="F23">MATCH(1,(XX_value=xx_1)*(YY_value=yy_2)*(ZZ_value=zz_2),0)</f>
        <v>144</v>
      </c>
      <c r="G23" s="458"/>
      <c r="H23" s="458"/>
      <c r="I23" s="458"/>
      <c r="J23" s="458"/>
      <c r="K23" s="458"/>
      <c r="L23" s="458"/>
      <c r="M23" s="458"/>
      <c r="N23" s="458"/>
      <c r="O23" s="443"/>
      <c r="P23" s="447"/>
      <c r="Q23" s="450">
        <v>3</v>
      </c>
      <c r="R23" s="450">
        <v>1.2</v>
      </c>
      <c r="S23" s="450">
        <v>300.01</v>
      </c>
      <c r="T23" s="443">
        <v>3.9</v>
      </c>
    </row>
    <row r="24" spans="2:20" s="497" customFormat="1" ht="15">
      <c r="B24" s="443" t="s">
        <v>471</v>
      </c>
      <c r="C24" s="469">
        <f t="shared" ref="C24" si="7">INDEX(TT_value,F24,0)</f>
        <v>6.6</v>
      </c>
      <c r="D24" s="449" t="s">
        <v>427</v>
      </c>
      <c r="E24" s="458"/>
      <c r="F24" s="446">
        <f t="array" ref="F24">MATCH(1,(XX_value=xx_2)*(YY_value=yy_2)*(ZZ_value=zz_2),0)</f>
        <v>204</v>
      </c>
      <c r="G24" s="458"/>
      <c r="H24" s="458"/>
      <c r="I24" s="458"/>
      <c r="J24" s="458"/>
      <c r="K24" s="458"/>
      <c r="L24" s="458"/>
      <c r="M24" s="458"/>
      <c r="N24" s="458"/>
      <c r="O24" s="443"/>
      <c r="P24" s="447"/>
      <c r="Q24" s="450">
        <v>3</v>
      </c>
      <c r="R24" s="450">
        <v>1.2</v>
      </c>
      <c r="S24" s="450">
        <v>600</v>
      </c>
      <c r="T24" s="443">
        <v>3.9</v>
      </c>
    </row>
    <row r="25" spans="2:20" s="497" customFormat="1" ht="15">
      <c r="B25" s="443"/>
      <c r="C25" s="443"/>
      <c r="D25" s="449"/>
      <c r="E25" s="458"/>
      <c r="F25" s="458"/>
      <c r="G25" s="458"/>
      <c r="H25" s="458"/>
      <c r="I25" s="458"/>
      <c r="J25" s="458"/>
      <c r="K25" s="458"/>
      <c r="L25" s="458"/>
      <c r="M25" s="458"/>
      <c r="N25" s="458"/>
      <c r="O25" s="443"/>
      <c r="P25" s="447"/>
      <c r="Q25" s="450">
        <v>3</v>
      </c>
      <c r="R25" s="450">
        <v>1.2</v>
      </c>
      <c r="S25" s="450">
        <v>600.01</v>
      </c>
      <c r="T25" s="443">
        <v>2.9</v>
      </c>
    </row>
    <row r="26" spans="2:20" s="497" customFormat="1" ht="15">
      <c r="B26" s="445" t="s">
        <v>441</v>
      </c>
      <c r="C26" s="445"/>
      <c r="D26" s="445"/>
      <c r="E26" s="445"/>
      <c r="F26" s="445"/>
      <c r="G26" s="445"/>
      <c r="H26" s="445"/>
      <c r="I26" s="445"/>
      <c r="J26" s="445"/>
      <c r="K26" s="445"/>
      <c r="L26" s="445"/>
      <c r="M26" s="445"/>
      <c r="N26" s="445"/>
      <c r="O26" s="443"/>
      <c r="P26" s="447"/>
      <c r="Q26" s="450">
        <v>3</v>
      </c>
      <c r="R26" s="450">
        <v>1.2</v>
      </c>
      <c r="S26" s="450">
        <v>10000</v>
      </c>
      <c r="T26" s="443">
        <v>2.9</v>
      </c>
    </row>
    <row r="27" spans="2:20" s="497" customFormat="1" ht="15">
      <c r="B27" s="443"/>
      <c r="C27" s="443"/>
      <c r="D27" s="443"/>
      <c r="E27" s="458"/>
      <c r="F27" s="458"/>
      <c r="G27" s="458"/>
      <c r="H27" s="458"/>
      <c r="I27" s="458"/>
      <c r="J27" s="458"/>
      <c r="K27" s="458"/>
      <c r="L27" s="458"/>
      <c r="M27" s="458"/>
      <c r="N27" s="458"/>
      <c r="O27" s="443"/>
      <c r="P27" s="447"/>
      <c r="Q27" s="450">
        <v>3</v>
      </c>
      <c r="R27" s="450">
        <v>1.6</v>
      </c>
      <c r="S27" s="450">
        <v>0</v>
      </c>
      <c r="T27" s="443">
        <v>5.0999999999999996</v>
      </c>
    </row>
    <row r="28" spans="2:20" s="497" customFormat="1" ht="15">
      <c r="B28" s="453" t="s">
        <v>442</v>
      </c>
      <c r="C28" s="443"/>
      <c r="D28" s="443"/>
      <c r="E28" s="453">
        <v>1</v>
      </c>
      <c r="F28" s="458">
        <f>xx_1</f>
        <v>3.5</v>
      </c>
      <c r="G28" s="458">
        <f>yy_1</f>
        <v>0.8</v>
      </c>
      <c r="H28" s="458">
        <f>zz_1</f>
        <v>300.01</v>
      </c>
      <c r="I28" s="458">
        <f>F28*G28</f>
        <v>2.8000000000000003</v>
      </c>
      <c r="J28" s="458">
        <f>F28*H28</f>
        <v>1050.0349999999999</v>
      </c>
      <c r="K28" s="458">
        <f>G28*H28</f>
        <v>240.00800000000001</v>
      </c>
      <c r="L28" s="470">
        <f>F28*G28*H28</f>
        <v>840.02800000000002</v>
      </c>
      <c r="M28" s="471" t="s">
        <v>443</v>
      </c>
      <c r="N28" s="472">
        <f t="shared" ref="N28" si="8">f_111</f>
        <v>4.5999999999999996</v>
      </c>
      <c r="O28" s="443"/>
      <c r="P28" s="447"/>
      <c r="Q28" s="450">
        <v>3</v>
      </c>
      <c r="R28" s="450">
        <v>1.6</v>
      </c>
      <c r="S28" s="450">
        <v>300</v>
      </c>
      <c r="T28" s="443">
        <v>5.0999999999999996</v>
      </c>
    </row>
    <row r="29" spans="2:20" s="497" customFormat="1" ht="15">
      <c r="B29" s="453" t="s">
        <v>444</v>
      </c>
      <c r="C29" s="443"/>
      <c r="D29" s="443"/>
      <c r="E29" s="453">
        <v>1</v>
      </c>
      <c r="F29" s="458">
        <f>xx_2</f>
        <v>4.49</v>
      </c>
      <c r="G29" s="458">
        <f>yy_1</f>
        <v>0.8</v>
      </c>
      <c r="H29" s="458">
        <f>zz_1</f>
        <v>300.01</v>
      </c>
      <c r="I29" s="458">
        <f t="shared" ref="I29:I35" si="9">F29*G29</f>
        <v>3.5920000000000005</v>
      </c>
      <c r="J29" s="458">
        <f t="shared" ref="J29:J35" si="10">F29*H29</f>
        <v>1347.0449000000001</v>
      </c>
      <c r="K29" s="458">
        <f t="shared" ref="K29:K35" si="11">G29*H29</f>
        <v>240.00800000000001</v>
      </c>
      <c r="L29" s="470">
        <f t="shared" ref="L29:L35" si="12">F29*G29*H29</f>
        <v>1077.6359200000002</v>
      </c>
      <c r="M29" s="458"/>
      <c r="N29" s="472">
        <f>f_211</f>
        <v>4.5999999999999996</v>
      </c>
      <c r="O29" s="443"/>
      <c r="P29" s="447"/>
      <c r="Q29" s="450">
        <v>3</v>
      </c>
      <c r="R29" s="450">
        <v>1.6</v>
      </c>
      <c r="S29" s="450">
        <v>300.01</v>
      </c>
      <c r="T29" s="443">
        <v>4.5999999999999996</v>
      </c>
    </row>
    <row r="30" spans="2:20" s="497" customFormat="1" ht="15">
      <c r="B30" s="453" t="s">
        <v>445</v>
      </c>
      <c r="C30" s="443"/>
      <c r="D30" s="443"/>
      <c r="E30" s="453">
        <v>1</v>
      </c>
      <c r="F30" s="458">
        <f>xx_1</f>
        <v>3.5</v>
      </c>
      <c r="G30" s="458">
        <f>yy_2</f>
        <v>1.2</v>
      </c>
      <c r="H30" s="458">
        <f>zz_1</f>
        <v>300.01</v>
      </c>
      <c r="I30" s="458">
        <f t="shared" si="9"/>
        <v>4.2</v>
      </c>
      <c r="J30" s="458">
        <f t="shared" si="10"/>
        <v>1050.0349999999999</v>
      </c>
      <c r="K30" s="458">
        <f t="shared" si="11"/>
        <v>360.012</v>
      </c>
      <c r="L30" s="470">
        <f t="shared" si="12"/>
        <v>1260.0419999999999</v>
      </c>
      <c r="M30" s="458"/>
      <c r="N30" s="472">
        <f>f_121</f>
        <v>6.6</v>
      </c>
      <c r="O30" s="443"/>
      <c r="P30" s="447"/>
      <c r="Q30" s="450">
        <v>3</v>
      </c>
      <c r="R30" s="450">
        <v>1.6</v>
      </c>
      <c r="S30" s="450">
        <v>600</v>
      </c>
      <c r="T30" s="443">
        <v>4.5999999999999996</v>
      </c>
    </row>
    <row r="31" spans="2:20" s="497" customFormat="1" ht="15">
      <c r="B31" s="453" t="s">
        <v>448</v>
      </c>
      <c r="C31" s="443" t="s">
        <v>446</v>
      </c>
      <c r="D31" s="443"/>
      <c r="E31" s="453">
        <v>1</v>
      </c>
      <c r="F31" s="458">
        <f>xx_2</f>
        <v>4.49</v>
      </c>
      <c r="G31" s="458">
        <f>yy_2</f>
        <v>1.2</v>
      </c>
      <c r="H31" s="458">
        <f>zz_1</f>
        <v>300.01</v>
      </c>
      <c r="I31" s="458">
        <f t="shared" si="9"/>
        <v>5.3879999999999999</v>
      </c>
      <c r="J31" s="458">
        <f t="shared" si="10"/>
        <v>1347.0449000000001</v>
      </c>
      <c r="K31" s="458">
        <f t="shared" si="11"/>
        <v>360.012</v>
      </c>
      <c r="L31" s="470">
        <f t="shared" si="12"/>
        <v>1616.45388</v>
      </c>
      <c r="M31" s="458" t="s">
        <v>447</v>
      </c>
      <c r="N31" s="472">
        <f>f_221</f>
        <v>6.6</v>
      </c>
      <c r="O31" s="443"/>
      <c r="P31" s="447"/>
      <c r="Q31" s="450">
        <v>3</v>
      </c>
      <c r="R31" s="450">
        <v>1.6</v>
      </c>
      <c r="S31" s="450">
        <v>600.01</v>
      </c>
      <c r="T31" s="443">
        <v>3.5</v>
      </c>
    </row>
    <row r="32" spans="2:20" s="497" customFormat="1" ht="15">
      <c r="B32" s="453" t="s">
        <v>472</v>
      </c>
      <c r="C32" s="443"/>
      <c r="D32" s="443"/>
      <c r="E32" s="453">
        <v>1</v>
      </c>
      <c r="F32" s="458">
        <f>xx_1</f>
        <v>3.5</v>
      </c>
      <c r="G32" s="458">
        <f>yy_1</f>
        <v>0.8</v>
      </c>
      <c r="H32" s="458">
        <f>zz_2</f>
        <v>600</v>
      </c>
      <c r="I32" s="458">
        <f t="shared" si="9"/>
        <v>2.8000000000000003</v>
      </c>
      <c r="J32" s="458">
        <f t="shared" si="10"/>
        <v>2100</v>
      </c>
      <c r="K32" s="458">
        <f t="shared" si="11"/>
        <v>480</v>
      </c>
      <c r="L32" s="470">
        <f t="shared" si="12"/>
        <v>1680.0000000000002</v>
      </c>
      <c r="M32" s="458"/>
      <c r="N32" s="472">
        <f>f_112</f>
        <v>4.5999999999999996</v>
      </c>
      <c r="O32" s="443"/>
      <c r="P32" s="447"/>
      <c r="Q32" s="450">
        <v>3</v>
      </c>
      <c r="R32" s="450">
        <v>1.6</v>
      </c>
      <c r="S32" s="450">
        <v>10000</v>
      </c>
      <c r="T32" s="443">
        <v>3.5</v>
      </c>
    </row>
    <row r="33" spans="2:20" s="497" customFormat="1" ht="15">
      <c r="B33" s="453" t="s">
        <v>473</v>
      </c>
      <c r="C33" s="443"/>
      <c r="D33" s="443"/>
      <c r="E33" s="453">
        <v>1</v>
      </c>
      <c r="F33" s="458">
        <f>xx_2</f>
        <v>4.49</v>
      </c>
      <c r="G33" s="458">
        <f>yy_1</f>
        <v>0.8</v>
      </c>
      <c r="H33" s="458">
        <f>zz_2</f>
        <v>600</v>
      </c>
      <c r="I33" s="458">
        <f t="shared" si="9"/>
        <v>3.5920000000000005</v>
      </c>
      <c r="J33" s="458">
        <f t="shared" si="10"/>
        <v>2694</v>
      </c>
      <c r="K33" s="458">
        <f t="shared" si="11"/>
        <v>480</v>
      </c>
      <c r="L33" s="470">
        <f t="shared" si="12"/>
        <v>2155.2000000000003</v>
      </c>
      <c r="M33" s="458"/>
      <c r="N33" s="472">
        <f>f_212</f>
        <v>4.5999999999999996</v>
      </c>
      <c r="O33" s="443"/>
      <c r="P33" s="447"/>
      <c r="Q33" s="450">
        <v>3</v>
      </c>
      <c r="R33" s="450">
        <v>2.4</v>
      </c>
      <c r="S33" s="450">
        <v>0</v>
      </c>
      <c r="T33" s="443">
        <v>6.1</v>
      </c>
    </row>
    <row r="34" spans="2:20" s="497" customFormat="1" ht="15">
      <c r="B34" s="453" t="s">
        <v>474</v>
      </c>
      <c r="C34" s="443"/>
      <c r="D34" s="443"/>
      <c r="E34" s="453">
        <v>1</v>
      </c>
      <c r="F34" s="458">
        <f>xx_1</f>
        <v>3.5</v>
      </c>
      <c r="G34" s="458">
        <f>yy_2</f>
        <v>1.2</v>
      </c>
      <c r="H34" s="458">
        <f>zz_2</f>
        <v>600</v>
      </c>
      <c r="I34" s="458">
        <f t="shared" si="9"/>
        <v>4.2</v>
      </c>
      <c r="J34" s="458">
        <f t="shared" si="10"/>
        <v>2100</v>
      </c>
      <c r="K34" s="458">
        <f t="shared" si="11"/>
        <v>720</v>
      </c>
      <c r="L34" s="470">
        <f t="shared" si="12"/>
        <v>2520</v>
      </c>
      <c r="M34" s="458"/>
      <c r="N34" s="472">
        <f>f_122</f>
        <v>6.6</v>
      </c>
      <c r="O34" s="443"/>
      <c r="P34" s="447"/>
      <c r="Q34" s="450">
        <v>3</v>
      </c>
      <c r="R34" s="450">
        <v>2.4</v>
      </c>
      <c r="S34" s="450">
        <v>300</v>
      </c>
      <c r="T34" s="443">
        <v>6.1</v>
      </c>
    </row>
    <row r="35" spans="2:20" s="497" customFormat="1" ht="15">
      <c r="B35" s="453" t="s">
        <v>475</v>
      </c>
      <c r="C35" s="443"/>
      <c r="D35" s="443"/>
      <c r="E35" s="453">
        <v>1</v>
      </c>
      <c r="F35" s="458">
        <f>xx_2</f>
        <v>4.49</v>
      </c>
      <c r="G35" s="458">
        <f>yy_2</f>
        <v>1.2</v>
      </c>
      <c r="H35" s="458">
        <f>zz_2</f>
        <v>600</v>
      </c>
      <c r="I35" s="458">
        <f t="shared" si="9"/>
        <v>5.3879999999999999</v>
      </c>
      <c r="J35" s="458">
        <f t="shared" si="10"/>
        <v>2694</v>
      </c>
      <c r="K35" s="458">
        <f t="shared" si="11"/>
        <v>720</v>
      </c>
      <c r="L35" s="470">
        <f t="shared" si="12"/>
        <v>3232.7999999999997</v>
      </c>
      <c r="M35" s="458"/>
      <c r="N35" s="472">
        <f>f_222</f>
        <v>6.6</v>
      </c>
      <c r="O35" s="443"/>
      <c r="P35" s="447"/>
      <c r="Q35" s="450">
        <v>3</v>
      </c>
      <c r="R35" s="450">
        <v>2.4</v>
      </c>
      <c r="S35" s="450">
        <v>300.01</v>
      </c>
      <c r="T35" s="443">
        <v>5.5</v>
      </c>
    </row>
    <row r="36" spans="2:20" s="497" customFormat="1" ht="15">
      <c r="B36" s="443"/>
      <c r="C36" s="443"/>
      <c r="D36" s="443"/>
      <c r="E36" s="458"/>
      <c r="F36" s="458"/>
      <c r="G36" s="458"/>
      <c r="H36" s="458"/>
      <c r="I36" s="458"/>
      <c r="J36" s="458"/>
      <c r="K36" s="458"/>
      <c r="L36" s="458"/>
      <c r="M36" s="458"/>
      <c r="N36" s="458"/>
      <c r="O36" s="443"/>
      <c r="P36" s="447"/>
      <c r="Q36" s="450">
        <v>3</v>
      </c>
      <c r="R36" s="450">
        <v>2.4</v>
      </c>
      <c r="S36" s="450">
        <v>600</v>
      </c>
      <c r="T36" s="443">
        <v>5.5</v>
      </c>
    </row>
    <row r="37" spans="2:20" s="497" customFormat="1" ht="15">
      <c r="B37" s="453" t="s">
        <v>442</v>
      </c>
      <c r="C37" s="443"/>
      <c r="D37" s="453">
        <f t="array" ref="D37:D44">MMULT(MINVERSE(E28:L35),N28:N35)</f>
        <v>0.59999999999991616</v>
      </c>
      <c r="E37" s="458"/>
      <c r="F37" s="458"/>
      <c r="G37" s="458"/>
      <c r="H37" s="458"/>
      <c r="I37" s="458"/>
      <c r="J37" s="458"/>
      <c r="K37" s="458"/>
      <c r="L37" s="458"/>
      <c r="M37" s="458"/>
      <c r="N37" s="458"/>
      <c r="O37" s="443"/>
      <c r="P37" s="447"/>
      <c r="Q37" s="450">
        <v>3</v>
      </c>
      <c r="R37" s="450">
        <v>2.4</v>
      </c>
      <c r="S37" s="450">
        <v>600.01</v>
      </c>
      <c r="T37" s="443">
        <v>4.0999999999999996</v>
      </c>
    </row>
    <row r="38" spans="2:20" s="497" customFormat="1" ht="15">
      <c r="B38" s="453" t="s">
        <v>444</v>
      </c>
      <c r="C38" s="443"/>
      <c r="D38" s="453">
        <v>0</v>
      </c>
      <c r="E38" s="458"/>
      <c r="F38" s="458"/>
      <c r="G38" s="458"/>
      <c r="H38" s="458"/>
      <c r="I38" s="458"/>
      <c r="J38" s="458"/>
      <c r="K38" s="458"/>
      <c r="L38" s="458"/>
      <c r="M38" s="458"/>
      <c r="N38" s="458"/>
      <c r="O38" s="443"/>
      <c r="P38" s="447"/>
      <c r="Q38" s="450">
        <v>3</v>
      </c>
      <c r="R38" s="450">
        <v>2.4</v>
      </c>
      <c r="S38" s="450">
        <v>10000</v>
      </c>
      <c r="T38" s="443">
        <v>4.0999999999999996</v>
      </c>
    </row>
    <row r="39" spans="2:20" s="497" customFormat="1" ht="15">
      <c r="B39" s="453" t="s">
        <v>445</v>
      </c>
      <c r="C39" s="443"/>
      <c r="D39" s="453">
        <v>5.0000000000000071</v>
      </c>
      <c r="E39" s="458"/>
      <c r="F39" s="458"/>
      <c r="G39" s="458"/>
      <c r="H39" s="458"/>
      <c r="I39" s="458"/>
      <c r="J39" s="458"/>
      <c r="K39" s="458"/>
      <c r="L39" s="458"/>
      <c r="M39" s="458"/>
      <c r="N39" s="458"/>
      <c r="O39" s="443"/>
      <c r="P39" s="447"/>
      <c r="Q39" s="450">
        <v>3</v>
      </c>
      <c r="R39" s="450">
        <v>3.2</v>
      </c>
      <c r="S39" s="450">
        <v>0</v>
      </c>
      <c r="T39" s="443">
        <v>7.1</v>
      </c>
    </row>
    <row r="40" spans="2:20" s="497" customFormat="1" ht="15">
      <c r="B40" s="453" t="s">
        <v>448</v>
      </c>
      <c r="C40" s="443" t="s">
        <v>446</v>
      </c>
      <c r="D40" s="453">
        <v>0</v>
      </c>
      <c r="E40" s="458"/>
      <c r="F40" s="458"/>
      <c r="G40" s="458"/>
      <c r="H40" s="458"/>
      <c r="I40" s="458"/>
      <c r="J40" s="458"/>
      <c r="K40" s="458"/>
      <c r="L40" s="458"/>
      <c r="M40" s="458"/>
      <c r="N40" s="458"/>
      <c r="O40" s="443"/>
      <c r="P40" s="447"/>
      <c r="Q40" s="450">
        <v>3</v>
      </c>
      <c r="R40" s="450">
        <v>3.2</v>
      </c>
      <c r="S40" s="450">
        <v>300</v>
      </c>
      <c r="T40" s="443">
        <v>7.1</v>
      </c>
    </row>
    <row r="41" spans="2:20" s="497" customFormat="1" ht="15">
      <c r="B41" s="453" t="s">
        <v>472</v>
      </c>
      <c r="C41" s="443"/>
      <c r="D41" s="453">
        <v>0</v>
      </c>
      <c r="E41" s="458"/>
      <c r="F41" s="458"/>
      <c r="G41" s="458"/>
      <c r="H41" s="458"/>
      <c r="I41" s="458"/>
      <c r="J41" s="458"/>
      <c r="K41" s="458"/>
      <c r="L41" s="458"/>
      <c r="M41" s="458"/>
      <c r="N41" s="458"/>
      <c r="O41" s="443"/>
      <c r="P41" s="447"/>
      <c r="Q41" s="450">
        <v>3</v>
      </c>
      <c r="R41" s="450">
        <v>3.2</v>
      </c>
      <c r="S41" s="450">
        <v>300.01</v>
      </c>
      <c r="T41" s="443">
        <v>5.9</v>
      </c>
    </row>
    <row r="42" spans="2:20" s="497" customFormat="1" ht="15">
      <c r="B42" s="453" t="s">
        <v>473</v>
      </c>
      <c r="C42" s="443"/>
      <c r="D42" s="453">
        <v>0</v>
      </c>
      <c r="E42" s="458"/>
      <c r="F42" s="458"/>
      <c r="G42" s="458"/>
      <c r="H42" s="458"/>
      <c r="I42" s="458"/>
      <c r="J42" s="458"/>
      <c r="K42" s="458"/>
      <c r="L42" s="458"/>
      <c r="M42" s="458"/>
      <c r="N42" s="458"/>
      <c r="O42" s="443"/>
      <c r="P42" s="447"/>
      <c r="Q42" s="450">
        <v>3</v>
      </c>
      <c r="R42" s="450">
        <v>3.2</v>
      </c>
      <c r="S42" s="450">
        <v>600</v>
      </c>
      <c r="T42" s="443">
        <v>5.9</v>
      </c>
    </row>
    <row r="43" spans="2:20" s="497" customFormat="1" ht="15">
      <c r="B43" s="453" t="s">
        <v>474</v>
      </c>
      <c r="C43" s="443"/>
      <c r="D43" s="453">
        <v>0</v>
      </c>
      <c r="E43" s="458"/>
      <c r="F43" s="458"/>
      <c r="G43" s="458"/>
      <c r="H43" s="458"/>
      <c r="I43" s="458"/>
      <c r="J43" s="458"/>
      <c r="K43" s="458"/>
      <c r="L43" s="458"/>
      <c r="M43" s="458"/>
      <c r="N43" s="458"/>
      <c r="O43" s="443"/>
      <c r="P43" s="447"/>
      <c r="Q43" s="450">
        <v>3</v>
      </c>
      <c r="R43" s="450">
        <v>3.2</v>
      </c>
      <c r="S43" s="450">
        <v>600.01</v>
      </c>
      <c r="T43" s="443">
        <v>4.7</v>
      </c>
    </row>
    <row r="44" spans="2:20" s="497" customFormat="1" ht="15">
      <c r="B44" s="453" t="s">
        <v>475</v>
      </c>
      <c r="C44" s="443"/>
      <c r="D44" s="453">
        <v>0</v>
      </c>
      <c r="E44" s="458"/>
      <c r="F44" s="458"/>
      <c r="G44" s="458"/>
      <c r="H44" s="458"/>
      <c r="I44" s="458"/>
      <c r="J44" s="458"/>
      <c r="K44" s="458"/>
      <c r="L44" s="458"/>
      <c r="M44" s="458"/>
      <c r="N44" s="458"/>
      <c r="O44" s="443"/>
      <c r="P44" s="447"/>
      <c r="Q44" s="450">
        <v>3</v>
      </c>
      <c r="R44" s="450">
        <v>3.2</v>
      </c>
      <c r="S44" s="450">
        <v>10000</v>
      </c>
      <c r="T44" s="443">
        <v>4.7</v>
      </c>
    </row>
    <row r="45" spans="2:20" s="497" customFormat="1" ht="15">
      <c r="B45" s="443"/>
      <c r="C45" s="443"/>
      <c r="D45" s="443"/>
      <c r="E45" s="458"/>
      <c r="F45" s="458"/>
      <c r="G45" s="458"/>
      <c r="H45" s="458"/>
      <c r="I45" s="458"/>
      <c r="J45" s="458"/>
      <c r="K45" s="458"/>
      <c r="L45" s="458"/>
      <c r="M45" s="458"/>
      <c r="N45" s="458"/>
      <c r="O45" s="443"/>
      <c r="P45" s="447"/>
      <c r="Q45" s="450">
        <v>3</v>
      </c>
      <c r="R45" s="450">
        <v>4.8</v>
      </c>
      <c r="S45" s="450">
        <v>0</v>
      </c>
      <c r="T45" s="443">
        <v>8.1999999999999993</v>
      </c>
    </row>
    <row r="46" spans="2:20" s="497" customFormat="1" ht="15">
      <c r="B46" s="453">
        <v>1</v>
      </c>
      <c r="C46" s="443"/>
      <c r="D46" s="453">
        <v>1</v>
      </c>
      <c r="E46" s="458"/>
      <c r="F46" s="458"/>
      <c r="G46" s="458"/>
      <c r="H46" s="458"/>
      <c r="I46" s="458"/>
      <c r="J46" s="458"/>
      <c r="K46" s="458"/>
      <c r="L46" s="458"/>
      <c r="M46" s="458"/>
      <c r="N46" s="458"/>
      <c r="O46" s="443"/>
      <c r="P46" s="447"/>
      <c r="Q46" s="450">
        <v>3</v>
      </c>
      <c r="R46" s="450">
        <v>4.8</v>
      </c>
      <c r="S46" s="450">
        <v>300</v>
      </c>
      <c r="T46" s="443">
        <v>8.1999999999999993</v>
      </c>
    </row>
    <row r="47" spans="2:20" s="497" customFormat="1" ht="15">
      <c r="B47" s="453" t="s">
        <v>426</v>
      </c>
      <c r="C47" s="443"/>
      <c r="D47" s="453">
        <f>C3</f>
        <v>3.5008273438823068</v>
      </c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43"/>
      <c r="P47" s="447"/>
      <c r="Q47" s="450">
        <v>3</v>
      </c>
      <c r="R47" s="450">
        <v>4.8</v>
      </c>
      <c r="S47" s="450">
        <v>300.01</v>
      </c>
      <c r="T47" s="443">
        <v>6.7</v>
      </c>
    </row>
    <row r="48" spans="2:20" s="497" customFormat="1" ht="15">
      <c r="B48" s="453" t="s">
        <v>430</v>
      </c>
      <c r="C48" s="443"/>
      <c r="D48" s="453">
        <f>C4</f>
        <v>1.0629800000000103</v>
      </c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43"/>
      <c r="P48" s="447"/>
      <c r="Q48" s="450">
        <v>3</v>
      </c>
      <c r="R48" s="450">
        <v>4.8</v>
      </c>
      <c r="S48" s="450">
        <v>600</v>
      </c>
      <c r="T48" s="443">
        <v>6.7</v>
      </c>
    </row>
    <row r="49" spans="2:20" s="497" customFormat="1" ht="15">
      <c r="B49" s="453" t="s">
        <v>390</v>
      </c>
      <c r="C49" s="443" t="s">
        <v>446</v>
      </c>
      <c r="D49" s="453">
        <f>C5</f>
        <v>541.56762934883636</v>
      </c>
      <c r="E49" s="458"/>
      <c r="F49" s="458"/>
      <c r="G49" s="458"/>
      <c r="H49" s="458"/>
      <c r="I49" s="458"/>
      <c r="J49" s="458"/>
      <c r="K49" s="458"/>
      <c r="L49" s="458"/>
      <c r="M49" s="458"/>
      <c r="N49" s="458"/>
      <c r="O49" s="443"/>
      <c r="P49" s="447"/>
      <c r="Q49" s="450">
        <v>3</v>
      </c>
      <c r="R49" s="450">
        <v>4.8</v>
      </c>
      <c r="S49" s="450">
        <v>600.01</v>
      </c>
      <c r="T49" s="443">
        <v>5.3</v>
      </c>
    </row>
    <row r="50" spans="2:20" s="497" customFormat="1" ht="15">
      <c r="B50" s="453" t="s">
        <v>449</v>
      </c>
      <c r="C50" s="443"/>
      <c r="D50" s="453">
        <f>D47*D48</f>
        <v>3.7213094500000503</v>
      </c>
      <c r="E50" s="458"/>
      <c r="F50" s="458"/>
      <c r="G50" s="458"/>
      <c r="H50" s="458"/>
      <c r="I50" s="458"/>
      <c r="J50" s="458"/>
      <c r="K50" s="458"/>
      <c r="L50" s="458"/>
      <c r="M50" s="458"/>
      <c r="N50" s="458"/>
      <c r="O50" s="443"/>
      <c r="P50" s="447"/>
      <c r="Q50" s="450">
        <v>3</v>
      </c>
      <c r="R50" s="450">
        <v>4.8</v>
      </c>
      <c r="S50" s="450">
        <v>10000</v>
      </c>
      <c r="T50" s="443">
        <v>5.3</v>
      </c>
    </row>
    <row r="51" spans="2:20" s="497" customFormat="1" ht="15">
      <c r="B51" s="453" t="s">
        <v>476</v>
      </c>
      <c r="C51" s="443"/>
      <c r="D51" s="453">
        <f>D47*D49</f>
        <v>1895.9347653859245</v>
      </c>
      <c r="E51" s="458"/>
      <c r="F51" s="458"/>
      <c r="G51" s="458"/>
      <c r="H51" s="458"/>
      <c r="I51" s="458"/>
      <c r="J51" s="458"/>
      <c r="K51" s="458"/>
      <c r="L51" s="458"/>
      <c r="M51" s="458"/>
      <c r="N51" s="458"/>
      <c r="O51" s="443"/>
      <c r="P51" s="447"/>
      <c r="Q51" s="450">
        <v>3</v>
      </c>
      <c r="R51" s="450">
        <v>6.4</v>
      </c>
      <c r="S51" s="450">
        <v>0</v>
      </c>
      <c r="T51" s="443">
        <v>9.1</v>
      </c>
    </row>
    <row r="52" spans="2:20" s="497" customFormat="1" ht="15">
      <c r="B52" s="453" t="s">
        <v>477</v>
      </c>
      <c r="C52" s="443"/>
      <c r="D52" s="453">
        <f>D48*D49</f>
        <v>575.6755586452316</v>
      </c>
      <c r="E52" s="458"/>
      <c r="F52" s="458"/>
      <c r="G52" s="458"/>
      <c r="H52" s="458"/>
      <c r="I52" s="458"/>
      <c r="J52" s="458"/>
      <c r="K52" s="458"/>
      <c r="L52" s="458"/>
      <c r="M52" s="458"/>
      <c r="N52" s="458"/>
      <c r="O52" s="443"/>
      <c r="P52" s="447"/>
      <c r="Q52" s="450">
        <v>3</v>
      </c>
      <c r="R52" s="450">
        <v>6.4</v>
      </c>
      <c r="S52" s="450">
        <v>300</v>
      </c>
      <c r="T52" s="443">
        <v>9.1</v>
      </c>
    </row>
    <row r="53" spans="2:20" s="497" customFormat="1" ht="15">
      <c r="B53" s="453" t="s">
        <v>478</v>
      </c>
      <c r="C53" s="443"/>
      <c r="D53" s="453">
        <f>D47*D48*D49</f>
        <v>2015.3407369099493</v>
      </c>
      <c r="E53" s="458"/>
      <c r="F53" s="458"/>
      <c r="G53" s="458"/>
      <c r="H53" s="458"/>
      <c r="I53" s="458"/>
      <c r="J53" s="458"/>
      <c r="K53" s="458"/>
      <c r="L53" s="458"/>
      <c r="M53" s="458"/>
      <c r="N53" s="458"/>
      <c r="O53" s="443"/>
      <c r="P53" s="447"/>
      <c r="Q53" s="450">
        <v>3</v>
      </c>
      <c r="R53" s="450">
        <v>6.4</v>
      </c>
      <c r="S53" s="450">
        <v>300.01</v>
      </c>
      <c r="T53" s="443">
        <v>7.5</v>
      </c>
    </row>
    <row r="54" spans="2:20" s="497" customFormat="1" ht="15">
      <c r="B54" s="443"/>
      <c r="C54" s="443"/>
      <c r="D54" s="443"/>
      <c r="E54" s="458"/>
      <c r="F54" s="458"/>
      <c r="G54" s="458"/>
      <c r="H54" s="458"/>
      <c r="I54" s="458"/>
      <c r="J54" s="458"/>
      <c r="K54" s="458"/>
      <c r="L54" s="458"/>
      <c r="M54" s="458"/>
      <c r="N54" s="458"/>
      <c r="O54" s="443"/>
      <c r="P54" s="447"/>
      <c r="Q54" s="450">
        <v>3</v>
      </c>
      <c r="R54" s="450">
        <v>6.4</v>
      </c>
      <c r="S54" s="450">
        <v>600</v>
      </c>
      <c r="T54" s="443">
        <v>7.5</v>
      </c>
    </row>
    <row r="55" spans="2:20" s="497" customFormat="1" ht="15">
      <c r="B55" s="445" t="s">
        <v>450</v>
      </c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  <c r="N55" s="445"/>
      <c r="O55" s="443"/>
      <c r="P55" s="447"/>
      <c r="Q55" s="450">
        <v>3</v>
      </c>
      <c r="R55" s="450">
        <v>6.4</v>
      </c>
      <c r="S55" s="450">
        <v>600.01</v>
      </c>
      <c r="T55" s="443">
        <v>5.7</v>
      </c>
    </row>
    <row r="56" spans="2:20" s="497" customFormat="1" ht="15">
      <c r="B56" s="443"/>
      <c r="C56" s="443"/>
      <c r="D56" s="443"/>
      <c r="E56" s="458"/>
      <c r="F56" s="458"/>
      <c r="G56" s="458"/>
      <c r="H56" s="458"/>
      <c r="I56" s="458"/>
      <c r="J56" s="458"/>
      <c r="K56" s="458"/>
      <c r="L56" s="458"/>
      <c r="M56" s="458"/>
      <c r="N56" s="458"/>
      <c r="O56" s="443"/>
      <c r="P56" s="447"/>
      <c r="Q56" s="450">
        <v>3</v>
      </c>
      <c r="R56" s="450">
        <v>6.4</v>
      </c>
      <c r="S56" s="450">
        <v>10000</v>
      </c>
      <c r="T56" s="443">
        <v>5.7</v>
      </c>
    </row>
    <row r="57" spans="2:20" s="497" customFormat="1" ht="15">
      <c r="B57" s="443"/>
      <c r="C57" s="443"/>
      <c r="D57" s="443"/>
      <c r="E57" s="458"/>
      <c r="F57" s="458"/>
      <c r="G57" s="458"/>
      <c r="H57" s="458"/>
      <c r="I57" s="458"/>
      <c r="J57" s="458"/>
      <c r="K57" s="458"/>
      <c r="L57" s="458"/>
      <c r="M57" s="458"/>
      <c r="N57" s="458"/>
      <c r="O57" s="443"/>
      <c r="P57" s="447"/>
      <c r="Q57" s="450">
        <v>3</v>
      </c>
      <c r="R57" s="450">
        <v>100</v>
      </c>
      <c r="S57" s="450">
        <v>0</v>
      </c>
      <c r="T57" s="443">
        <v>9.1</v>
      </c>
    </row>
    <row r="58" spans="2:20" s="497" customFormat="1" ht="15">
      <c r="B58" s="443"/>
      <c r="C58" s="443"/>
      <c r="D58" s="443"/>
      <c r="E58" s="458"/>
      <c r="F58" s="458"/>
      <c r="G58" s="458"/>
      <c r="H58" s="458"/>
      <c r="I58" s="458"/>
      <c r="J58" s="458"/>
      <c r="K58" s="458"/>
      <c r="L58" s="458"/>
      <c r="M58" s="458"/>
      <c r="N58" s="458"/>
      <c r="O58" s="443"/>
      <c r="P58" s="447"/>
      <c r="Q58" s="450">
        <v>3</v>
      </c>
      <c r="R58" s="450">
        <v>100</v>
      </c>
      <c r="S58" s="450">
        <v>300</v>
      </c>
      <c r="T58" s="443">
        <v>9.1</v>
      </c>
    </row>
    <row r="59" spans="2:20" s="497" customFormat="1" ht="15">
      <c r="B59" s="443"/>
      <c r="C59" s="443"/>
      <c r="D59" s="443"/>
      <c r="E59" s="458"/>
      <c r="F59" s="458"/>
      <c r="G59" s="458"/>
      <c r="H59" s="458"/>
      <c r="I59" s="458"/>
      <c r="J59" s="458"/>
      <c r="K59" s="458"/>
      <c r="L59" s="458"/>
      <c r="M59" s="458"/>
      <c r="N59" s="458"/>
      <c r="O59" s="443"/>
      <c r="P59" s="447"/>
      <c r="Q59" s="450">
        <v>3</v>
      </c>
      <c r="R59" s="450">
        <v>100</v>
      </c>
      <c r="S59" s="450">
        <v>300.01</v>
      </c>
      <c r="T59" s="443">
        <v>7.5</v>
      </c>
    </row>
    <row r="60" spans="2:20" s="497" customFormat="1" ht="15">
      <c r="B60" s="443"/>
      <c r="C60" s="443"/>
      <c r="D60" s="443"/>
      <c r="E60" s="458"/>
      <c r="F60" s="458"/>
      <c r="G60" s="458"/>
      <c r="H60" s="458"/>
      <c r="I60" s="458"/>
      <c r="J60" s="458"/>
      <c r="K60" s="458"/>
      <c r="L60" s="458"/>
      <c r="M60" s="458"/>
      <c r="N60" s="458"/>
      <c r="O60" s="443"/>
      <c r="P60" s="447"/>
      <c r="Q60" s="450">
        <v>3</v>
      </c>
      <c r="R60" s="450">
        <v>100</v>
      </c>
      <c r="S60" s="450">
        <v>600</v>
      </c>
      <c r="T60" s="443">
        <v>7.5</v>
      </c>
    </row>
    <row r="61" spans="2:20" s="497" customFormat="1" ht="15">
      <c r="B61" s="443"/>
      <c r="C61" s="443"/>
      <c r="D61" s="443"/>
      <c r="E61" s="458"/>
      <c r="F61" s="458"/>
      <c r="G61" s="458"/>
      <c r="H61" s="458"/>
      <c r="I61" s="458"/>
      <c r="J61" s="458"/>
      <c r="K61" s="458"/>
      <c r="L61" s="458"/>
      <c r="M61" s="458"/>
      <c r="N61" s="458"/>
      <c r="O61" s="443"/>
      <c r="P61" s="447"/>
      <c r="Q61" s="450">
        <v>3</v>
      </c>
      <c r="R61" s="450">
        <v>100</v>
      </c>
      <c r="S61" s="450">
        <v>600.01</v>
      </c>
      <c r="T61" s="443">
        <v>5.7</v>
      </c>
    </row>
    <row r="62" spans="2:20" s="497" customFormat="1" ht="15">
      <c r="B62" s="443"/>
      <c r="C62" s="443"/>
      <c r="D62" s="443"/>
      <c r="E62" s="458"/>
      <c r="F62" s="458"/>
      <c r="G62" s="458"/>
      <c r="H62" s="458"/>
      <c r="I62" s="458"/>
      <c r="J62" s="458"/>
      <c r="K62" s="458"/>
      <c r="L62" s="458"/>
      <c r="M62" s="458"/>
      <c r="N62" s="458"/>
      <c r="O62" s="443"/>
      <c r="P62" s="447"/>
      <c r="Q62" s="450">
        <v>3</v>
      </c>
      <c r="R62" s="450">
        <v>100</v>
      </c>
      <c r="S62" s="450">
        <v>10000</v>
      </c>
      <c r="T62" s="443">
        <v>5.7</v>
      </c>
    </row>
    <row r="63" spans="2:20" s="497" customFormat="1" ht="15">
      <c r="B63" s="443"/>
      <c r="C63" s="443"/>
      <c r="D63" s="443"/>
      <c r="E63" s="458"/>
      <c r="F63" s="458"/>
      <c r="G63" s="458"/>
      <c r="H63" s="458"/>
      <c r="I63" s="458"/>
      <c r="J63" s="458"/>
      <c r="K63" s="458"/>
      <c r="L63" s="458"/>
      <c r="M63" s="458"/>
      <c r="N63" s="458"/>
      <c r="O63" s="443"/>
      <c r="P63" s="447"/>
      <c r="Q63" s="450">
        <v>3.49</v>
      </c>
      <c r="R63" s="450">
        <v>0</v>
      </c>
      <c r="S63" s="450">
        <v>0</v>
      </c>
      <c r="T63" s="443">
        <v>2.5</v>
      </c>
    </row>
    <row r="64" spans="2:20" s="497" customFormat="1" ht="15">
      <c r="B64" s="443"/>
      <c r="C64" s="443"/>
      <c r="D64" s="443"/>
      <c r="E64" s="458"/>
      <c r="F64" s="458"/>
      <c r="G64" s="458"/>
      <c r="H64" s="458"/>
      <c r="I64" s="458"/>
      <c r="J64" s="458"/>
      <c r="K64" s="458"/>
      <c r="L64" s="458"/>
      <c r="M64" s="458"/>
      <c r="N64" s="458"/>
      <c r="O64" s="443"/>
      <c r="P64" s="447"/>
      <c r="Q64" s="450">
        <v>3.49</v>
      </c>
      <c r="R64" s="450">
        <v>0</v>
      </c>
      <c r="S64" s="450">
        <v>300</v>
      </c>
      <c r="T64" s="443">
        <v>2.5</v>
      </c>
    </row>
    <row r="65" spans="16:20" s="497" customFormat="1" ht="15">
      <c r="P65" s="447"/>
      <c r="Q65" s="450">
        <v>3.49</v>
      </c>
      <c r="R65" s="450">
        <v>0</v>
      </c>
      <c r="S65" s="450">
        <v>300.01</v>
      </c>
      <c r="T65" s="443">
        <v>1.9</v>
      </c>
    </row>
    <row r="66" spans="16:20" s="497" customFormat="1" ht="15">
      <c r="P66" s="447"/>
      <c r="Q66" s="450">
        <v>3.49</v>
      </c>
      <c r="R66" s="450">
        <v>0</v>
      </c>
      <c r="S66" s="450">
        <v>600</v>
      </c>
      <c r="T66" s="443">
        <v>1.9</v>
      </c>
    </row>
    <row r="67" spans="16:20" s="497" customFormat="1" ht="15">
      <c r="P67" s="447"/>
      <c r="Q67" s="450">
        <v>3.49</v>
      </c>
      <c r="R67" s="450">
        <v>0</v>
      </c>
      <c r="S67" s="450">
        <v>600.01</v>
      </c>
      <c r="T67" s="443">
        <v>1.5</v>
      </c>
    </row>
    <row r="68" spans="16:20" s="497" customFormat="1" ht="15">
      <c r="P68" s="447"/>
      <c r="Q68" s="450">
        <v>3.49</v>
      </c>
      <c r="R68" s="450">
        <v>0</v>
      </c>
      <c r="S68" s="450">
        <v>10000</v>
      </c>
      <c r="T68" s="443">
        <v>1.5</v>
      </c>
    </row>
    <row r="69" spans="16:20" s="497" customFormat="1" ht="15">
      <c r="P69" s="447"/>
      <c r="Q69" s="450">
        <v>3.49</v>
      </c>
      <c r="R69" s="450">
        <v>0.4</v>
      </c>
      <c r="S69" s="450">
        <v>0</v>
      </c>
      <c r="T69" s="443">
        <v>2.5</v>
      </c>
    </row>
    <row r="70" spans="16:20" s="497" customFormat="1" ht="15">
      <c r="P70" s="447"/>
      <c r="Q70" s="450">
        <v>3.49</v>
      </c>
      <c r="R70" s="450">
        <v>0.4</v>
      </c>
      <c r="S70" s="450">
        <v>300</v>
      </c>
      <c r="T70" s="443">
        <v>2.5</v>
      </c>
    </row>
    <row r="71" spans="16:20" s="497" customFormat="1" ht="15">
      <c r="P71" s="447"/>
      <c r="Q71" s="450">
        <v>3.49</v>
      </c>
      <c r="R71" s="450">
        <v>0.4</v>
      </c>
      <c r="S71" s="450">
        <v>300.01</v>
      </c>
      <c r="T71" s="443">
        <v>1.9</v>
      </c>
    </row>
    <row r="72" spans="16:20" s="497" customFormat="1" ht="15">
      <c r="P72" s="447"/>
      <c r="Q72" s="450">
        <v>3.49</v>
      </c>
      <c r="R72" s="450">
        <v>0.4</v>
      </c>
      <c r="S72" s="450">
        <v>600</v>
      </c>
      <c r="T72" s="443">
        <v>1.9</v>
      </c>
    </row>
    <row r="73" spans="16:20" s="497" customFormat="1" ht="15">
      <c r="P73" s="447"/>
      <c r="Q73" s="450">
        <v>3.49</v>
      </c>
      <c r="R73" s="450">
        <v>0.4</v>
      </c>
      <c r="S73" s="450">
        <v>600.01</v>
      </c>
      <c r="T73" s="443">
        <v>1.5</v>
      </c>
    </row>
    <row r="74" spans="16:20" s="497" customFormat="1" ht="15">
      <c r="P74" s="447"/>
      <c r="Q74" s="450">
        <v>3.49</v>
      </c>
      <c r="R74" s="450">
        <v>0.4</v>
      </c>
      <c r="S74" s="450">
        <v>10000</v>
      </c>
      <c r="T74" s="443">
        <v>1.5</v>
      </c>
    </row>
    <row r="75" spans="16:20" s="497" customFormat="1" ht="15">
      <c r="P75" s="447"/>
      <c r="Q75" s="450">
        <v>3.49</v>
      </c>
      <c r="R75" s="450">
        <v>0.8</v>
      </c>
      <c r="S75" s="450">
        <v>0</v>
      </c>
      <c r="T75" s="443">
        <v>3.5</v>
      </c>
    </row>
    <row r="76" spans="16:20" s="497" customFormat="1" ht="15">
      <c r="P76" s="447"/>
      <c r="Q76" s="450">
        <v>3.49</v>
      </c>
      <c r="R76" s="450">
        <v>0.8</v>
      </c>
      <c r="S76" s="450">
        <v>300</v>
      </c>
      <c r="T76" s="443">
        <v>3.5</v>
      </c>
    </row>
    <row r="77" spans="16:20" s="497" customFormat="1" ht="15">
      <c r="P77" s="447"/>
      <c r="Q77" s="450">
        <v>3.49</v>
      </c>
      <c r="R77" s="450">
        <v>0.8</v>
      </c>
      <c r="S77" s="450">
        <v>300.01</v>
      </c>
      <c r="T77" s="443">
        <v>2.8</v>
      </c>
    </row>
    <row r="78" spans="16:20" s="497" customFormat="1" ht="15">
      <c r="P78" s="447"/>
      <c r="Q78" s="450">
        <v>3.49</v>
      </c>
      <c r="R78" s="450">
        <v>0.8</v>
      </c>
      <c r="S78" s="450">
        <v>600</v>
      </c>
      <c r="T78" s="443">
        <v>2.8</v>
      </c>
    </row>
    <row r="79" spans="16:20" s="497" customFormat="1" ht="15">
      <c r="P79" s="447"/>
      <c r="Q79" s="450">
        <v>3.49</v>
      </c>
      <c r="R79" s="450">
        <v>0.8</v>
      </c>
      <c r="S79" s="450">
        <v>600.01</v>
      </c>
      <c r="T79" s="443">
        <v>2.2999999999999998</v>
      </c>
    </row>
    <row r="80" spans="16:20" s="497" customFormat="1" ht="15">
      <c r="P80" s="447"/>
      <c r="Q80" s="450">
        <v>3.49</v>
      </c>
      <c r="R80" s="450">
        <v>0.8</v>
      </c>
      <c r="S80" s="450">
        <v>10000</v>
      </c>
      <c r="T80" s="443">
        <v>2.2999999999999998</v>
      </c>
    </row>
    <row r="81" spans="16:20" s="497" customFormat="1" ht="15">
      <c r="P81" s="447"/>
      <c r="Q81" s="450">
        <v>3.49</v>
      </c>
      <c r="R81" s="450">
        <v>1.2</v>
      </c>
      <c r="S81" s="450">
        <v>0</v>
      </c>
      <c r="T81" s="443">
        <v>4.5</v>
      </c>
    </row>
    <row r="82" spans="16:20" s="497" customFormat="1" ht="15">
      <c r="P82" s="447"/>
      <c r="Q82" s="450">
        <v>3.49</v>
      </c>
      <c r="R82" s="450">
        <v>1.2</v>
      </c>
      <c r="S82" s="450">
        <v>300</v>
      </c>
      <c r="T82" s="443">
        <v>4.5</v>
      </c>
    </row>
    <row r="83" spans="16:20" s="497" customFormat="1" ht="15">
      <c r="P83" s="447"/>
      <c r="Q83" s="450">
        <v>3.49</v>
      </c>
      <c r="R83" s="450">
        <v>1.2</v>
      </c>
      <c r="S83" s="450">
        <v>300.01</v>
      </c>
      <c r="T83" s="443">
        <v>3.9</v>
      </c>
    </row>
    <row r="84" spans="16:20" s="497" customFormat="1" ht="15">
      <c r="P84" s="447"/>
      <c r="Q84" s="450">
        <v>3.49</v>
      </c>
      <c r="R84" s="450">
        <v>1.2</v>
      </c>
      <c r="S84" s="450">
        <v>600</v>
      </c>
      <c r="T84" s="443">
        <v>3.9</v>
      </c>
    </row>
    <row r="85" spans="16:20" s="497" customFormat="1" ht="15">
      <c r="P85" s="447"/>
      <c r="Q85" s="450">
        <v>3.49</v>
      </c>
      <c r="R85" s="450">
        <v>1.2</v>
      </c>
      <c r="S85" s="450">
        <v>600.01</v>
      </c>
      <c r="T85" s="443">
        <v>2.9</v>
      </c>
    </row>
    <row r="86" spans="16:20" s="497" customFormat="1" ht="15">
      <c r="P86" s="447"/>
      <c r="Q86" s="450">
        <v>3.49</v>
      </c>
      <c r="R86" s="450">
        <v>1.2</v>
      </c>
      <c r="S86" s="450">
        <v>10000</v>
      </c>
      <c r="T86" s="443">
        <v>2.9</v>
      </c>
    </row>
    <row r="87" spans="16:20" s="497" customFormat="1" ht="15">
      <c r="P87" s="447"/>
      <c r="Q87" s="450">
        <v>3.49</v>
      </c>
      <c r="R87" s="450">
        <v>1.6</v>
      </c>
      <c r="S87" s="450">
        <v>0</v>
      </c>
      <c r="T87" s="443">
        <v>5.0999999999999996</v>
      </c>
    </row>
    <row r="88" spans="16:20" s="497" customFormat="1" ht="15">
      <c r="P88" s="447"/>
      <c r="Q88" s="450">
        <v>3.49</v>
      </c>
      <c r="R88" s="450">
        <v>1.6</v>
      </c>
      <c r="S88" s="450">
        <v>300</v>
      </c>
      <c r="T88" s="443">
        <v>5.0999999999999996</v>
      </c>
    </row>
    <row r="89" spans="16:20" s="497" customFormat="1" ht="15">
      <c r="P89" s="447"/>
      <c r="Q89" s="450">
        <v>3.49</v>
      </c>
      <c r="R89" s="450">
        <v>1.6</v>
      </c>
      <c r="S89" s="450">
        <v>300.01</v>
      </c>
      <c r="T89" s="443">
        <v>4.5999999999999996</v>
      </c>
    </row>
    <row r="90" spans="16:20" s="497" customFormat="1" ht="15">
      <c r="P90" s="447"/>
      <c r="Q90" s="450">
        <v>3.49</v>
      </c>
      <c r="R90" s="450">
        <v>1.6</v>
      </c>
      <c r="S90" s="450">
        <v>600</v>
      </c>
      <c r="T90" s="443">
        <v>4.5999999999999996</v>
      </c>
    </row>
    <row r="91" spans="16:20" s="497" customFormat="1" ht="15">
      <c r="P91" s="447"/>
      <c r="Q91" s="450">
        <v>3.49</v>
      </c>
      <c r="R91" s="450">
        <v>1.6</v>
      </c>
      <c r="S91" s="450">
        <v>600.01</v>
      </c>
      <c r="T91" s="443">
        <v>3.5</v>
      </c>
    </row>
    <row r="92" spans="16:20" s="497" customFormat="1" ht="15">
      <c r="P92" s="447"/>
      <c r="Q92" s="450">
        <v>3.49</v>
      </c>
      <c r="R92" s="450">
        <v>1.6</v>
      </c>
      <c r="S92" s="450">
        <v>10000</v>
      </c>
      <c r="T92" s="443">
        <v>3.5</v>
      </c>
    </row>
    <row r="93" spans="16:20" s="497" customFormat="1" ht="15">
      <c r="P93" s="447"/>
      <c r="Q93" s="450">
        <v>3.49</v>
      </c>
      <c r="R93" s="450">
        <v>2.4</v>
      </c>
      <c r="S93" s="450">
        <v>0</v>
      </c>
      <c r="T93" s="443">
        <v>6.1</v>
      </c>
    </row>
    <row r="94" spans="16:20" s="497" customFormat="1" ht="15">
      <c r="P94" s="447"/>
      <c r="Q94" s="450">
        <v>3.49</v>
      </c>
      <c r="R94" s="450">
        <v>2.4</v>
      </c>
      <c r="S94" s="450">
        <v>300</v>
      </c>
      <c r="T94" s="443">
        <v>6.1</v>
      </c>
    </row>
    <row r="95" spans="16:20" s="497" customFormat="1" ht="15">
      <c r="P95" s="447"/>
      <c r="Q95" s="450">
        <v>3.49</v>
      </c>
      <c r="R95" s="450">
        <v>2.4</v>
      </c>
      <c r="S95" s="450">
        <v>300.01</v>
      </c>
      <c r="T95" s="443">
        <v>5.5</v>
      </c>
    </row>
    <row r="96" spans="16:20" s="497" customFormat="1" ht="15">
      <c r="P96" s="447"/>
      <c r="Q96" s="450">
        <v>3.49</v>
      </c>
      <c r="R96" s="450">
        <v>2.4</v>
      </c>
      <c r="S96" s="450">
        <v>600</v>
      </c>
      <c r="T96" s="443">
        <v>5.5</v>
      </c>
    </row>
    <row r="97" spans="16:20" s="497" customFormat="1" ht="15">
      <c r="P97" s="447"/>
      <c r="Q97" s="450">
        <v>3.49</v>
      </c>
      <c r="R97" s="450">
        <v>2.4</v>
      </c>
      <c r="S97" s="450">
        <v>600.01</v>
      </c>
      <c r="T97" s="443">
        <v>4.0999999999999996</v>
      </c>
    </row>
    <row r="98" spans="16:20" s="497" customFormat="1" ht="15">
      <c r="P98" s="447"/>
      <c r="Q98" s="450">
        <v>3.49</v>
      </c>
      <c r="R98" s="450">
        <v>2.4</v>
      </c>
      <c r="S98" s="450">
        <v>10000</v>
      </c>
      <c r="T98" s="443">
        <v>4.0999999999999996</v>
      </c>
    </row>
    <row r="99" spans="16:20" s="497" customFormat="1" ht="15">
      <c r="P99" s="447"/>
      <c r="Q99" s="450">
        <v>3.49</v>
      </c>
      <c r="R99" s="450">
        <v>3.2</v>
      </c>
      <c r="S99" s="450">
        <v>0</v>
      </c>
      <c r="T99" s="443">
        <v>7.1</v>
      </c>
    </row>
    <row r="100" spans="16:20" s="497" customFormat="1" ht="15">
      <c r="P100" s="447"/>
      <c r="Q100" s="450">
        <v>3.49</v>
      </c>
      <c r="R100" s="450">
        <v>3.2</v>
      </c>
      <c r="S100" s="450">
        <v>300</v>
      </c>
      <c r="T100" s="443">
        <v>7.1</v>
      </c>
    </row>
    <row r="101" spans="16:20" s="497" customFormat="1" ht="15">
      <c r="P101" s="447"/>
      <c r="Q101" s="450">
        <v>3.49</v>
      </c>
      <c r="R101" s="450">
        <v>3.2</v>
      </c>
      <c r="S101" s="450">
        <v>300.01</v>
      </c>
      <c r="T101" s="443">
        <v>5.9</v>
      </c>
    </row>
    <row r="102" spans="16:20" s="497" customFormat="1" ht="15">
      <c r="P102" s="447"/>
      <c r="Q102" s="450">
        <v>3.49</v>
      </c>
      <c r="R102" s="450">
        <v>3.2</v>
      </c>
      <c r="S102" s="450">
        <v>600</v>
      </c>
      <c r="T102" s="443">
        <v>5.9</v>
      </c>
    </row>
    <row r="103" spans="16:20" s="497" customFormat="1" ht="15">
      <c r="P103" s="447"/>
      <c r="Q103" s="450">
        <v>3.49</v>
      </c>
      <c r="R103" s="450">
        <v>3.2</v>
      </c>
      <c r="S103" s="450">
        <v>600.01</v>
      </c>
      <c r="T103" s="443">
        <v>4.7</v>
      </c>
    </row>
    <row r="104" spans="16:20" s="497" customFormat="1" ht="15">
      <c r="P104" s="447"/>
      <c r="Q104" s="450">
        <v>3.49</v>
      </c>
      <c r="R104" s="450">
        <v>3.2</v>
      </c>
      <c r="S104" s="450">
        <v>10000</v>
      </c>
      <c r="T104" s="443">
        <v>4.7</v>
      </c>
    </row>
    <row r="105" spans="16:20" s="497" customFormat="1" ht="15">
      <c r="P105" s="447"/>
      <c r="Q105" s="450">
        <v>3.49</v>
      </c>
      <c r="R105" s="450">
        <v>4.8</v>
      </c>
      <c r="S105" s="450">
        <v>0</v>
      </c>
      <c r="T105" s="443">
        <v>8.1999999999999993</v>
      </c>
    </row>
    <row r="106" spans="16:20" s="497" customFormat="1" ht="15">
      <c r="P106" s="447"/>
      <c r="Q106" s="450">
        <v>3.49</v>
      </c>
      <c r="R106" s="450">
        <v>4.8</v>
      </c>
      <c r="S106" s="450">
        <v>300</v>
      </c>
      <c r="T106" s="443">
        <v>8.1999999999999993</v>
      </c>
    </row>
    <row r="107" spans="16:20" s="497" customFormat="1" ht="15">
      <c r="P107" s="447"/>
      <c r="Q107" s="450">
        <v>3.49</v>
      </c>
      <c r="R107" s="450">
        <v>4.8</v>
      </c>
      <c r="S107" s="450">
        <v>300.01</v>
      </c>
      <c r="T107" s="443">
        <v>6.7</v>
      </c>
    </row>
    <row r="108" spans="16:20" s="497" customFormat="1" ht="15">
      <c r="P108" s="447"/>
      <c r="Q108" s="450">
        <v>3.49</v>
      </c>
      <c r="R108" s="450">
        <v>4.8</v>
      </c>
      <c r="S108" s="450">
        <v>600</v>
      </c>
      <c r="T108" s="443">
        <v>6.7</v>
      </c>
    </row>
    <row r="109" spans="16:20" s="497" customFormat="1" ht="15">
      <c r="P109" s="447"/>
      <c r="Q109" s="450">
        <v>3.49</v>
      </c>
      <c r="R109" s="450">
        <v>4.8</v>
      </c>
      <c r="S109" s="450">
        <v>600.01</v>
      </c>
      <c r="T109" s="443">
        <v>5.3</v>
      </c>
    </row>
    <row r="110" spans="16:20" s="497" customFormat="1" ht="15">
      <c r="P110" s="447"/>
      <c r="Q110" s="450">
        <v>3.49</v>
      </c>
      <c r="R110" s="450">
        <v>4.8</v>
      </c>
      <c r="S110" s="450">
        <v>10000</v>
      </c>
      <c r="T110" s="443">
        <v>5.3</v>
      </c>
    </row>
    <row r="111" spans="16:20" s="497" customFormat="1" ht="15">
      <c r="P111" s="447"/>
      <c r="Q111" s="450">
        <v>3.49</v>
      </c>
      <c r="R111" s="450">
        <v>6.4</v>
      </c>
      <c r="S111" s="450">
        <v>0</v>
      </c>
      <c r="T111" s="443">
        <v>9.1</v>
      </c>
    </row>
    <row r="112" spans="16:20" s="497" customFormat="1" ht="15">
      <c r="P112" s="447"/>
      <c r="Q112" s="450">
        <v>3.49</v>
      </c>
      <c r="R112" s="450">
        <v>6.4</v>
      </c>
      <c r="S112" s="450">
        <v>300</v>
      </c>
      <c r="T112" s="443">
        <v>9.1</v>
      </c>
    </row>
    <row r="113" spans="16:20" s="497" customFormat="1" ht="15">
      <c r="P113" s="447"/>
      <c r="Q113" s="450">
        <v>3.49</v>
      </c>
      <c r="R113" s="450">
        <v>6.4</v>
      </c>
      <c r="S113" s="450">
        <v>300.01</v>
      </c>
      <c r="T113" s="443">
        <v>7.5</v>
      </c>
    </row>
    <row r="114" spans="16:20" s="497" customFormat="1" ht="15">
      <c r="P114" s="447"/>
      <c r="Q114" s="450">
        <v>3.49</v>
      </c>
      <c r="R114" s="450">
        <v>6.4</v>
      </c>
      <c r="S114" s="450">
        <v>600</v>
      </c>
      <c r="T114" s="443">
        <v>7.5</v>
      </c>
    </row>
    <row r="115" spans="16:20" s="497" customFormat="1" ht="15">
      <c r="P115" s="447"/>
      <c r="Q115" s="450">
        <v>3.49</v>
      </c>
      <c r="R115" s="450">
        <v>6.4</v>
      </c>
      <c r="S115" s="450">
        <v>600.01</v>
      </c>
      <c r="T115" s="443">
        <v>5.7</v>
      </c>
    </row>
    <row r="116" spans="16:20" s="497" customFormat="1" ht="15">
      <c r="P116" s="447"/>
      <c r="Q116" s="450">
        <v>3.49</v>
      </c>
      <c r="R116" s="450">
        <v>6.4</v>
      </c>
      <c r="S116" s="450">
        <v>10000</v>
      </c>
      <c r="T116" s="443">
        <v>5.7</v>
      </c>
    </row>
    <row r="117" spans="16:20" s="497" customFormat="1" ht="15">
      <c r="P117" s="447"/>
      <c r="Q117" s="450">
        <v>3.49</v>
      </c>
      <c r="R117" s="450">
        <v>100</v>
      </c>
      <c r="S117" s="450">
        <v>0</v>
      </c>
      <c r="T117" s="443">
        <v>9.1</v>
      </c>
    </row>
    <row r="118" spans="16:20" s="497" customFormat="1" ht="15">
      <c r="P118" s="447"/>
      <c r="Q118" s="450">
        <v>3.49</v>
      </c>
      <c r="R118" s="450">
        <v>100</v>
      </c>
      <c r="S118" s="450">
        <v>300</v>
      </c>
      <c r="T118" s="443">
        <v>9.1</v>
      </c>
    </row>
    <row r="119" spans="16:20" s="497" customFormat="1" ht="15">
      <c r="P119" s="447"/>
      <c r="Q119" s="450">
        <v>3.49</v>
      </c>
      <c r="R119" s="450">
        <v>100</v>
      </c>
      <c r="S119" s="450">
        <v>300.01</v>
      </c>
      <c r="T119" s="443">
        <v>7.5</v>
      </c>
    </row>
    <row r="120" spans="16:20" s="497" customFormat="1" ht="15">
      <c r="P120" s="447"/>
      <c r="Q120" s="450">
        <v>3.49</v>
      </c>
      <c r="R120" s="450">
        <v>100</v>
      </c>
      <c r="S120" s="450">
        <v>600</v>
      </c>
      <c r="T120" s="443">
        <v>7.5</v>
      </c>
    </row>
    <row r="121" spans="16:20" s="497" customFormat="1" ht="15">
      <c r="P121" s="447"/>
      <c r="Q121" s="450">
        <v>3.49</v>
      </c>
      <c r="R121" s="450">
        <v>100</v>
      </c>
      <c r="S121" s="450">
        <v>600.01</v>
      </c>
      <c r="T121" s="443">
        <v>5.7</v>
      </c>
    </row>
    <row r="122" spans="16:20" s="497" customFormat="1" ht="15">
      <c r="P122" s="447"/>
      <c r="Q122" s="450">
        <v>3.49</v>
      </c>
      <c r="R122" s="450">
        <v>100</v>
      </c>
      <c r="S122" s="450">
        <v>10000</v>
      </c>
      <c r="T122" s="443">
        <v>5.7</v>
      </c>
    </row>
    <row r="123" spans="16:20" s="497" customFormat="1" ht="15">
      <c r="P123" s="447"/>
      <c r="Q123" s="450">
        <v>3.5</v>
      </c>
      <c r="R123" s="450">
        <v>0</v>
      </c>
      <c r="S123" s="450">
        <v>0</v>
      </c>
      <c r="T123" s="443">
        <v>3.6</v>
      </c>
    </row>
    <row r="124" spans="16:20" s="497" customFormat="1" ht="15">
      <c r="P124" s="447"/>
      <c r="Q124" s="450">
        <v>3.5</v>
      </c>
      <c r="R124" s="450">
        <v>0</v>
      </c>
      <c r="S124" s="450">
        <v>300</v>
      </c>
      <c r="T124" s="443">
        <v>3.6</v>
      </c>
    </row>
    <row r="125" spans="16:20" s="497" customFormat="1" ht="15">
      <c r="P125" s="447"/>
      <c r="Q125" s="450">
        <v>3.5</v>
      </c>
      <c r="R125" s="450">
        <v>0</v>
      </c>
      <c r="S125" s="450">
        <v>300.01</v>
      </c>
      <c r="T125" s="443">
        <v>2.4</v>
      </c>
    </row>
    <row r="126" spans="16:20" s="497" customFormat="1" ht="15">
      <c r="P126" s="447"/>
      <c r="Q126" s="450">
        <v>3.5</v>
      </c>
      <c r="R126" s="450">
        <v>0</v>
      </c>
      <c r="S126" s="450">
        <v>600</v>
      </c>
      <c r="T126" s="443">
        <v>2.4</v>
      </c>
    </row>
    <row r="127" spans="16:20" s="497" customFormat="1" ht="15">
      <c r="P127" s="447"/>
      <c r="Q127" s="450">
        <v>3.5</v>
      </c>
      <c r="R127" s="450">
        <v>0</v>
      </c>
      <c r="S127" s="450">
        <v>600.01</v>
      </c>
      <c r="T127" s="443">
        <v>1.9</v>
      </c>
    </row>
    <row r="128" spans="16:20" s="497" customFormat="1" ht="15">
      <c r="P128" s="447"/>
      <c r="Q128" s="450">
        <v>3.5</v>
      </c>
      <c r="R128" s="450">
        <v>0</v>
      </c>
      <c r="S128" s="450">
        <v>10000</v>
      </c>
      <c r="T128" s="443">
        <v>1.9</v>
      </c>
    </row>
    <row r="129" spans="16:20" s="497" customFormat="1" ht="15">
      <c r="P129" s="447"/>
      <c r="Q129" s="450">
        <v>3.5</v>
      </c>
      <c r="R129" s="450">
        <v>0.4</v>
      </c>
      <c r="S129" s="450">
        <v>0</v>
      </c>
      <c r="T129" s="443">
        <v>3.6</v>
      </c>
    </row>
    <row r="130" spans="16:20" s="497" customFormat="1" ht="15">
      <c r="P130" s="447"/>
      <c r="Q130" s="450">
        <v>3.5</v>
      </c>
      <c r="R130" s="450">
        <v>0.4</v>
      </c>
      <c r="S130" s="450">
        <v>300</v>
      </c>
      <c r="T130" s="443">
        <v>3.6</v>
      </c>
    </row>
    <row r="131" spans="16:20" s="497" customFormat="1" ht="15">
      <c r="P131" s="447"/>
      <c r="Q131" s="450">
        <v>3.5</v>
      </c>
      <c r="R131" s="450">
        <v>0.4</v>
      </c>
      <c r="S131" s="450">
        <v>300.01</v>
      </c>
      <c r="T131" s="443">
        <v>2.4</v>
      </c>
    </row>
    <row r="132" spans="16:20" s="497" customFormat="1" ht="15">
      <c r="P132" s="447"/>
      <c r="Q132" s="450">
        <v>3.5</v>
      </c>
      <c r="R132" s="450">
        <v>0.4</v>
      </c>
      <c r="S132" s="450">
        <v>600</v>
      </c>
      <c r="T132" s="443">
        <v>2.4</v>
      </c>
    </row>
    <row r="133" spans="16:20" s="497" customFormat="1" ht="15">
      <c r="P133" s="447"/>
      <c r="Q133" s="450">
        <v>3.5</v>
      </c>
      <c r="R133" s="450">
        <v>0.4</v>
      </c>
      <c r="S133" s="450">
        <v>600.01</v>
      </c>
      <c r="T133" s="443">
        <v>1.9</v>
      </c>
    </row>
    <row r="134" spans="16:20" s="497" customFormat="1" ht="15">
      <c r="P134" s="447"/>
      <c r="Q134" s="450">
        <v>3.5</v>
      </c>
      <c r="R134" s="450">
        <v>0.4</v>
      </c>
      <c r="S134" s="450">
        <v>10000</v>
      </c>
      <c r="T134" s="443">
        <v>1.9</v>
      </c>
    </row>
    <row r="135" spans="16:20" s="497" customFormat="1" ht="15">
      <c r="P135" s="447"/>
      <c r="Q135" s="450">
        <v>3.5</v>
      </c>
      <c r="R135" s="450">
        <v>0.8</v>
      </c>
      <c r="S135" s="450">
        <v>0</v>
      </c>
      <c r="T135" s="443">
        <v>5.4</v>
      </c>
    </row>
    <row r="136" spans="16:20" s="497" customFormat="1" ht="15">
      <c r="P136" s="447"/>
      <c r="Q136" s="450">
        <v>3.5</v>
      </c>
      <c r="R136" s="450">
        <v>0.8</v>
      </c>
      <c r="S136" s="450">
        <v>300</v>
      </c>
      <c r="T136" s="443">
        <v>5.4</v>
      </c>
    </row>
    <row r="137" spans="16:20" s="497" customFormat="1" ht="15">
      <c r="P137" s="447"/>
      <c r="Q137" s="450">
        <v>3.5</v>
      </c>
      <c r="R137" s="450">
        <v>0.8</v>
      </c>
      <c r="S137" s="450">
        <v>300.01</v>
      </c>
      <c r="T137" s="443">
        <v>4.5999999999999996</v>
      </c>
    </row>
    <row r="138" spans="16:20" s="497" customFormat="1" ht="15">
      <c r="P138" s="447"/>
      <c r="Q138" s="450">
        <v>3.5</v>
      </c>
      <c r="R138" s="450">
        <v>0.8</v>
      </c>
      <c r="S138" s="450">
        <v>600</v>
      </c>
      <c r="T138" s="443">
        <v>4.5999999999999996</v>
      </c>
    </row>
    <row r="139" spans="16:20" s="497" customFormat="1" ht="15">
      <c r="P139" s="447"/>
      <c r="Q139" s="450">
        <v>3.5</v>
      </c>
      <c r="R139" s="450">
        <v>0.8</v>
      </c>
      <c r="S139" s="450">
        <v>600.01</v>
      </c>
      <c r="T139" s="443">
        <v>3.4</v>
      </c>
    </row>
    <row r="140" spans="16:20" s="497" customFormat="1" ht="15">
      <c r="P140" s="447"/>
      <c r="Q140" s="450">
        <v>3.5</v>
      </c>
      <c r="R140" s="450">
        <v>0.8</v>
      </c>
      <c r="S140" s="450">
        <v>10000</v>
      </c>
      <c r="T140" s="443">
        <v>3.4</v>
      </c>
    </row>
    <row r="141" spans="16:20" s="497" customFormat="1" ht="15">
      <c r="P141" s="447"/>
      <c r="Q141" s="450">
        <v>3.5</v>
      </c>
      <c r="R141" s="450">
        <v>1.2</v>
      </c>
      <c r="S141" s="450">
        <v>0</v>
      </c>
      <c r="T141" s="443">
        <v>6.4</v>
      </c>
    </row>
    <row r="142" spans="16:20" s="497" customFormat="1" ht="15">
      <c r="P142" s="447"/>
      <c r="Q142" s="450">
        <v>3.5</v>
      </c>
      <c r="R142" s="450">
        <v>1.2</v>
      </c>
      <c r="S142" s="450">
        <v>300</v>
      </c>
      <c r="T142" s="443">
        <v>6.4</v>
      </c>
    </row>
    <row r="143" spans="16:20" s="497" customFormat="1" ht="15">
      <c r="P143" s="447"/>
      <c r="Q143" s="450">
        <v>3.5</v>
      </c>
      <c r="R143" s="450">
        <v>1.2</v>
      </c>
      <c r="S143" s="450">
        <v>300.01</v>
      </c>
      <c r="T143" s="443">
        <v>6.6</v>
      </c>
    </row>
    <row r="144" spans="16:20" s="497" customFormat="1" ht="15">
      <c r="P144" s="447"/>
      <c r="Q144" s="450">
        <v>3.5</v>
      </c>
      <c r="R144" s="450">
        <v>1.2</v>
      </c>
      <c r="S144" s="450">
        <v>600</v>
      </c>
      <c r="T144" s="443">
        <v>6.6</v>
      </c>
    </row>
    <row r="145" spans="16:20" s="497" customFormat="1" ht="15">
      <c r="P145" s="447"/>
      <c r="Q145" s="450">
        <v>3.5</v>
      </c>
      <c r="R145" s="450">
        <v>1.2</v>
      </c>
      <c r="S145" s="450">
        <v>600.01</v>
      </c>
      <c r="T145" s="443">
        <v>4.5999999999999996</v>
      </c>
    </row>
    <row r="146" spans="16:20" s="497" customFormat="1" ht="15">
      <c r="P146" s="447"/>
      <c r="Q146" s="450">
        <v>3.5</v>
      </c>
      <c r="R146" s="450">
        <v>1.2</v>
      </c>
      <c r="S146" s="450">
        <v>10000</v>
      </c>
      <c r="T146" s="443">
        <v>4.5999999999999996</v>
      </c>
    </row>
    <row r="147" spans="16:20" s="497" customFormat="1" ht="15">
      <c r="P147" s="447"/>
      <c r="Q147" s="450">
        <v>3.5</v>
      </c>
      <c r="R147" s="450">
        <v>1.6</v>
      </c>
      <c r="S147" s="450">
        <v>0</v>
      </c>
      <c r="T147" s="443">
        <v>7.7</v>
      </c>
    </row>
    <row r="148" spans="16:20" s="497" customFormat="1" ht="15">
      <c r="P148" s="447"/>
      <c r="Q148" s="450">
        <v>3.5</v>
      </c>
      <c r="R148" s="450">
        <v>1.6</v>
      </c>
      <c r="S148" s="450">
        <v>300</v>
      </c>
      <c r="T148" s="443">
        <v>7.7</v>
      </c>
    </row>
    <row r="149" spans="16:20" s="497" customFormat="1" ht="15">
      <c r="P149" s="447"/>
      <c r="Q149" s="450">
        <v>3.5</v>
      </c>
      <c r="R149" s="450">
        <v>1.6</v>
      </c>
      <c r="S149" s="450">
        <v>300.01</v>
      </c>
      <c r="T149" s="443">
        <v>6.9</v>
      </c>
    </row>
    <row r="150" spans="16:20" s="497" customFormat="1" ht="15">
      <c r="P150" s="447"/>
      <c r="Q150" s="450">
        <v>3.5</v>
      </c>
      <c r="R150" s="450">
        <v>1.6</v>
      </c>
      <c r="S150" s="450">
        <v>600</v>
      </c>
      <c r="T150" s="443">
        <v>6.9</v>
      </c>
    </row>
    <row r="151" spans="16:20" s="497" customFormat="1" ht="15">
      <c r="P151" s="447"/>
      <c r="Q151" s="450">
        <v>3.5</v>
      </c>
      <c r="R151" s="450">
        <v>1.6</v>
      </c>
      <c r="S151" s="450">
        <v>600.01</v>
      </c>
      <c r="T151" s="443">
        <v>5.9</v>
      </c>
    </row>
    <row r="152" spans="16:20" s="497" customFormat="1" ht="15">
      <c r="P152" s="447"/>
      <c r="Q152" s="450">
        <v>3.5</v>
      </c>
      <c r="R152" s="450">
        <v>1.6</v>
      </c>
      <c r="S152" s="450">
        <v>10000</v>
      </c>
      <c r="T152" s="443">
        <v>5.9</v>
      </c>
    </row>
    <row r="153" spans="16:20" s="497" customFormat="1" ht="15">
      <c r="P153" s="447"/>
      <c r="Q153" s="450">
        <v>3.5</v>
      </c>
      <c r="R153" s="450">
        <v>2.4</v>
      </c>
      <c r="S153" s="450">
        <v>0</v>
      </c>
      <c r="T153" s="443">
        <v>9.4</v>
      </c>
    </row>
    <row r="154" spans="16:20" s="497" customFormat="1" ht="15">
      <c r="P154" s="447"/>
      <c r="Q154" s="450">
        <v>3.5</v>
      </c>
      <c r="R154" s="450">
        <v>2.4</v>
      </c>
      <c r="S154" s="450">
        <v>300</v>
      </c>
      <c r="T154" s="443">
        <v>9.4</v>
      </c>
    </row>
    <row r="155" spans="16:20" s="497" customFormat="1" ht="15">
      <c r="P155" s="447"/>
      <c r="Q155" s="450">
        <v>3.5</v>
      </c>
      <c r="R155" s="450">
        <v>2.4</v>
      </c>
      <c r="S155" s="450">
        <v>300.01</v>
      </c>
      <c r="T155" s="443">
        <v>8.3000000000000007</v>
      </c>
    </row>
    <row r="156" spans="16:20" s="497" customFormat="1" ht="15">
      <c r="P156" s="447"/>
      <c r="Q156" s="450">
        <v>3.5</v>
      </c>
      <c r="R156" s="450">
        <v>2.4</v>
      </c>
      <c r="S156" s="450">
        <v>600</v>
      </c>
      <c r="T156" s="443">
        <v>8.3000000000000007</v>
      </c>
    </row>
    <row r="157" spans="16:20" s="497" customFormat="1" ht="15">
      <c r="P157" s="447"/>
      <c r="Q157" s="450">
        <v>3.5</v>
      </c>
      <c r="R157" s="450">
        <v>2.4</v>
      </c>
      <c r="S157" s="450">
        <v>600.01</v>
      </c>
      <c r="T157" s="443">
        <v>7.1</v>
      </c>
    </row>
    <row r="158" spans="16:20" s="497" customFormat="1" ht="15">
      <c r="P158" s="447"/>
      <c r="Q158" s="450">
        <v>3.5</v>
      </c>
      <c r="R158" s="450">
        <v>2.4</v>
      </c>
      <c r="S158" s="450">
        <v>10000</v>
      </c>
      <c r="T158" s="443">
        <v>7.1</v>
      </c>
    </row>
    <row r="159" spans="16:20" s="497" customFormat="1" ht="15">
      <c r="P159" s="447"/>
      <c r="Q159" s="450">
        <v>3.5</v>
      </c>
      <c r="R159" s="450">
        <v>3.2</v>
      </c>
      <c r="S159" s="450">
        <v>0</v>
      </c>
      <c r="T159" s="443">
        <v>10.199999999999999</v>
      </c>
    </row>
    <row r="160" spans="16:20" s="497" customFormat="1" ht="15">
      <c r="P160" s="447"/>
      <c r="Q160" s="450">
        <v>3.5</v>
      </c>
      <c r="R160" s="450">
        <v>3.2</v>
      </c>
      <c r="S160" s="450">
        <v>300</v>
      </c>
      <c r="T160" s="443">
        <v>10.199999999999999</v>
      </c>
    </row>
    <row r="161" spans="16:20" s="497" customFormat="1" ht="15">
      <c r="P161" s="447"/>
      <c r="Q161" s="450">
        <v>3.5</v>
      </c>
      <c r="R161" s="450">
        <v>3.2</v>
      </c>
      <c r="S161" s="450">
        <v>300.01</v>
      </c>
      <c r="T161" s="443">
        <v>9.6</v>
      </c>
    </row>
    <row r="162" spans="16:20" s="497" customFormat="1" ht="15">
      <c r="P162" s="447"/>
      <c r="Q162" s="450">
        <v>3.5</v>
      </c>
      <c r="R162" s="450">
        <v>3.2</v>
      </c>
      <c r="S162" s="450">
        <v>600</v>
      </c>
      <c r="T162" s="443">
        <v>9.6</v>
      </c>
    </row>
    <row r="163" spans="16:20" s="497" customFormat="1" ht="15">
      <c r="P163" s="447"/>
      <c r="Q163" s="450">
        <v>3.5</v>
      </c>
      <c r="R163" s="450">
        <v>3.2</v>
      </c>
      <c r="S163" s="450">
        <v>600.01</v>
      </c>
      <c r="T163" s="443">
        <v>8.1</v>
      </c>
    </row>
    <row r="164" spans="16:20" s="497" customFormat="1" ht="15">
      <c r="P164" s="447"/>
      <c r="Q164" s="450">
        <v>3.5</v>
      </c>
      <c r="R164" s="450">
        <v>3.2</v>
      </c>
      <c r="S164" s="450">
        <v>10000</v>
      </c>
      <c r="T164" s="443">
        <v>8.1</v>
      </c>
    </row>
    <row r="165" spans="16:20" s="497" customFormat="1" ht="15">
      <c r="P165" s="447"/>
      <c r="Q165" s="450">
        <v>3.5</v>
      </c>
      <c r="R165" s="450">
        <v>4.8</v>
      </c>
      <c r="S165" s="450">
        <v>0</v>
      </c>
      <c r="T165" s="443">
        <v>11.3</v>
      </c>
    </row>
    <row r="166" spans="16:20" s="497" customFormat="1" ht="15">
      <c r="P166" s="447"/>
      <c r="Q166" s="450">
        <v>3.5</v>
      </c>
      <c r="R166" s="450">
        <v>4.8</v>
      </c>
      <c r="S166" s="450">
        <v>300</v>
      </c>
      <c r="T166" s="443">
        <v>11.3</v>
      </c>
    </row>
    <row r="167" spans="16:20" s="497" customFormat="1" ht="15">
      <c r="P167" s="447"/>
      <c r="Q167" s="450">
        <v>3.5</v>
      </c>
      <c r="R167" s="450">
        <v>4.8</v>
      </c>
      <c r="S167" s="450">
        <v>300.01</v>
      </c>
      <c r="T167" s="443">
        <v>11</v>
      </c>
    </row>
    <row r="168" spans="16:20" s="497" customFormat="1" ht="15">
      <c r="P168" s="447"/>
      <c r="Q168" s="450">
        <v>3.5</v>
      </c>
      <c r="R168" s="450">
        <v>4.8</v>
      </c>
      <c r="S168" s="450">
        <v>600</v>
      </c>
      <c r="T168" s="443">
        <v>11</v>
      </c>
    </row>
    <row r="169" spans="16:20" s="497" customFormat="1" ht="15">
      <c r="P169" s="447"/>
      <c r="Q169" s="450">
        <v>3.5</v>
      </c>
      <c r="R169" s="450">
        <v>4.8</v>
      </c>
      <c r="S169" s="450">
        <v>600.01</v>
      </c>
      <c r="T169" s="443">
        <v>8.9</v>
      </c>
    </row>
    <row r="170" spans="16:20" s="497" customFormat="1" ht="15">
      <c r="P170" s="447"/>
      <c r="Q170" s="450">
        <v>3.5</v>
      </c>
      <c r="R170" s="450">
        <v>4.8</v>
      </c>
      <c r="S170" s="450">
        <v>10000</v>
      </c>
      <c r="T170" s="443">
        <v>8.9</v>
      </c>
    </row>
    <row r="171" spans="16:20" s="497" customFormat="1" ht="15">
      <c r="P171" s="447"/>
      <c r="Q171" s="450">
        <v>3.5</v>
      </c>
      <c r="R171" s="450">
        <v>6.4</v>
      </c>
      <c r="S171" s="450">
        <v>0</v>
      </c>
      <c r="T171" s="443">
        <v>12.3</v>
      </c>
    </row>
    <row r="172" spans="16:20" s="497" customFormat="1" ht="15">
      <c r="P172" s="447"/>
      <c r="Q172" s="450">
        <v>3.5</v>
      </c>
      <c r="R172" s="450">
        <v>6.4</v>
      </c>
      <c r="S172" s="450">
        <v>300</v>
      </c>
      <c r="T172" s="443">
        <v>12.3</v>
      </c>
    </row>
    <row r="173" spans="16:20" s="497" customFormat="1" ht="15">
      <c r="P173" s="447"/>
      <c r="Q173" s="450">
        <v>3.5</v>
      </c>
      <c r="R173" s="450">
        <v>6.4</v>
      </c>
      <c r="S173" s="450">
        <v>300.01</v>
      </c>
      <c r="T173" s="443">
        <v>11.9</v>
      </c>
    </row>
    <row r="174" spans="16:20" s="497" customFormat="1" ht="15">
      <c r="P174" s="447"/>
      <c r="Q174" s="450">
        <v>3.5</v>
      </c>
      <c r="R174" s="450">
        <v>6.4</v>
      </c>
      <c r="S174" s="450">
        <v>600</v>
      </c>
      <c r="T174" s="443">
        <v>11.9</v>
      </c>
    </row>
    <row r="175" spans="16:20" s="497" customFormat="1" ht="15">
      <c r="P175" s="447"/>
      <c r="Q175" s="450">
        <v>3.5</v>
      </c>
      <c r="R175" s="450">
        <v>6.4</v>
      </c>
      <c r="S175" s="450">
        <v>600.01</v>
      </c>
      <c r="T175" s="443">
        <v>9.6999999999999993</v>
      </c>
    </row>
    <row r="176" spans="16:20" s="497" customFormat="1" ht="15">
      <c r="P176" s="447"/>
      <c r="Q176" s="450">
        <v>3.5</v>
      </c>
      <c r="R176" s="450">
        <v>6.4</v>
      </c>
      <c r="S176" s="450">
        <v>10000</v>
      </c>
      <c r="T176" s="443">
        <v>9.6999999999999993</v>
      </c>
    </row>
    <row r="177" spans="16:20" s="497" customFormat="1" ht="15">
      <c r="P177" s="447"/>
      <c r="Q177" s="450">
        <v>3.5</v>
      </c>
      <c r="R177" s="450">
        <v>100</v>
      </c>
      <c r="S177" s="450">
        <v>0</v>
      </c>
      <c r="T177" s="443">
        <v>12.3</v>
      </c>
    </row>
    <row r="178" spans="16:20" s="497" customFormat="1" ht="15">
      <c r="P178" s="447"/>
      <c r="Q178" s="450">
        <v>3.5</v>
      </c>
      <c r="R178" s="450">
        <v>100</v>
      </c>
      <c r="S178" s="450">
        <v>300</v>
      </c>
      <c r="T178" s="443">
        <v>12.3</v>
      </c>
    </row>
    <row r="179" spans="16:20" s="497" customFormat="1" ht="15">
      <c r="P179" s="447"/>
      <c r="Q179" s="450">
        <v>3.5</v>
      </c>
      <c r="R179" s="450">
        <v>100</v>
      </c>
      <c r="S179" s="450">
        <v>300.01</v>
      </c>
      <c r="T179" s="443">
        <v>11.9</v>
      </c>
    </row>
    <row r="180" spans="16:20" s="497" customFormat="1" ht="15">
      <c r="P180" s="447"/>
      <c r="Q180" s="450">
        <v>3.5</v>
      </c>
      <c r="R180" s="450">
        <v>100</v>
      </c>
      <c r="S180" s="450">
        <v>600</v>
      </c>
      <c r="T180" s="443">
        <v>11.9</v>
      </c>
    </row>
    <row r="181" spans="16:20" s="497" customFormat="1" ht="15">
      <c r="P181" s="447"/>
      <c r="Q181" s="450">
        <v>3.5</v>
      </c>
      <c r="R181" s="450">
        <v>100</v>
      </c>
      <c r="S181" s="450">
        <v>600.01</v>
      </c>
      <c r="T181" s="443">
        <v>9.6999999999999993</v>
      </c>
    </row>
    <row r="182" spans="16:20" s="497" customFormat="1" ht="15">
      <c r="P182" s="447"/>
      <c r="Q182" s="450">
        <v>3.5</v>
      </c>
      <c r="R182" s="450">
        <v>100</v>
      </c>
      <c r="S182" s="450">
        <v>10000</v>
      </c>
      <c r="T182" s="443">
        <v>9.6999999999999993</v>
      </c>
    </row>
    <row r="183" spans="16:20" s="497" customFormat="1" ht="15">
      <c r="P183" s="447"/>
      <c r="Q183" s="450">
        <v>4.49</v>
      </c>
      <c r="R183" s="450">
        <v>0</v>
      </c>
      <c r="S183" s="450">
        <v>0</v>
      </c>
      <c r="T183" s="443">
        <v>3.6</v>
      </c>
    </row>
    <row r="184" spans="16:20" s="497" customFormat="1" ht="15">
      <c r="P184" s="447"/>
      <c r="Q184" s="450">
        <v>4.49</v>
      </c>
      <c r="R184" s="450">
        <v>0</v>
      </c>
      <c r="S184" s="450">
        <v>300</v>
      </c>
      <c r="T184" s="443">
        <v>3.6</v>
      </c>
    </row>
    <row r="185" spans="16:20" s="497" customFormat="1" ht="15">
      <c r="P185" s="447"/>
      <c r="Q185" s="450">
        <v>4.49</v>
      </c>
      <c r="R185" s="450">
        <v>0</v>
      </c>
      <c r="S185" s="450">
        <v>300.01</v>
      </c>
      <c r="T185" s="443">
        <v>2.4</v>
      </c>
    </row>
    <row r="186" spans="16:20" s="497" customFormat="1" ht="15">
      <c r="P186" s="447"/>
      <c r="Q186" s="450">
        <v>4.49</v>
      </c>
      <c r="R186" s="450">
        <v>0</v>
      </c>
      <c r="S186" s="450">
        <v>600</v>
      </c>
      <c r="T186" s="443">
        <v>2.4</v>
      </c>
    </row>
    <row r="187" spans="16:20" s="497" customFormat="1" ht="15">
      <c r="P187" s="447"/>
      <c r="Q187" s="450">
        <v>4.49</v>
      </c>
      <c r="R187" s="450">
        <v>0</v>
      </c>
      <c r="S187" s="450">
        <v>600.01</v>
      </c>
      <c r="T187" s="443">
        <v>1.9</v>
      </c>
    </row>
    <row r="188" spans="16:20" s="497" customFormat="1" ht="15">
      <c r="P188" s="447"/>
      <c r="Q188" s="450">
        <v>4.49</v>
      </c>
      <c r="R188" s="450">
        <v>0</v>
      </c>
      <c r="S188" s="450">
        <v>10000</v>
      </c>
      <c r="T188" s="443">
        <v>1.9</v>
      </c>
    </row>
    <row r="189" spans="16:20" s="497" customFormat="1" ht="15">
      <c r="P189" s="447"/>
      <c r="Q189" s="450">
        <v>4.49</v>
      </c>
      <c r="R189" s="450">
        <v>0.4</v>
      </c>
      <c r="S189" s="450">
        <v>0</v>
      </c>
      <c r="T189" s="443">
        <v>3.6</v>
      </c>
    </row>
    <row r="190" spans="16:20" s="497" customFormat="1" ht="15">
      <c r="P190" s="447"/>
      <c r="Q190" s="450">
        <v>4.49</v>
      </c>
      <c r="R190" s="450">
        <v>0.4</v>
      </c>
      <c r="S190" s="450">
        <v>300</v>
      </c>
      <c r="T190" s="443">
        <v>3.6</v>
      </c>
    </row>
    <row r="191" spans="16:20" s="497" customFormat="1" ht="15">
      <c r="P191" s="447"/>
      <c r="Q191" s="450">
        <v>4.49</v>
      </c>
      <c r="R191" s="450">
        <v>0.4</v>
      </c>
      <c r="S191" s="450">
        <v>300.01</v>
      </c>
      <c r="T191" s="443">
        <v>2.4</v>
      </c>
    </row>
    <row r="192" spans="16:20" s="497" customFormat="1" ht="15">
      <c r="P192" s="447"/>
      <c r="Q192" s="450">
        <v>4.49</v>
      </c>
      <c r="R192" s="450">
        <v>0.4</v>
      </c>
      <c r="S192" s="450">
        <v>600</v>
      </c>
      <c r="T192" s="443">
        <v>2.4</v>
      </c>
    </row>
    <row r="193" spans="16:20" s="497" customFormat="1" ht="15">
      <c r="P193" s="447"/>
      <c r="Q193" s="450">
        <v>4.49</v>
      </c>
      <c r="R193" s="450">
        <v>0.4</v>
      </c>
      <c r="S193" s="450">
        <v>600.01</v>
      </c>
      <c r="T193" s="443">
        <v>1.9</v>
      </c>
    </row>
    <row r="194" spans="16:20" s="497" customFormat="1" ht="15">
      <c r="P194" s="447"/>
      <c r="Q194" s="450">
        <v>4.49</v>
      </c>
      <c r="R194" s="450">
        <v>0.4</v>
      </c>
      <c r="S194" s="450">
        <v>10000</v>
      </c>
      <c r="T194" s="443">
        <v>1.9</v>
      </c>
    </row>
    <row r="195" spans="16:20" s="497" customFormat="1" ht="15">
      <c r="P195" s="447"/>
      <c r="Q195" s="450">
        <v>4.49</v>
      </c>
      <c r="R195" s="450">
        <v>0.8</v>
      </c>
      <c r="S195" s="450">
        <v>0</v>
      </c>
      <c r="T195" s="443">
        <v>5.4</v>
      </c>
    </row>
    <row r="196" spans="16:20" s="497" customFormat="1" ht="15">
      <c r="P196" s="447"/>
      <c r="Q196" s="450">
        <v>4.49</v>
      </c>
      <c r="R196" s="450">
        <v>0.8</v>
      </c>
      <c r="S196" s="450">
        <v>300</v>
      </c>
      <c r="T196" s="443">
        <v>5.4</v>
      </c>
    </row>
    <row r="197" spans="16:20" s="497" customFormat="1" ht="15">
      <c r="P197" s="447"/>
      <c r="Q197" s="450">
        <v>4.49</v>
      </c>
      <c r="R197" s="450">
        <v>0.8</v>
      </c>
      <c r="S197" s="450">
        <v>300.01</v>
      </c>
      <c r="T197" s="443">
        <v>4.5999999999999996</v>
      </c>
    </row>
    <row r="198" spans="16:20" s="497" customFormat="1" ht="15">
      <c r="P198" s="447"/>
      <c r="Q198" s="450">
        <v>4.49</v>
      </c>
      <c r="R198" s="450">
        <v>0.8</v>
      </c>
      <c r="S198" s="450">
        <v>600</v>
      </c>
      <c r="T198" s="443">
        <v>4.5999999999999996</v>
      </c>
    </row>
    <row r="199" spans="16:20" s="497" customFormat="1" ht="15">
      <c r="P199" s="447"/>
      <c r="Q199" s="450">
        <v>4.49</v>
      </c>
      <c r="R199" s="450">
        <v>0.8</v>
      </c>
      <c r="S199" s="450">
        <v>600.01</v>
      </c>
      <c r="T199" s="443">
        <v>3.4</v>
      </c>
    </row>
    <row r="200" spans="16:20" s="497" customFormat="1" ht="15">
      <c r="P200" s="447"/>
      <c r="Q200" s="450">
        <v>4.49</v>
      </c>
      <c r="R200" s="450">
        <v>0.8</v>
      </c>
      <c r="S200" s="450">
        <v>10000</v>
      </c>
      <c r="T200" s="443">
        <v>3.4</v>
      </c>
    </row>
    <row r="201" spans="16:20" s="497" customFormat="1" ht="15">
      <c r="P201" s="447"/>
      <c r="Q201" s="450">
        <v>4.49</v>
      </c>
      <c r="R201" s="450">
        <v>1.2</v>
      </c>
      <c r="S201" s="450">
        <v>0</v>
      </c>
      <c r="T201" s="443">
        <v>6.4</v>
      </c>
    </row>
    <row r="202" spans="16:20" s="497" customFormat="1" ht="15">
      <c r="P202" s="447"/>
      <c r="Q202" s="450">
        <v>4.49</v>
      </c>
      <c r="R202" s="450">
        <v>1.2</v>
      </c>
      <c r="S202" s="450">
        <v>300</v>
      </c>
      <c r="T202" s="443">
        <v>6.4</v>
      </c>
    </row>
    <row r="203" spans="16:20" s="497" customFormat="1" ht="15">
      <c r="P203" s="447"/>
      <c r="Q203" s="450">
        <v>4.49</v>
      </c>
      <c r="R203" s="450">
        <v>1.2</v>
      </c>
      <c r="S203" s="450">
        <v>300.01</v>
      </c>
      <c r="T203" s="443">
        <v>6.6</v>
      </c>
    </row>
    <row r="204" spans="16:20" s="497" customFormat="1" ht="15">
      <c r="P204" s="447"/>
      <c r="Q204" s="450">
        <v>4.49</v>
      </c>
      <c r="R204" s="450">
        <v>1.2</v>
      </c>
      <c r="S204" s="450">
        <v>600</v>
      </c>
      <c r="T204" s="443">
        <v>6.6</v>
      </c>
    </row>
    <row r="205" spans="16:20" s="497" customFormat="1" ht="15">
      <c r="P205" s="447"/>
      <c r="Q205" s="450">
        <v>4.49</v>
      </c>
      <c r="R205" s="450">
        <v>1.2</v>
      </c>
      <c r="S205" s="450">
        <v>600.01</v>
      </c>
      <c r="T205" s="443">
        <v>4.5999999999999996</v>
      </c>
    </row>
    <row r="206" spans="16:20" s="497" customFormat="1" ht="15">
      <c r="P206" s="447"/>
      <c r="Q206" s="450">
        <v>4.49</v>
      </c>
      <c r="R206" s="450">
        <v>1.2</v>
      </c>
      <c r="S206" s="450">
        <v>10000</v>
      </c>
      <c r="T206" s="443">
        <v>4.5999999999999996</v>
      </c>
    </row>
    <row r="207" spans="16:20" s="497" customFormat="1" ht="15">
      <c r="P207" s="447"/>
      <c r="Q207" s="450">
        <v>4.49</v>
      </c>
      <c r="R207" s="450">
        <v>1.6</v>
      </c>
      <c r="S207" s="450">
        <v>0</v>
      </c>
      <c r="T207" s="443">
        <v>7.7</v>
      </c>
    </row>
    <row r="208" spans="16:20" s="497" customFormat="1" ht="15">
      <c r="P208" s="447"/>
      <c r="Q208" s="450">
        <v>4.49</v>
      </c>
      <c r="R208" s="450">
        <v>1.6</v>
      </c>
      <c r="S208" s="450">
        <v>300</v>
      </c>
      <c r="T208" s="443">
        <v>7.7</v>
      </c>
    </row>
    <row r="209" spans="16:20" s="497" customFormat="1" ht="15">
      <c r="P209" s="447"/>
      <c r="Q209" s="450">
        <v>4.49</v>
      </c>
      <c r="R209" s="450">
        <v>1.6</v>
      </c>
      <c r="S209" s="450">
        <v>300.01</v>
      </c>
      <c r="T209" s="443">
        <v>6.9</v>
      </c>
    </row>
    <row r="210" spans="16:20" s="497" customFormat="1" ht="15">
      <c r="P210" s="447"/>
      <c r="Q210" s="450">
        <v>4.49</v>
      </c>
      <c r="R210" s="450">
        <v>1.6</v>
      </c>
      <c r="S210" s="450">
        <v>600</v>
      </c>
      <c r="T210" s="443">
        <v>6.9</v>
      </c>
    </row>
    <row r="211" spans="16:20" s="497" customFormat="1" ht="15">
      <c r="P211" s="447"/>
      <c r="Q211" s="450">
        <v>4.49</v>
      </c>
      <c r="R211" s="450">
        <v>1.6</v>
      </c>
      <c r="S211" s="450">
        <v>600.01</v>
      </c>
      <c r="T211" s="443">
        <v>5.9</v>
      </c>
    </row>
    <row r="212" spans="16:20" s="497" customFormat="1" ht="15">
      <c r="P212" s="447"/>
      <c r="Q212" s="450">
        <v>4.49</v>
      </c>
      <c r="R212" s="450">
        <v>1.6</v>
      </c>
      <c r="S212" s="450">
        <v>10000</v>
      </c>
      <c r="T212" s="443">
        <v>5.9</v>
      </c>
    </row>
    <row r="213" spans="16:20" s="497" customFormat="1" ht="15">
      <c r="P213" s="447"/>
      <c r="Q213" s="450">
        <v>4.49</v>
      </c>
      <c r="R213" s="450">
        <v>2.4</v>
      </c>
      <c r="S213" s="450">
        <v>0</v>
      </c>
      <c r="T213" s="443">
        <v>9.4</v>
      </c>
    </row>
    <row r="214" spans="16:20" s="497" customFormat="1" ht="15">
      <c r="P214" s="447"/>
      <c r="Q214" s="450">
        <v>4.49</v>
      </c>
      <c r="R214" s="450">
        <v>2.4</v>
      </c>
      <c r="S214" s="450">
        <v>300</v>
      </c>
      <c r="T214" s="443">
        <v>9.4</v>
      </c>
    </row>
    <row r="215" spans="16:20" s="497" customFormat="1" ht="15">
      <c r="P215" s="447"/>
      <c r="Q215" s="450">
        <v>4.49</v>
      </c>
      <c r="R215" s="450">
        <v>2.4</v>
      </c>
      <c r="S215" s="450">
        <v>300.01</v>
      </c>
      <c r="T215" s="443">
        <v>8.3000000000000007</v>
      </c>
    </row>
    <row r="216" spans="16:20" s="497" customFormat="1" ht="15">
      <c r="P216" s="447"/>
      <c r="Q216" s="450">
        <v>4.49</v>
      </c>
      <c r="R216" s="450">
        <v>2.4</v>
      </c>
      <c r="S216" s="450">
        <v>600</v>
      </c>
      <c r="T216" s="443">
        <v>8.3000000000000007</v>
      </c>
    </row>
    <row r="217" spans="16:20" s="497" customFormat="1" ht="15">
      <c r="P217" s="447"/>
      <c r="Q217" s="450">
        <v>4.49</v>
      </c>
      <c r="R217" s="450">
        <v>2.4</v>
      </c>
      <c r="S217" s="450">
        <v>600.01</v>
      </c>
      <c r="T217" s="443">
        <v>7.1</v>
      </c>
    </row>
    <row r="218" spans="16:20" s="497" customFormat="1" ht="15">
      <c r="P218" s="447"/>
      <c r="Q218" s="450">
        <v>4.49</v>
      </c>
      <c r="R218" s="450">
        <v>2.4</v>
      </c>
      <c r="S218" s="450">
        <v>10000</v>
      </c>
      <c r="T218" s="443">
        <v>7.1</v>
      </c>
    </row>
    <row r="219" spans="16:20" s="497" customFormat="1" ht="15">
      <c r="P219" s="447"/>
      <c r="Q219" s="450">
        <v>4.49</v>
      </c>
      <c r="R219" s="450">
        <v>3.2</v>
      </c>
      <c r="S219" s="450">
        <v>0</v>
      </c>
      <c r="T219" s="443">
        <v>10.199999999999999</v>
      </c>
    </row>
    <row r="220" spans="16:20" s="497" customFormat="1" ht="15">
      <c r="P220" s="447"/>
      <c r="Q220" s="450">
        <v>4.49</v>
      </c>
      <c r="R220" s="450">
        <v>3.2</v>
      </c>
      <c r="S220" s="450">
        <v>300</v>
      </c>
      <c r="T220" s="443">
        <v>10.199999999999999</v>
      </c>
    </row>
    <row r="221" spans="16:20" s="497" customFormat="1" ht="15">
      <c r="P221" s="447"/>
      <c r="Q221" s="450">
        <v>4.49</v>
      </c>
      <c r="R221" s="450">
        <v>3.2</v>
      </c>
      <c r="S221" s="450">
        <v>300.01</v>
      </c>
      <c r="T221" s="443">
        <v>9.6</v>
      </c>
    </row>
    <row r="222" spans="16:20" s="497" customFormat="1" ht="15">
      <c r="P222" s="447"/>
      <c r="Q222" s="450">
        <v>4.49</v>
      </c>
      <c r="R222" s="450">
        <v>3.2</v>
      </c>
      <c r="S222" s="450">
        <v>600</v>
      </c>
      <c r="T222" s="443">
        <v>9.6</v>
      </c>
    </row>
    <row r="223" spans="16:20" s="497" customFormat="1" ht="15">
      <c r="P223" s="447"/>
      <c r="Q223" s="450">
        <v>4.49</v>
      </c>
      <c r="R223" s="450">
        <v>3.2</v>
      </c>
      <c r="S223" s="450">
        <v>600.01</v>
      </c>
      <c r="T223" s="443">
        <v>8.1</v>
      </c>
    </row>
    <row r="224" spans="16:20" s="497" customFormat="1" ht="15">
      <c r="P224" s="447"/>
      <c r="Q224" s="450">
        <v>4.49</v>
      </c>
      <c r="R224" s="450">
        <v>3.2</v>
      </c>
      <c r="S224" s="450">
        <v>10000</v>
      </c>
      <c r="T224" s="443">
        <v>8.1</v>
      </c>
    </row>
    <row r="225" spans="16:20" s="497" customFormat="1" ht="15">
      <c r="P225" s="447"/>
      <c r="Q225" s="450">
        <v>4.49</v>
      </c>
      <c r="R225" s="450">
        <v>4.8</v>
      </c>
      <c r="S225" s="450">
        <v>0</v>
      </c>
      <c r="T225" s="443">
        <v>11.3</v>
      </c>
    </row>
    <row r="226" spans="16:20" s="497" customFormat="1" ht="15">
      <c r="P226" s="447"/>
      <c r="Q226" s="450">
        <v>4.49</v>
      </c>
      <c r="R226" s="450">
        <v>4.8</v>
      </c>
      <c r="S226" s="450">
        <v>300</v>
      </c>
      <c r="T226" s="443">
        <v>11.3</v>
      </c>
    </row>
    <row r="227" spans="16:20" s="497" customFormat="1" ht="15">
      <c r="P227" s="447"/>
      <c r="Q227" s="450">
        <v>4.49</v>
      </c>
      <c r="R227" s="450">
        <v>4.8</v>
      </c>
      <c r="S227" s="450">
        <v>300.01</v>
      </c>
      <c r="T227" s="443">
        <v>11</v>
      </c>
    </row>
    <row r="228" spans="16:20" s="497" customFormat="1" ht="15">
      <c r="P228" s="447"/>
      <c r="Q228" s="450">
        <v>4.49</v>
      </c>
      <c r="R228" s="450">
        <v>4.8</v>
      </c>
      <c r="S228" s="450">
        <v>600</v>
      </c>
      <c r="T228" s="443">
        <v>11</v>
      </c>
    </row>
    <row r="229" spans="16:20" s="497" customFormat="1" ht="15">
      <c r="P229" s="447"/>
      <c r="Q229" s="450">
        <v>4.49</v>
      </c>
      <c r="R229" s="450">
        <v>4.8</v>
      </c>
      <c r="S229" s="450">
        <v>600.01</v>
      </c>
      <c r="T229" s="443">
        <v>8.9</v>
      </c>
    </row>
    <row r="230" spans="16:20" s="497" customFormat="1" ht="15">
      <c r="P230" s="447"/>
      <c r="Q230" s="450">
        <v>4.49</v>
      </c>
      <c r="R230" s="450">
        <v>4.8</v>
      </c>
      <c r="S230" s="450">
        <v>10000</v>
      </c>
      <c r="T230" s="443">
        <v>8.9</v>
      </c>
    </row>
    <row r="231" spans="16:20" s="497" customFormat="1" ht="15">
      <c r="P231" s="447"/>
      <c r="Q231" s="450">
        <v>4.49</v>
      </c>
      <c r="R231" s="450">
        <v>6.4</v>
      </c>
      <c r="S231" s="450">
        <v>0</v>
      </c>
      <c r="T231" s="443">
        <v>12.3</v>
      </c>
    </row>
    <row r="232" spans="16:20" s="497" customFormat="1" ht="15">
      <c r="P232" s="447"/>
      <c r="Q232" s="450">
        <v>4.49</v>
      </c>
      <c r="R232" s="450">
        <v>6.4</v>
      </c>
      <c r="S232" s="450">
        <v>300</v>
      </c>
      <c r="T232" s="443">
        <v>12.3</v>
      </c>
    </row>
    <row r="233" spans="16:20" s="497" customFormat="1" ht="15">
      <c r="P233" s="447"/>
      <c r="Q233" s="450">
        <v>4.49</v>
      </c>
      <c r="R233" s="450">
        <v>6.4</v>
      </c>
      <c r="S233" s="450">
        <v>300.01</v>
      </c>
      <c r="T233" s="443">
        <v>11.9</v>
      </c>
    </row>
    <row r="234" spans="16:20" s="497" customFormat="1" ht="15">
      <c r="P234" s="447"/>
      <c r="Q234" s="450">
        <v>4.49</v>
      </c>
      <c r="R234" s="450">
        <v>6.4</v>
      </c>
      <c r="S234" s="450">
        <v>600</v>
      </c>
      <c r="T234" s="443">
        <v>11.9</v>
      </c>
    </row>
    <row r="235" spans="16:20" s="497" customFormat="1" ht="15">
      <c r="P235" s="447"/>
      <c r="Q235" s="450">
        <v>4.49</v>
      </c>
      <c r="R235" s="450">
        <v>6.4</v>
      </c>
      <c r="S235" s="450">
        <v>600.01</v>
      </c>
      <c r="T235" s="443">
        <v>9.6999999999999993</v>
      </c>
    </row>
    <row r="236" spans="16:20" s="497" customFormat="1" ht="15">
      <c r="P236" s="447"/>
      <c r="Q236" s="450">
        <v>4.49</v>
      </c>
      <c r="R236" s="450">
        <v>6.4</v>
      </c>
      <c r="S236" s="450">
        <v>10000</v>
      </c>
      <c r="T236" s="443">
        <v>9.6999999999999993</v>
      </c>
    </row>
    <row r="237" spans="16:20" s="497" customFormat="1" ht="15">
      <c r="P237" s="447"/>
      <c r="Q237" s="450">
        <v>4.49</v>
      </c>
      <c r="R237" s="450">
        <v>100</v>
      </c>
      <c r="S237" s="450">
        <v>0</v>
      </c>
      <c r="T237" s="443">
        <v>12.3</v>
      </c>
    </row>
    <row r="238" spans="16:20" s="497" customFormat="1" ht="15">
      <c r="P238" s="447"/>
      <c r="Q238" s="450">
        <v>4.49</v>
      </c>
      <c r="R238" s="450">
        <v>100</v>
      </c>
      <c r="S238" s="450">
        <v>300</v>
      </c>
      <c r="T238" s="443">
        <v>12.3</v>
      </c>
    </row>
    <row r="239" spans="16:20" s="497" customFormat="1" ht="15">
      <c r="P239" s="447"/>
      <c r="Q239" s="450">
        <v>4.49</v>
      </c>
      <c r="R239" s="450">
        <v>100</v>
      </c>
      <c r="S239" s="450">
        <v>300.01</v>
      </c>
      <c r="T239" s="443">
        <v>11.9</v>
      </c>
    </row>
    <row r="240" spans="16:20" s="497" customFormat="1" ht="15">
      <c r="P240" s="447"/>
      <c r="Q240" s="450">
        <v>4.49</v>
      </c>
      <c r="R240" s="450">
        <v>100</v>
      </c>
      <c r="S240" s="450">
        <v>600</v>
      </c>
      <c r="T240" s="443">
        <v>11.9</v>
      </c>
    </row>
    <row r="241" spans="16:20" s="497" customFormat="1" ht="15">
      <c r="P241" s="447"/>
      <c r="Q241" s="450">
        <v>4.49</v>
      </c>
      <c r="R241" s="450">
        <v>100</v>
      </c>
      <c r="S241" s="450">
        <v>600.01</v>
      </c>
      <c r="T241" s="443">
        <v>9.6999999999999993</v>
      </c>
    </row>
    <row r="242" spans="16:20" s="497" customFormat="1" ht="15">
      <c r="P242" s="447"/>
      <c r="Q242" s="450">
        <v>4.49</v>
      </c>
      <c r="R242" s="450">
        <v>100</v>
      </c>
      <c r="S242" s="450">
        <v>10000</v>
      </c>
      <c r="T242" s="443">
        <v>9.6999999999999993</v>
      </c>
    </row>
    <row r="243" spans="16:20" s="497" customFormat="1" ht="15">
      <c r="P243" s="447"/>
      <c r="Q243" s="450">
        <v>4.5</v>
      </c>
      <c r="R243" s="450">
        <v>0</v>
      </c>
      <c r="S243" s="450">
        <v>0</v>
      </c>
      <c r="T243" s="443">
        <v>4.2</v>
      </c>
    </row>
    <row r="244" spans="16:20" s="497" customFormat="1" ht="15">
      <c r="P244" s="447"/>
      <c r="Q244" s="450">
        <v>4.5</v>
      </c>
      <c r="R244" s="450">
        <v>0</v>
      </c>
      <c r="S244" s="450">
        <v>300</v>
      </c>
      <c r="T244" s="443">
        <v>4.2</v>
      </c>
    </row>
    <row r="245" spans="16:20" s="497" customFormat="1" ht="15">
      <c r="P245" s="447"/>
      <c r="Q245" s="450">
        <v>4.5</v>
      </c>
      <c r="R245" s="450">
        <v>0</v>
      </c>
      <c r="S245" s="450">
        <v>300.01</v>
      </c>
      <c r="T245" s="443">
        <v>3.7</v>
      </c>
    </row>
    <row r="246" spans="16:20" s="497" customFormat="1" ht="15">
      <c r="P246" s="447"/>
      <c r="Q246" s="450">
        <v>4.5</v>
      </c>
      <c r="R246" s="450">
        <v>0</v>
      </c>
      <c r="S246" s="450">
        <v>600</v>
      </c>
      <c r="T246" s="443">
        <v>3.7</v>
      </c>
    </row>
    <row r="247" spans="16:20" s="497" customFormat="1" ht="15">
      <c r="P247" s="447"/>
      <c r="Q247" s="450">
        <v>4.5</v>
      </c>
      <c r="R247" s="450">
        <v>0</v>
      </c>
      <c r="S247" s="450">
        <v>600.01</v>
      </c>
      <c r="T247" s="443">
        <v>2.6</v>
      </c>
    </row>
    <row r="248" spans="16:20" s="497" customFormat="1" ht="15">
      <c r="P248" s="447"/>
      <c r="Q248" s="450">
        <v>4.5</v>
      </c>
      <c r="R248" s="450">
        <v>0</v>
      </c>
      <c r="S248" s="450">
        <v>10000</v>
      </c>
      <c r="T248" s="443">
        <v>2.6</v>
      </c>
    </row>
    <row r="249" spans="16:20" s="497" customFormat="1" ht="15">
      <c r="P249" s="447"/>
      <c r="Q249" s="450">
        <v>4.5</v>
      </c>
      <c r="R249" s="450">
        <v>0.4</v>
      </c>
      <c r="S249" s="450">
        <v>0</v>
      </c>
      <c r="T249" s="443">
        <v>4.2</v>
      </c>
    </row>
    <row r="250" spans="16:20" s="497" customFormat="1" ht="15">
      <c r="P250" s="447"/>
      <c r="Q250" s="450">
        <v>4.5</v>
      </c>
      <c r="R250" s="450">
        <v>0.4</v>
      </c>
      <c r="S250" s="450">
        <v>300</v>
      </c>
      <c r="T250" s="443">
        <v>4.2</v>
      </c>
    </row>
    <row r="251" spans="16:20" s="497" customFormat="1" ht="15">
      <c r="P251" s="447"/>
      <c r="Q251" s="450">
        <v>4.5</v>
      </c>
      <c r="R251" s="450">
        <v>0.4</v>
      </c>
      <c r="S251" s="450">
        <v>300.01</v>
      </c>
      <c r="T251" s="443">
        <v>3.7</v>
      </c>
    </row>
    <row r="252" spans="16:20" s="497" customFormat="1" ht="15">
      <c r="P252" s="447"/>
      <c r="Q252" s="450">
        <v>4.5</v>
      </c>
      <c r="R252" s="450">
        <v>0.4</v>
      </c>
      <c r="S252" s="450">
        <v>600</v>
      </c>
      <c r="T252" s="443">
        <v>3.7</v>
      </c>
    </row>
    <row r="253" spans="16:20" s="497" customFormat="1" ht="15">
      <c r="P253" s="447"/>
      <c r="Q253" s="450">
        <v>4.5</v>
      </c>
      <c r="R253" s="450">
        <v>0.4</v>
      </c>
      <c r="S253" s="450">
        <v>600.01</v>
      </c>
      <c r="T253" s="443">
        <v>2.6</v>
      </c>
    </row>
    <row r="254" spans="16:20" s="497" customFormat="1" ht="15">
      <c r="P254" s="447"/>
      <c r="Q254" s="450">
        <v>4.5</v>
      </c>
      <c r="R254" s="450">
        <v>0.4</v>
      </c>
      <c r="S254" s="450">
        <v>10000</v>
      </c>
      <c r="T254" s="443">
        <v>2.6</v>
      </c>
    </row>
    <row r="255" spans="16:20" s="497" customFormat="1" ht="15">
      <c r="P255" s="447"/>
      <c r="Q255" s="450">
        <v>4.5</v>
      </c>
      <c r="R255" s="450">
        <v>0.8</v>
      </c>
      <c r="S255" s="450">
        <v>0</v>
      </c>
      <c r="T255" s="443">
        <v>6</v>
      </c>
    </row>
    <row r="256" spans="16:20" s="497" customFormat="1" ht="15">
      <c r="P256" s="447"/>
      <c r="Q256" s="450">
        <v>4.5</v>
      </c>
      <c r="R256" s="450">
        <v>0.8</v>
      </c>
      <c r="S256" s="450">
        <v>300</v>
      </c>
      <c r="T256" s="443">
        <v>6</v>
      </c>
    </row>
    <row r="257" spans="16:20" s="497" customFormat="1" ht="15">
      <c r="P257" s="447"/>
      <c r="Q257" s="450">
        <v>4.5</v>
      </c>
      <c r="R257" s="450">
        <v>0.8</v>
      </c>
      <c r="S257" s="450">
        <v>300.01</v>
      </c>
      <c r="T257" s="443">
        <v>6</v>
      </c>
    </row>
    <row r="258" spans="16:20" s="497" customFormat="1" ht="15">
      <c r="P258" s="447"/>
      <c r="Q258" s="450">
        <v>4.5</v>
      </c>
      <c r="R258" s="450">
        <v>0.8</v>
      </c>
      <c r="S258" s="450">
        <v>600</v>
      </c>
      <c r="T258" s="443">
        <v>6</v>
      </c>
    </row>
    <row r="259" spans="16:20" s="497" customFormat="1" ht="15">
      <c r="P259" s="447"/>
      <c r="Q259" s="450">
        <v>4.5</v>
      </c>
      <c r="R259" s="450">
        <v>0.8</v>
      </c>
      <c r="S259" s="450">
        <v>600.01</v>
      </c>
      <c r="T259" s="443">
        <v>5.0999999999999996</v>
      </c>
    </row>
    <row r="260" spans="16:20" s="497" customFormat="1" ht="15">
      <c r="P260" s="447"/>
      <c r="Q260" s="450">
        <v>4.5</v>
      </c>
      <c r="R260" s="450">
        <v>0.8</v>
      </c>
      <c r="S260" s="450">
        <v>10000</v>
      </c>
      <c r="T260" s="443">
        <v>5.0999999999999996</v>
      </c>
    </row>
    <row r="261" spans="16:20" s="497" customFormat="1" ht="15">
      <c r="P261" s="447"/>
      <c r="Q261" s="450">
        <v>4.5</v>
      </c>
      <c r="R261" s="450">
        <v>1.2</v>
      </c>
      <c r="S261" s="450">
        <v>0</v>
      </c>
      <c r="T261" s="443">
        <v>7.5</v>
      </c>
    </row>
    <row r="262" spans="16:20" s="497" customFormat="1" ht="15">
      <c r="P262" s="447"/>
      <c r="Q262" s="450">
        <v>4.5</v>
      </c>
      <c r="R262" s="450">
        <v>1.2</v>
      </c>
      <c r="S262" s="450">
        <v>300</v>
      </c>
      <c r="T262" s="443">
        <v>7.5</v>
      </c>
    </row>
    <row r="263" spans="16:20" s="497" customFormat="1" ht="15">
      <c r="P263" s="447"/>
      <c r="Q263" s="450">
        <v>4.5</v>
      </c>
      <c r="R263" s="450">
        <v>1.2</v>
      </c>
      <c r="S263" s="450">
        <v>300.01</v>
      </c>
      <c r="T263" s="443">
        <v>7.5</v>
      </c>
    </row>
    <row r="264" spans="16:20" s="497" customFormat="1" ht="15">
      <c r="P264" s="447"/>
      <c r="Q264" s="450">
        <v>4.5</v>
      </c>
      <c r="R264" s="450">
        <v>1.2</v>
      </c>
      <c r="S264" s="450">
        <v>600</v>
      </c>
      <c r="T264" s="443">
        <v>7.5</v>
      </c>
    </row>
    <row r="265" spans="16:20" s="497" customFormat="1" ht="15">
      <c r="P265" s="447"/>
      <c r="Q265" s="450">
        <v>4.5</v>
      </c>
      <c r="R265" s="450">
        <v>1.2</v>
      </c>
      <c r="S265" s="450">
        <v>600.01</v>
      </c>
      <c r="T265" s="443">
        <v>7.5</v>
      </c>
    </row>
    <row r="266" spans="16:20" s="497" customFormat="1" ht="15">
      <c r="P266" s="447"/>
      <c r="Q266" s="450">
        <v>4.5</v>
      </c>
      <c r="R266" s="450">
        <v>1.2</v>
      </c>
      <c r="S266" s="450">
        <v>10000</v>
      </c>
      <c r="T266" s="443">
        <v>7.5</v>
      </c>
    </row>
    <row r="267" spans="16:20" s="497" customFormat="1" ht="15">
      <c r="P267" s="447"/>
      <c r="Q267" s="450">
        <v>4.5</v>
      </c>
      <c r="R267" s="450">
        <v>1.6</v>
      </c>
      <c r="S267" s="450">
        <v>0</v>
      </c>
      <c r="T267" s="443">
        <v>9.1999999999999993</v>
      </c>
    </row>
    <row r="268" spans="16:20" s="497" customFormat="1" ht="15">
      <c r="P268" s="447"/>
      <c r="Q268" s="450">
        <v>4.5</v>
      </c>
      <c r="R268" s="450">
        <v>1.6</v>
      </c>
      <c r="S268" s="450">
        <v>300</v>
      </c>
      <c r="T268" s="443">
        <v>9.1999999999999993</v>
      </c>
    </row>
    <row r="269" spans="16:20" s="497" customFormat="1" ht="15">
      <c r="P269" s="447"/>
      <c r="Q269" s="450">
        <v>4.5</v>
      </c>
      <c r="R269" s="450">
        <v>1.6</v>
      </c>
      <c r="S269" s="450">
        <v>300.01</v>
      </c>
      <c r="T269" s="443">
        <v>9</v>
      </c>
    </row>
    <row r="270" spans="16:20" s="497" customFormat="1" ht="15">
      <c r="P270" s="447"/>
      <c r="Q270" s="450">
        <v>4.5</v>
      </c>
      <c r="R270" s="450">
        <v>1.6</v>
      </c>
      <c r="S270" s="450">
        <v>600</v>
      </c>
      <c r="T270" s="443">
        <v>9</v>
      </c>
    </row>
    <row r="271" spans="16:20" s="497" customFormat="1" ht="15">
      <c r="P271" s="447"/>
      <c r="Q271" s="450">
        <v>4.5</v>
      </c>
      <c r="R271" s="450">
        <v>1.6</v>
      </c>
      <c r="S271" s="450">
        <v>600.01</v>
      </c>
      <c r="T271" s="443">
        <v>8.9</v>
      </c>
    </row>
    <row r="272" spans="16:20" s="497" customFormat="1" ht="15">
      <c r="P272" s="447"/>
      <c r="Q272" s="450">
        <v>4.5</v>
      </c>
      <c r="R272" s="450">
        <v>1.6</v>
      </c>
      <c r="S272" s="450">
        <v>10000</v>
      </c>
      <c r="T272" s="443">
        <v>8.9</v>
      </c>
    </row>
    <row r="273" spans="16:20" s="497" customFormat="1" ht="15">
      <c r="P273" s="447"/>
      <c r="Q273" s="450">
        <v>4.5</v>
      </c>
      <c r="R273" s="450">
        <v>2.4</v>
      </c>
      <c r="S273" s="450">
        <v>0</v>
      </c>
      <c r="T273" s="443">
        <v>10.6</v>
      </c>
    </row>
    <row r="274" spans="16:20" s="497" customFormat="1" ht="15">
      <c r="P274" s="447"/>
      <c r="Q274" s="450">
        <v>4.5</v>
      </c>
      <c r="R274" s="450">
        <v>2.4</v>
      </c>
      <c r="S274" s="450">
        <v>300</v>
      </c>
      <c r="T274" s="443">
        <v>10.6</v>
      </c>
    </row>
    <row r="275" spans="16:20" s="497" customFormat="1" ht="15">
      <c r="P275" s="447"/>
      <c r="Q275" s="450">
        <v>4.5</v>
      </c>
      <c r="R275" s="450">
        <v>2.4</v>
      </c>
      <c r="S275" s="450">
        <v>300.01</v>
      </c>
      <c r="T275" s="443">
        <v>10.5</v>
      </c>
    </row>
    <row r="276" spans="16:20" s="497" customFormat="1" ht="15">
      <c r="P276" s="447"/>
      <c r="Q276" s="450">
        <v>4.5</v>
      </c>
      <c r="R276" s="450">
        <v>2.4</v>
      </c>
      <c r="S276" s="450">
        <v>600</v>
      </c>
      <c r="T276" s="443">
        <v>10.5</v>
      </c>
    </row>
    <row r="277" spans="16:20" s="497" customFormat="1" ht="15">
      <c r="P277" s="447"/>
      <c r="Q277" s="450">
        <v>4.5</v>
      </c>
      <c r="R277" s="450">
        <v>2.4</v>
      </c>
      <c r="S277" s="450">
        <v>600.01</v>
      </c>
      <c r="T277" s="443">
        <v>10.3</v>
      </c>
    </row>
    <row r="278" spans="16:20" s="497" customFormat="1" ht="15">
      <c r="P278" s="447"/>
      <c r="Q278" s="474">
        <v>4.5</v>
      </c>
      <c r="R278" s="474">
        <v>2.4</v>
      </c>
      <c r="S278" s="474">
        <v>10000</v>
      </c>
      <c r="T278" s="474">
        <v>10.3</v>
      </c>
    </row>
    <row r="279" spans="16:20" s="497" customFormat="1" ht="15">
      <c r="P279" s="447"/>
      <c r="Q279" s="474">
        <v>4.5</v>
      </c>
      <c r="R279" s="474">
        <v>3.2</v>
      </c>
      <c r="S279" s="474">
        <v>0</v>
      </c>
      <c r="T279" s="474">
        <v>11.8</v>
      </c>
    </row>
    <row r="280" spans="16:20" s="497" customFormat="1" ht="15">
      <c r="P280" s="447"/>
      <c r="Q280" s="474">
        <v>4.5</v>
      </c>
      <c r="R280" s="474">
        <v>3.2</v>
      </c>
      <c r="S280" s="474">
        <v>300</v>
      </c>
      <c r="T280" s="474">
        <v>11.8</v>
      </c>
    </row>
    <row r="281" spans="16:20" s="497" customFormat="1" ht="15">
      <c r="P281" s="447"/>
      <c r="Q281" s="474">
        <v>4.5</v>
      </c>
      <c r="R281" s="474">
        <v>3.2</v>
      </c>
      <c r="S281" s="474">
        <v>300.01</v>
      </c>
      <c r="T281" s="474">
        <v>11.7</v>
      </c>
    </row>
    <row r="282" spans="16:20" s="497" customFormat="1" ht="15">
      <c r="P282" s="447"/>
      <c r="Q282" s="474">
        <v>4.5</v>
      </c>
      <c r="R282" s="474">
        <v>3.2</v>
      </c>
      <c r="S282" s="474">
        <v>600</v>
      </c>
      <c r="T282" s="474">
        <v>11.7</v>
      </c>
    </row>
    <row r="283" spans="16:20" s="497" customFormat="1" ht="15">
      <c r="P283" s="447"/>
      <c r="Q283" s="474">
        <v>4.5</v>
      </c>
      <c r="R283" s="474">
        <v>3.2</v>
      </c>
      <c r="S283" s="474">
        <v>600.01</v>
      </c>
      <c r="T283" s="474">
        <v>11.3</v>
      </c>
    </row>
    <row r="284" spans="16:20" s="497" customFormat="1" ht="15">
      <c r="P284" s="447"/>
      <c r="Q284" s="474">
        <v>4.5</v>
      </c>
      <c r="R284" s="474">
        <v>3.2</v>
      </c>
      <c r="S284" s="474">
        <v>10000</v>
      </c>
      <c r="T284" s="474">
        <v>11.3</v>
      </c>
    </row>
    <row r="285" spans="16:20" s="497" customFormat="1" ht="15">
      <c r="P285" s="447"/>
      <c r="Q285" s="474">
        <v>4.5</v>
      </c>
      <c r="R285" s="474">
        <v>4.8</v>
      </c>
      <c r="S285" s="474">
        <v>0</v>
      </c>
      <c r="T285" s="474">
        <v>13.7</v>
      </c>
    </row>
    <row r="286" spans="16:20" s="497" customFormat="1" ht="15">
      <c r="P286" s="447"/>
      <c r="Q286" s="474">
        <v>4.5</v>
      </c>
      <c r="R286" s="474">
        <v>4.8</v>
      </c>
      <c r="S286" s="474">
        <v>300</v>
      </c>
      <c r="T286" s="474">
        <v>13.7</v>
      </c>
    </row>
    <row r="287" spans="16:20" s="497" customFormat="1" ht="15">
      <c r="P287" s="447"/>
      <c r="Q287" s="474">
        <v>4.5</v>
      </c>
      <c r="R287" s="474">
        <v>4.8</v>
      </c>
      <c r="S287" s="474">
        <v>300.01</v>
      </c>
      <c r="T287" s="474">
        <v>13.5</v>
      </c>
    </row>
    <row r="288" spans="16:20" s="497" customFormat="1" ht="15">
      <c r="P288" s="447"/>
      <c r="Q288" s="474">
        <v>4.5</v>
      </c>
      <c r="R288" s="474">
        <v>4.8</v>
      </c>
      <c r="S288" s="474">
        <v>600</v>
      </c>
      <c r="T288" s="474">
        <v>13.5</v>
      </c>
    </row>
    <row r="289" spans="16:20" s="497" customFormat="1" ht="15">
      <c r="P289" s="447"/>
      <c r="Q289" s="474">
        <v>4.5</v>
      </c>
      <c r="R289" s="474">
        <v>4.8</v>
      </c>
      <c r="S289" s="474">
        <v>600.01</v>
      </c>
      <c r="T289" s="474">
        <v>12.4</v>
      </c>
    </row>
    <row r="290" spans="16:20" s="497" customFormat="1" ht="15">
      <c r="P290" s="447"/>
      <c r="Q290" s="474">
        <v>4.5</v>
      </c>
      <c r="R290" s="474">
        <v>4.8</v>
      </c>
      <c r="S290" s="474">
        <v>10000</v>
      </c>
      <c r="T290" s="474">
        <v>12.4</v>
      </c>
    </row>
    <row r="291" spans="16:20" s="497" customFormat="1" ht="15">
      <c r="P291" s="447"/>
      <c r="Q291" s="474">
        <v>4.5</v>
      </c>
      <c r="R291" s="474">
        <v>6.4</v>
      </c>
      <c r="S291" s="474">
        <v>0</v>
      </c>
      <c r="T291" s="474">
        <v>15.3</v>
      </c>
    </row>
    <row r="292" spans="16:20" s="497" customFormat="1" ht="15">
      <c r="P292" s="447"/>
      <c r="Q292" s="474">
        <v>4.5</v>
      </c>
      <c r="R292" s="474">
        <v>6.4</v>
      </c>
      <c r="S292" s="474">
        <v>300</v>
      </c>
      <c r="T292" s="474">
        <v>15.3</v>
      </c>
    </row>
    <row r="293" spans="16:20" s="497" customFormat="1" ht="15">
      <c r="P293" s="447"/>
      <c r="Q293" s="474">
        <v>4.5</v>
      </c>
      <c r="R293" s="474">
        <v>6.4</v>
      </c>
      <c r="S293" s="474">
        <v>300.01</v>
      </c>
      <c r="T293" s="474">
        <v>15</v>
      </c>
    </row>
    <row r="294" spans="16:20" s="497" customFormat="1" ht="15">
      <c r="P294" s="447"/>
      <c r="Q294" s="474">
        <v>4.5</v>
      </c>
      <c r="R294" s="474">
        <v>6.4</v>
      </c>
      <c r="S294" s="474">
        <v>600</v>
      </c>
      <c r="T294" s="474">
        <v>15</v>
      </c>
    </row>
    <row r="295" spans="16:20" s="497" customFormat="1" ht="15">
      <c r="P295" s="447"/>
      <c r="Q295" s="474">
        <v>4.5</v>
      </c>
      <c r="R295" s="474">
        <v>6.4</v>
      </c>
      <c r="S295" s="474">
        <v>600.01</v>
      </c>
      <c r="T295" s="474">
        <v>12.5</v>
      </c>
    </row>
    <row r="296" spans="16:20" s="497" customFormat="1" ht="15">
      <c r="P296" s="447"/>
      <c r="Q296" s="474">
        <v>4.5</v>
      </c>
      <c r="R296" s="474">
        <v>6.4</v>
      </c>
      <c r="S296" s="474">
        <v>10000</v>
      </c>
      <c r="T296" s="474">
        <v>12.5</v>
      </c>
    </row>
    <row r="297" spans="16:20" s="497" customFormat="1" ht="15">
      <c r="P297" s="447"/>
      <c r="Q297" s="474">
        <v>4.5</v>
      </c>
      <c r="R297" s="474">
        <v>100</v>
      </c>
      <c r="S297" s="474">
        <v>0</v>
      </c>
      <c r="T297" s="474">
        <v>15.3</v>
      </c>
    </row>
    <row r="298" spans="16:20" s="497" customFormat="1" ht="15">
      <c r="P298" s="447"/>
      <c r="Q298" s="474">
        <v>4.5</v>
      </c>
      <c r="R298" s="474">
        <v>100</v>
      </c>
      <c r="S298" s="474">
        <v>300</v>
      </c>
      <c r="T298" s="474">
        <v>15.3</v>
      </c>
    </row>
    <row r="299" spans="16:20" s="497" customFormat="1" ht="15">
      <c r="P299" s="447"/>
      <c r="Q299" s="474">
        <v>4.5</v>
      </c>
      <c r="R299" s="474">
        <v>100</v>
      </c>
      <c r="S299" s="474">
        <v>300.01</v>
      </c>
      <c r="T299" s="474">
        <v>15</v>
      </c>
    </row>
    <row r="300" spans="16:20" s="497" customFormat="1" ht="15">
      <c r="P300" s="447"/>
      <c r="Q300" s="474">
        <v>4.5</v>
      </c>
      <c r="R300" s="474">
        <v>100</v>
      </c>
      <c r="S300" s="474">
        <v>600</v>
      </c>
      <c r="T300" s="474">
        <v>15</v>
      </c>
    </row>
    <row r="301" spans="16:20" s="497" customFormat="1" ht="15">
      <c r="P301" s="447"/>
      <c r="Q301" s="474">
        <v>4.5</v>
      </c>
      <c r="R301" s="474">
        <v>100</v>
      </c>
      <c r="S301" s="474">
        <v>600.01</v>
      </c>
      <c r="T301" s="474">
        <v>12.5</v>
      </c>
    </row>
    <row r="302" spans="16:20" s="497" customFormat="1" ht="15">
      <c r="P302" s="447"/>
      <c r="Q302" s="474">
        <v>4.5</v>
      </c>
      <c r="R302" s="474">
        <v>100</v>
      </c>
      <c r="S302" s="474">
        <v>10000</v>
      </c>
      <c r="T302" s="474">
        <v>12.5</v>
      </c>
    </row>
    <row r="303" spans="16:20" s="497" customFormat="1" ht="15">
      <c r="P303" s="447"/>
      <c r="Q303" s="474">
        <v>5.49</v>
      </c>
      <c r="R303" s="474">
        <v>0</v>
      </c>
      <c r="S303" s="474">
        <v>0</v>
      </c>
      <c r="T303" s="474">
        <v>4.2</v>
      </c>
    </row>
    <row r="304" spans="16:20" s="497" customFormat="1" ht="15">
      <c r="P304" s="447"/>
      <c r="Q304" s="474">
        <v>5.49</v>
      </c>
      <c r="R304" s="474">
        <v>0</v>
      </c>
      <c r="S304" s="474">
        <v>300</v>
      </c>
      <c r="T304" s="474">
        <v>4.2</v>
      </c>
    </row>
    <row r="305" spans="16:20" s="497" customFormat="1" ht="15">
      <c r="P305" s="447"/>
      <c r="Q305" s="474">
        <v>5.49</v>
      </c>
      <c r="R305" s="474">
        <v>0</v>
      </c>
      <c r="S305" s="474">
        <v>300.01</v>
      </c>
      <c r="T305" s="474">
        <v>3.7</v>
      </c>
    </row>
    <row r="306" spans="16:20" s="497" customFormat="1" ht="15">
      <c r="P306" s="447"/>
      <c r="Q306" s="474">
        <v>5.49</v>
      </c>
      <c r="R306" s="474">
        <v>0</v>
      </c>
      <c r="S306" s="474">
        <v>600</v>
      </c>
      <c r="T306" s="474">
        <v>3.7</v>
      </c>
    </row>
    <row r="307" spans="16:20" s="497" customFormat="1" ht="15">
      <c r="P307" s="447"/>
      <c r="Q307" s="474">
        <v>5.49</v>
      </c>
      <c r="R307" s="474">
        <v>0</v>
      </c>
      <c r="S307" s="474">
        <v>600.01</v>
      </c>
      <c r="T307" s="474">
        <v>2.6</v>
      </c>
    </row>
    <row r="308" spans="16:20" s="497" customFormat="1" ht="15">
      <c r="P308" s="447"/>
      <c r="Q308" s="474">
        <v>5.49</v>
      </c>
      <c r="R308" s="474">
        <v>0</v>
      </c>
      <c r="S308" s="474">
        <v>10000</v>
      </c>
      <c r="T308" s="474">
        <v>2.6</v>
      </c>
    </row>
    <row r="309" spans="16:20" s="497" customFormat="1" ht="15">
      <c r="P309" s="447"/>
      <c r="Q309" s="497">
        <v>5.49</v>
      </c>
      <c r="R309" s="497">
        <v>0.4</v>
      </c>
      <c r="S309" s="497">
        <v>0</v>
      </c>
      <c r="T309" s="497">
        <v>4.2</v>
      </c>
    </row>
    <row r="310" spans="16:20" s="497" customFormat="1" ht="15">
      <c r="P310" s="447"/>
      <c r="Q310" s="497">
        <v>5.49</v>
      </c>
      <c r="R310" s="497">
        <v>0.4</v>
      </c>
      <c r="S310" s="497">
        <v>300</v>
      </c>
      <c r="T310" s="497">
        <v>4.2</v>
      </c>
    </row>
    <row r="311" spans="16:20" s="497" customFormat="1" ht="15">
      <c r="P311" s="447"/>
      <c r="Q311" s="497">
        <v>5.49</v>
      </c>
      <c r="R311" s="497">
        <v>0.4</v>
      </c>
      <c r="S311" s="497">
        <v>300.01</v>
      </c>
      <c r="T311" s="497">
        <v>3.7</v>
      </c>
    </row>
    <row r="312" spans="16:20" s="497" customFormat="1" ht="15">
      <c r="P312" s="447"/>
      <c r="Q312" s="497">
        <v>5.49</v>
      </c>
      <c r="R312" s="497">
        <v>0.4</v>
      </c>
      <c r="S312" s="497">
        <v>600</v>
      </c>
      <c r="T312" s="497">
        <v>3.7</v>
      </c>
    </row>
    <row r="313" spans="16:20" s="497" customFormat="1" ht="15">
      <c r="P313" s="447"/>
      <c r="Q313" s="497">
        <v>5.49</v>
      </c>
      <c r="R313" s="497">
        <v>0.4</v>
      </c>
      <c r="S313" s="497">
        <v>600.01</v>
      </c>
      <c r="T313" s="497">
        <v>2.6</v>
      </c>
    </row>
    <row r="314" spans="16:20" s="497" customFormat="1" ht="15">
      <c r="P314" s="447"/>
      <c r="Q314" s="497">
        <v>5.49</v>
      </c>
      <c r="R314" s="497">
        <v>0.4</v>
      </c>
      <c r="S314" s="497">
        <v>10000</v>
      </c>
      <c r="T314" s="497">
        <v>2.6</v>
      </c>
    </row>
    <row r="315" spans="16:20" s="497" customFormat="1" ht="15">
      <c r="P315" s="447"/>
      <c r="Q315" s="497">
        <v>5.49</v>
      </c>
      <c r="R315" s="497">
        <v>0.8</v>
      </c>
      <c r="S315" s="497">
        <v>0</v>
      </c>
      <c r="T315" s="497">
        <v>6</v>
      </c>
    </row>
    <row r="316" spans="16:20" s="497" customFormat="1" ht="15">
      <c r="P316" s="447"/>
      <c r="Q316" s="497">
        <v>5.49</v>
      </c>
      <c r="R316" s="497">
        <v>0.8</v>
      </c>
      <c r="S316" s="497">
        <v>300</v>
      </c>
      <c r="T316" s="497">
        <v>6</v>
      </c>
    </row>
    <row r="317" spans="16:20" s="497" customFormat="1" ht="15">
      <c r="P317" s="447"/>
      <c r="Q317" s="497">
        <v>5.49</v>
      </c>
      <c r="R317" s="497">
        <v>0.8</v>
      </c>
      <c r="S317" s="497">
        <v>300.01</v>
      </c>
      <c r="T317" s="497">
        <v>6</v>
      </c>
    </row>
    <row r="318" spans="16:20" s="497" customFormat="1" ht="15">
      <c r="P318" s="447"/>
      <c r="Q318" s="497">
        <v>5.49</v>
      </c>
      <c r="R318" s="497">
        <v>0.8</v>
      </c>
      <c r="S318" s="497">
        <v>600</v>
      </c>
      <c r="T318" s="497">
        <v>6</v>
      </c>
    </row>
    <row r="319" spans="16:20" s="497" customFormat="1" ht="15">
      <c r="P319" s="447"/>
      <c r="Q319" s="497">
        <v>5.49</v>
      </c>
      <c r="R319" s="497">
        <v>0.8</v>
      </c>
      <c r="S319" s="497">
        <v>600.01</v>
      </c>
      <c r="T319" s="497">
        <v>5.0999999999999996</v>
      </c>
    </row>
    <row r="320" spans="16:20" s="497" customFormat="1" ht="15">
      <c r="P320" s="447"/>
      <c r="Q320" s="497">
        <v>5.49</v>
      </c>
      <c r="R320" s="497">
        <v>0.8</v>
      </c>
      <c r="S320" s="497">
        <v>10000</v>
      </c>
      <c r="T320" s="497">
        <v>5.0999999999999996</v>
      </c>
    </row>
    <row r="321" spans="16:20" ht="15">
      <c r="P321" s="447"/>
      <c r="Q321" s="497">
        <v>5.49</v>
      </c>
      <c r="R321" s="497">
        <v>1.2</v>
      </c>
      <c r="S321" s="497">
        <v>0</v>
      </c>
      <c r="T321" s="497">
        <v>7.5</v>
      </c>
    </row>
    <row r="322" spans="16:20" ht="15">
      <c r="P322" s="447"/>
      <c r="Q322" s="497">
        <v>5.49</v>
      </c>
      <c r="R322" s="497">
        <v>1.2</v>
      </c>
      <c r="S322" s="497">
        <v>300</v>
      </c>
      <c r="T322" s="497">
        <v>7.5</v>
      </c>
    </row>
    <row r="323" spans="16:20" ht="15">
      <c r="P323" s="447"/>
      <c r="Q323" s="497">
        <v>5.49</v>
      </c>
      <c r="R323" s="497">
        <v>1.2</v>
      </c>
      <c r="S323" s="497">
        <v>300.01</v>
      </c>
      <c r="T323" s="497">
        <v>7.5</v>
      </c>
    </row>
    <row r="324" spans="16:20" ht="15">
      <c r="P324" s="447"/>
      <c r="Q324" s="497">
        <v>5.49</v>
      </c>
      <c r="R324" s="497">
        <v>1.2</v>
      </c>
      <c r="S324" s="497">
        <v>600</v>
      </c>
      <c r="T324" s="497">
        <v>7.5</v>
      </c>
    </row>
    <row r="325" spans="16:20" ht="15">
      <c r="P325" s="447"/>
      <c r="Q325" s="497">
        <v>5.49</v>
      </c>
      <c r="R325" s="497">
        <v>1.2</v>
      </c>
      <c r="S325" s="497">
        <v>600.01</v>
      </c>
      <c r="T325" s="497">
        <v>7.5</v>
      </c>
    </row>
    <row r="326" spans="16:20" ht="15">
      <c r="P326" s="447"/>
      <c r="Q326" s="497">
        <v>5.49</v>
      </c>
      <c r="R326" s="497">
        <v>1.2</v>
      </c>
      <c r="S326" s="497">
        <v>10000</v>
      </c>
      <c r="T326" s="497">
        <v>7.5</v>
      </c>
    </row>
    <row r="327" spans="16:20" ht="15">
      <c r="P327" s="447"/>
      <c r="Q327" s="497">
        <v>5.49</v>
      </c>
      <c r="R327" s="497">
        <v>1.6</v>
      </c>
      <c r="S327" s="497">
        <v>0</v>
      </c>
      <c r="T327" s="497">
        <v>9.1999999999999993</v>
      </c>
    </row>
    <row r="328" spans="16:20" ht="15">
      <c r="P328" s="447"/>
      <c r="Q328" s="497">
        <v>5.49</v>
      </c>
      <c r="R328" s="497">
        <v>1.6</v>
      </c>
      <c r="S328" s="497">
        <v>300</v>
      </c>
      <c r="T328" s="497">
        <v>9.1999999999999993</v>
      </c>
    </row>
    <row r="329" spans="16:20" ht="15">
      <c r="P329" s="447"/>
      <c r="Q329" s="497">
        <v>5.49</v>
      </c>
      <c r="R329" s="497">
        <v>1.6</v>
      </c>
      <c r="S329" s="497">
        <v>300.01</v>
      </c>
      <c r="T329" s="497">
        <v>9</v>
      </c>
    </row>
    <row r="330" spans="16:20" ht="15">
      <c r="P330" s="447"/>
      <c r="Q330" s="497">
        <v>5.49</v>
      </c>
      <c r="R330" s="497">
        <v>1.6</v>
      </c>
      <c r="S330" s="497">
        <v>600</v>
      </c>
      <c r="T330" s="497">
        <v>9</v>
      </c>
    </row>
    <row r="331" spans="16:20" ht="15">
      <c r="P331" s="447"/>
      <c r="Q331" s="497">
        <v>5.49</v>
      </c>
      <c r="R331" s="497">
        <v>1.6</v>
      </c>
      <c r="S331" s="497">
        <v>600.01</v>
      </c>
      <c r="T331" s="497">
        <v>8.9</v>
      </c>
    </row>
    <row r="332" spans="16:20" ht="15">
      <c r="P332" s="447"/>
      <c r="Q332" s="497">
        <v>5.49</v>
      </c>
      <c r="R332" s="497">
        <v>1.6</v>
      </c>
      <c r="S332" s="497">
        <v>10000</v>
      </c>
      <c r="T332" s="497">
        <v>8.9</v>
      </c>
    </row>
    <row r="333" spans="16:20" ht="15">
      <c r="P333" s="447"/>
      <c r="Q333" s="497">
        <v>5.49</v>
      </c>
      <c r="R333" s="497">
        <v>2.4</v>
      </c>
      <c r="S333" s="497">
        <v>0</v>
      </c>
      <c r="T333" s="497">
        <v>10.6</v>
      </c>
    </row>
    <row r="334" spans="16:20" ht="15">
      <c r="P334" s="447"/>
      <c r="Q334" s="497">
        <v>5.49</v>
      </c>
      <c r="R334" s="497">
        <v>2.4</v>
      </c>
      <c r="S334" s="497">
        <v>300</v>
      </c>
      <c r="T334" s="497">
        <v>10.6</v>
      </c>
    </row>
    <row r="335" spans="16:20" ht="15">
      <c r="P335" s="447"/>
      <c r="Q335" s="497">
        <v>5.49</v>
      </c>
      <c r="R335" s="497">
        <v>2.4</v>
      </c>
      <c r="S335" s="497">
        <v>300.01</v>
      </c>
      <c r="T335" s="497">
        <v>10.5</v>
      </c>
    </row>
    <row r="336" spans="16:20" ht="15">
      <c r="P336" s="447"/>
      <c r="Q336" s="497">
        <v>5.49</v>
      </c>
      <c r="R336" s="497">
        <v>2.4</v>
      </c>
      <c r="S336" s="497">
        <v>600</v>
      </c>
      <c r="T336" s="497">
        <v>10.5</v>
      </c>
    </row>
    <row r="337" spans="16:20" ht="15">
      <c r="P337" s="447"/>
      <c r="Q337" s="497">
        <v>5.49</v>
      </c>
      <c r="R337" s="497">
        <v>2.4</v>
      </c>
      <c r="S337" s="497">
        <v>600.01</v>
      </c>
      <c r="T337" s="497">
        <v>10.3</v>
      </c>
    </row>
    <row r="338" spans="16:20" ht="15">
      <c r="P338" s="447"/>
      <c r="Q338" s="497">
        <v>5.49</v>
      </c>
      <c r="R338" s="497">
        <v>2.4</v>
      </c>
      <c r="S338" s="497">
        <v>10000</v>
      </c>
      <c r="T338" s="497">
        <v>10.3</v>
      </c>
    </row>
    <row r="339" spans="16:20" ht="15">
      <c r="P339" s="447"/>
      <c r="Q339" s="497">
        <v>5.49</v>
      </c>
      <c r="R339" s="497">
        <v>3.2</v>
      </c>
      <c r="S339" s="497">
        <v>0</v>
      </c>
      <c r="T339" s="497">
        <v>11.8</v>
      </c>
    </row>
    <row r="340" spans="16:20" ht="15">
      <c r="P340" s="447"/>
      <c r="Q340" s="497">
        <v>5.49</v>
      </c>
      <c r="R340" s="497">
        <v>3.2</v>
      </c>
      <c r="S340" s="497">
        <v>300</v>
      </c>
      <c r="T340" s="497">
        <v>11.8</v>
      </c>
    </row>
    <row r="341" spans="16:20" ht="15">
      <c r="P341" s="447"/>
      <c r="Q341" s="497">
        <v>5.49</v>
      </c>
      <c r="R341" s="497">
        <v>3.2</v>
      </c>
      <c r="S341" s="497">
        <v>300.01</v>
      </c>
      <c r="T341" s="497">
        <v>11.7</v>
      </c>
    </row>
    <row r="342" spans="16:20" ht="15">
      <c r="P342" s="447"/>
      <c r="Q342" s="497">
        <v>5.49</v>
      </c>
      <c r="R342" s="497">
        <v>3.2</v>
      </c>
      <c r="S342" s="497">
        <v>600</v>
      </c>
      <c r="T342" s="497">
        <v>11.7</v>
      </c>
    </row>
    <row r="343" spans="16:20" ht="15">
      <c r="P343" s="447"/>
      <c r="Q343" s="497">
        <v>5.49</v>
      </c>
      <c r="R343" s="497">
        <v>3.2</v>
      </c>
      <c r="S343" s="497">
        <v>600.01</v>
      </c>
      <c r="T343" s="497">
        <v>11.3</v>
      </c>
    </row>
    <row r="344" spans="16:20" ht="15">
      <c r="P344" s="447"/>
      <c r="Q344" s="497">
        <v>5.49</v>
      </c>
      <c r="R344" s="497">
        <v>3.2</v>
      </c>
      <c r="S344" s="497">
        <v>10000</v>
      </c>
      <c r="T344" s="497">
        <v>11.3</v>
      </c>
    </row>
    <row r="345" spans="16:20" ht="15">
      <c r="P345" s="447"/>
      <c r="Q345" s="497">
        <v>5.49</v>
      </c>
      <c r="R345" s="497">
        <v>4.8</v>
      </c>
      <c r="S345" s="497">
        <v>0</v>
      </c>
      <c r="T345" s="497">
        <v>13.7</v>
      </c>
    </row>
    <row r="346" spans="16:20" ht="15">
      <c r="P346" s="447"/>
      <c r="Q346" s="497">
        <v>5.49</v>
      </c>
      <c r="R346" s="497">
        <v>4.8</v>
      </c>
      <c r="S346" s="497">
        <v>300</v>
      </c>
      <c r="T346" s="497">
        <v>13.7</v>
      </c>
    </row>
    <row r="347" spans="16:20" ht="15">
      <c r="P347" s="447"/>
      <c r="Q347" s="497">
        <v>5.49</v>
      </c>
      <c r="R347" s="497">
        <v>4.8</v>
      </c>
      <c r="S347" s="497">
        <v>300.01</v>
      </c>
      <c r="T347" s="497">
        <v>13.5</v>
      </c>
    </row>
    <row r="348" spans="16:20" ht="15">
      <c r="P348" s="447"/>
      <c r="Q348" s="497">
        <v>5.49</v>
      </c>
      <c r="R348" s="497">
        <v>4.8</v>
      </c>
      <c r="S348" s="497">
        <v>600</v>
      </c>
      <c r="T348" s="497">
        <v>13.5</v>
      </c>
    </row>
    <row r="349" spans="16:20" ht="15">
      <c r="P349" s="447"/>
      <c r="Q349" s="497">
        <v>5.49</v>
      </c>
      <c r="R349" s="497">
        <v>4.8</v>
      </c>
      <c r="S349" s="497">
        <v>600.01</v>
      </c>
      <c r="T349" s="497">
        <v>12.4</v>
      </c>
    </row>
    <row r="350" spans="16:20" ht="15">
      <c r="P350" s="447"/>
      <c r="Q350" s="497">
        <v>5.49</v>
      </c>
      <c r="R350" s="497">
        <v>4.8</v>
      </c>
      <c r="S350" s="497">
        <v>10000</v>
      </c>
      <c r="T350" s="497">
        <v>12.4</v>
      </c>
    </row>
    <row r="351" spans="16:20" ht="15">
      <c r="P351" s="447"/>
      <c r="Q351" s="497">
        <v>5.49</v>
      </c>
      <c r="R351" s="497">
        <v>6.4</v>
      </c>
      <c r="S351" s="497">
        <v>0</v>
      </c>
      <c r="T351" s="497">
        <v>15.3</v>
      </c>
    </row>
    <row r="352" spans="16:20" ht="15">
      <c r="P352" s="447"/>
      <c r="Q352" s="497">
        <v>5.49</v>
      </c>
      <c r="R352" s="497">
        <v>6.4</v>
      </c>
      <c r="S352" s="497">
        <v>300</v>
      </c>
      <c r="T352" s="497">
        <v>15.3</v>
      </c>
    </row>
    <row r="353" spans="16:20" ht="15">
      <c r="P353" s="447"/>
      <c r="Q353" s="497">
        <v>5.49</v>
      </c>
      <c r="R353" s="497">
        <v>6.4</v>
      </c>
      <c r="S353" s="497">
        <v>300.01</v>
      </c>
      <c r="T353" s="497">
        <v>15</v>
      </c>
    </row>
    <row r="354" spans="16:20" ht="15">
      <c r="P354" s="447"/>
      <c r="Q354" s="497">
        <v>5.49</v>
      </c>
      <c r="R354" s="497">
        <v>6.4</v>
      </c>
      <c r="S354" s="497">
        <v>600</v>
      </c>
      <c r="T354" s="497">
        <v>15</v>
      </c>
    </row>
    <row r="355" spans="16:20" ht="15">
      <c r="P355" s="447"/>
      <c r="Q355" s="497">
        <v>5.49</v>
      </c>
      <c r="R355" s="497">
        <v>6.4</v>
      </c>
      <c r="S355" s="497">
        <v>600.01</v>
      </c>
      <c r="T355" s="497">
        <v>12.5</v>
      </c>
    </row>
    <row r="356" spans="16:20" ht="15">
      <c r="P356" s="447"/>
      <c r="Q356" s="497">
        <v>5.49</v>
      </c>
      <c r="R356" s="497">
        <v>6.4</v>
      </c>
      <c r="S356" s="497">
        <v>10000</v>
      </c>
      <c r="T356" s="497">
        <v>12.5</v>
      </c>
    </row>
    <row r="357" spans="16:20" ht="15">
      <c r="P357" s="447"/>
      <c r="Q357" s="497">
        <v>5.49</v>
      </c>
      <c r="R357" s="497">
        <v>100</v>
      </c>
      <c r="S357" s="497">
        <v>0</v>
      </c>
      <c r="T357" s="497">
        <v>15.3</v>
      </c>
    </row>
    <row r="358" spans="16:20" ht="15">
      <c r="P358" s="447"/>
      <c r="Q358" s="497">
        <v>5.49</v>
      </c>
      <c r="R358" s="497">
        <v>100</v>
      </c>
      <c r="S358" s="497">
        <v>300</v>
      </c>
      <c r="T358" s="497">
        <v>15.3</v>
      </c>
    </row>
    <row r="359" spans="16:20" ht="15">
      <c r="P359" s="447"/>
      <c r="Q359" s="497">
        <v>5.49</v>
      </c>
      <c r="R359" s="497">
        <v>100</v>
      </c>
      <c r="S359" s="497">
        <v>300.01</v>
      </c>
      <c r="T359" s="497">
        <v>15</v>
      </c>
    </row>
    <row r="360" spans="16:20" ht="15">
      <c r="P360" s="447"/>
      <c r="Q360" s="497">
        <v>5.49</v>
      </c>
      <c r="R360" s="497">
        <v>100</v>
      </c>
      <c r="S360" s="497">
        <v>600</v>
      </c>
      <c r="T360" s="497">
        <v>15</v>
      </c>
    </row>
    <row r="361" spans="16:20" ht="15">
      <c r="P361" s="447"/>
      <c r="Q361" s="497">
        <v>5.49</v>
      </c>
      <c r="R361" s="497">
        <v>100</v>
      </c>
      <c r="S361" s="497">
        <v>600.01</v>
      </c>
      <c r="T361" s="497">
        <v>12.5</v>
      </c>
    </row>
    <row r="362" spans="16:20" ht="15">
      <c r="P362" s="447"/>
      <c r="Q362" s="497">
        <v>5.49</v>
      </c>
      <c r="R362" s="497">
        <v>100</v>
      </c>
      <c r="S362" s="497">
        <v>10000</v>
      </c>
      <c r="T362" s="497">
        <v>12.5</v>
      </c>
    </row>
    <row r="363" spans="16:20" ht="15">
      <c r="P363" s="447"/>
      <c r="Q363" s="497">
        <v>5.5</v>
      </c>
      <c r="R363" s="497">
        <v>0</v>
      </c>
      <c r="S363" s="497">
        <v>0</v>
      </c>
      <c r="T363" s="497">
        <v>4.7</v>
      </c>
    </row>
    <row r="364" spans="16:20" ht="15">
      <c r="P364" s="447"/>
      <c r="Q364" s="497">
        <v>5.5</v>
      </c>
      <c r="R364" s="497">
        <v>0</v>
      </c>
      <c r="S364" s="497">
        <v>300</v>
      </c>
      <c r="T364" s="497">
        <v>4.7</v>
      </c>
    </row>
    <row r="365" spans="16:20" ht="15">
      <c r="P365" s="447"/>
      <c r="Q365" s="497">
        <v>5.5</v>
      </c>
      <c r="R365" s="497">
        <v>0</v>
      </c>
      <c r="S365" s="497">
        <v>300.01</v>
      </c>
      <c r="T365" s="497">
        <v>4.0999999999999996</v>
      </c>
    </row>
    <row r="366" spans="16:20" ht="15">
      <c r="P366" s="447"/>
      <c r="Q366" s="497">
        <v>5.5</v>
      </c>
      <c r="R366" s="497">
        <v>0</v>
      </c>
      <c r="S366" s="497">
        <v>600</v>
      </c>
      <c r="T366" s="497">
        <v>4.0999999999999996</v>
      </c>
    </row>
    <row r="367" spans="16:20" ht="15">
      <c r="P367" s="447"/>
      <c r="Q367" s="497">
        <v>5.5</v>
      </c>
      <c r="R367" s="497">
        <v>0</v>
      </c>
      <c r="S367" s="497">
        <v>600.01</v>
      </c>
      <c r="T367" s="497">
        <v>3.5</v>
      </c>
    </row>
    <row r="368" spans="16:20" ht="15">
      <c r="P368" s="447"/>
      <c r="Q368" s="497">
        <v>5.5</v>
      </c>
      <c r="R368" s="497">
        <v>0</v>
      </c>
      <c r="S368" s="497">
        <v>10000</v>
      </c>
      <c r="T368" s="497">
        <v>3.5</v>
      </c>
    </row>
    <row r="369" spans="16:20" ht="15">
      <c r="P369" s="447"/>
      <c r="Q369" s="497">
        <v>5.5</v>
      </c>
      <c r="R369" s="497">
        <v>0.4</v>
      </c>
      <c r="S369" s="497">
        <v>0</v>
      </c>
      <c r="T369" s="497">
        <v>4.7</v>
      </c>
    </row>
    <row r="370" spans="16:20" ht="15">
      <c r="P370" s="447"/>
      <c r="Q370" s="497">
        <v>5.5</v>
      </c>
      <c r="R370" s="497">
        <v>0.4</v>
      </c>
      <c r="S370" s="497">
        <v>300</v>
      </c>
      <c r="T370" s="497">
        <v>4.7</v>
      </c>
    </row>
    <row r="371" spans="16:20" ht="15">
      <c r="P371" s="447"/>
      <c r="Q371" s="497">
        <v>5.5</v>
      </c>
      <c r="R371" s="497">
        <v>0.4</v>
      </c>
      <c r="S371" s="497">
        <v>300.01</v>
      </c>
      <c r="T371" s="497">
        <v>4.0999999999999996</v>
      </c>
    </row>
    <row r="372" spans="16:20" ht="15">
      <c r="P372" s="447"/>
      <c r="Q372" s="497">
        <v>5.5</v>
      </c>
      <c r="R372" s="497">
        <v>0.4</v>
      </c>
      <c r="S372" s="497">
        <v>600</v>
      </c>
      <c r="T372" s="497">
        <v>4.0999999999999996</v>
      </c>
    </row>
    <row r="373" spans="16:20" ht="15">
      <c r="P373" s="447"/>
      <c r="Q373" s="497">
        <v>5.5</v>
      </c>
      <c r="R373" s="497">
        <v>0.4</v>
      </c>
      <c r="S373" s="497">
        <v>600.01</v>
      </c>
      <c r="T373" s="497">
        <v>3.5</v>
      </c>
    </row>
    <row r="374" spans="16:20" ht="15">
      <c r="P374" s="447"/>
      <c r="Q374" s="497">
        <v>5.5</v>
      </c>
      <c r="R374" s="497">
        <v>0.4</v>
      </c>
      <c r="S374" s="497">
        <v>10000</v>
      </c>
      <c r="T374" s="497">
        <v>3.5</v>
      </c>
    </row>
    <row r="375" spans="16:20" ht="15">
      <c r="P375" s="447"/>
      <c r="Q375" s="497">
        <v>5.5</v>
      </c>
      <c r="R375" s="497">
        <v>0.8</v>
      </c>
      <c r="S375" s="497">
        <v>0</v>
      </c>
      <c r="T375" s="497">
        <v>7.2</v>
      </c>
    </row>
    <row r="376" spans="16:20" ht="15">
      <c r="P376" s="447"/>
      <c r="Q376" s="497">
        <v>5.5</v>
      </c>
      <c r="R376" s="497">
        <v>0.8</v>
      </c>
      <c r="S376" s="497">
        <v>300</v>
      </c>
      <c r="T376" s="497">
        <v>7.2</v>
      </c>
    </row>
    <row r="377" spans="16:20" ht="15">
      <c r="P377" s="447"/>
      <c r="Q377" s="497">
        <v>5.5</v>
      </c>
      <c r="R377" s="497">
        <v>0.8</v>
      </c>
      <c r="S377" s="497">
        <v>300.01</v>
      </c>
      <c r="T377" s="497">
        <v>7.2</v>
      </c>
    </row>
    <row r="378" spans="16:20" ht="15">
      <c r="P378" s="447"/>
      <c r="Q378" s="497">
        <v>5.5</v>
      </c>
      <c r="R378" s="497">
        <v>0.8</v>
      </c>
      <c r="S378" s="497">
        <v>600</v>
      </c>
      <c r="T378" s="497">
        <v>7.2</v>
      </c>
    </row>
    <row r="379" spans="16:20" ht="15">
      <c r="P379" s="447"/>
      <c r="Q379" s="497">
        <v>5.5</v>
      </c>
      <c r="R379" s="497">
        <v>0.8</v>
      </c>
      <c r="S379" s="497">
        <v>600.01</v>
      </c>
      <c r="T379" s="497">
        <v>7.2</v>
      </c>
    </row>
    <row r="380" spans="16:20" ht="15">
      <c r="P380" s="447"/>
      <c r="Q380" s="497">
        <v>5.5</v>
      </c>
      <c r="R380" s="497">
        <v>0.8</v>
      </c>
      <c r="S380" s="497">
        <v>10000</v>
      </c>
      <c r="T380" s="497">
        <v>7.2</v>
      </c>
    </row>
    <row r="381" spans="16:20" ht="15">
      <c r="P381" s="447"/>
      <c r="Q381" s="497">
        <v>5.5</v>
      </c>
      <c r="R381" s="497">
        <v>1.2</v>
      </c>
      <c r="S381" s="497">
        <v>0</v>
      </c>
      <c r="T381" s="497">
        <v>9.1</v>
      </c>
    </row>
    <row r="382" spans="16:20" ht="15">
      <c r="P382" s="447"/>
      <c r="Q382" s="497">
        <v>5.5</v>
      </c>
      <c r="R382" s="497">
        <v>1.2</v>
      </c>
      <c r="S382" s="497">
        <v>300</v>
      </c>
      <c r="T382" s="497">
        <v>9.1</v>
      </c>
    </row>
    <row r="383" spans="16:20" ht="15">
      <c r="P383" s="447"/>
      <c r="Q383" s="497">
        <v>5.5</v>
      </c>
      <c r="R383" s="497">
        <v>1.2</v>
      </c>
      <c r="S383" s="497">
        <v>300.01</v>
      </c>
      <c r="T383" s="497">
        <v>9.1</v>
      </c>
    </row>
    <row r="384" spans="16:20" ht="15">
      <c r="P384" s="447"/>
      <c r="Q384" s="497">
        <v>5.5</v>
      </c>
      <c r="R384" s="497">
        <v>1.2</v>
      </c>
      <c r="S384" s="497">
        <v>600</v>
      </c>
      <c r="T384" s="497">
        <v>9.1</v>
      </c>
    </row>
    <row r="385" spans="16:20" ht="15">
      <c r="P385" s="447"/>
      <c r="Q385" s="497">
        <v>5.5</v>
      </c>
      <c r="R385" s="497">
        <v>1.2</v>
      </c>
      <c r="S385" s="497">
        <v>600.01</v>
      </c>
      <c r="T385" s="497">
        <v>9.1</v>
      </c>
    </row>
    <row r="386" spans="16:20" ht="15">
      <c r="P386" s="447"/>
      <c r="Q386" s="497">
        <v>5.5</v>
      </c>
      <c r="R386" s="497">
        <v>1.2</v>
      </c>
      <c r="S386" s="497">
        <v>10000</v>
      </c>
      <c r="T386" s="497">
        <v>9.1</v>
      </c>
    </row>
    <row r="387" spans="16:20" ht="15">
      <c r="P387" s="447"/>
      <c r="Q387" s="497">
        <v>5.5</v>
      </c>
      <c r="R387" s="497">
        <v>1.6</v>
      </c>
      <c r="S387" s="497">
        <v>0</v>
      </c>
      <c r="T387" s="497">
        <v>10.3</v>
      </c>
    </row>
    <row r="388" spans="16:20" ht="15">
      <c r="P388" s="447"/>
      <c r="Q388" s="497">
        <v>5.5</v>
      </c>
      <c r="R388" s="497">
        <v>1.6</v>
      </c>
      <c r="S388" s="497">
        <v>300</v>
      </c>
      <c r="T388" s="497">
        <v>10.3</v>
      </c>
    </row>
    <row r="389" spans="16:20" ht="15">
      <c r="P389" s="447"/>
      <c r="Q389" s="497">
        <v>5.5</v>
      </c>
      <c r="R389" s="497">
        <v>1.6</v>
      </c>
      <c r="S389" s="497">
        <v>300.01</v>
      </c>
      <c r="T389" s="497">
        <v>10.3</v>
      </c>
    </row>
    <row r="390" spans="16:20" ht="15">
      <c r="P390" s="447"/>
      <c r="Q390" s="497">
        <v>5.5</v>
      </c>
      <c r="R390" s="497">
        <v>1.6</v>
      </c>
      <c r="S390" s="497">
        <v>600</v>
      </c>
      <c r="T390" s="497">
        <v>10.3</v>
      </c>
    </row>
    <row r="391" spans="16:20" ht="15">
      <c r="P391" s="447"/>
      <c r="Q391" s="497">
        <v>5.5</v>
      </c>
      <c r="R391" s="497">
        <v>1.6</v>
      </c>
      <c r="S391" s="497">
        <v>600.01</v>
      </c>
      <c r="T391" s="497">
        <v>10.199999999999999</v>
      </c>
    </row>
    <row r="392" spans="16:20" ht="15">
      <c r="P392" s="447"/>
      <c r="Q392" s="497">
        <v>5.5</v>
      </c>
      <c r="R392" s="497">
        <v>1.6</v>
      </c>
      <c r="S392" s="497">
        <v>10000</v>
      </c>
      <c r="T392" s="497">
        <v>10.199999999999999</v>
      </c>
    </row>
    <row r="393" spans="16:20" ht="15">
      <c r="P393" s="447"/>
      <c r="Q393" s="497">
        <v>5.5</v>
      </c>
      <c r="R393" s="497">
        <v>2.4</v>
      </c>
      <c r="S393" s="497">
        <v>0</v>
      </c>
      <c r="T393" s="497">
        <v>11.9</v>
      </c>
    </row>
    <row r="394" spans="16:20" ht="15">
      <c r="P394" s="447"/>
      <c r="Q394" s="497">
        <v>5.5</v>
      </c>
      <c r="R394" s="497">
        <v>2.4</v>
      </c>
      <c r="S394" s="497">
        <v>300</v>
      </c>
      <c r="T394" s="497">
        <v>11.9</v>
      </c>
    </row>
    <row r="395" spans="16:20" ht="15">
      <c r="P395" s="447"/>
      <c r="Q395" s="497">
        <v>5.5</v>
      </c>
      <c r="R395" s="497">
        <v>2.4</v>
      </c>
      <c r="S395" s="497">
        <v>300.01</v>
      </c>
      <c r="T395" s="497">
        <v>11.8</v>
      </c>
    </row>
    <row r="396" spans="16:20" ht="15">
      <c r="P396" s="447"/>
      <c r="Q396" s="497">
        <v>5.5</v>
      </c>
      <c r="R396" s="497">
        <v>2.4</v>
      </c>
      <c r="S396" s="497">
        <v>600</v>
      </c>
      <c r="T396" s="497">
        <v>11.8</v>
      </c>
    </row>
    <row r="397" spans="16:20" ht="15">
      <c r="P397" s="447"/>
      <c r="Q397" s="497">
        <v>5.5</v>
      </c>
      <c r="R397" s="497">
        <v>2.4</v>
      </c>
      <c r="S397" s="497">
        <v>600.01</v>
      </c>
      <c r="T397" s="497">
        <v>11.7</v>
      </c>
    </row>
    <row r="398" spans="16:20" ht="15">
      <c r="P398" s="447"/>
      <c r="Q398" s="497">
        <v>5.5</v>
      </c>
      <c r="R398" s="497">
        <v>2.4</v>
      </c>
      <c r="S398" s="497">
        <v>10000</v>
      </c>
      <c r="T398" s="497">
        <v>11.7</v>
      </c>
    </row>
    <row r="399" spans="16:20" ht="15">
      <c r="P399" s="447"/>
      <c r="Q399" s="497">
        <v>5.5</v>
      </c>
      <c r="R399" s="497">
        <v>3.2</v>
      </c>
      <c r="S399" s="497">
        <v>0</v>
      </c>
      <c r="T399" s="497">
        <v>12.8</v>
      </c>
    </row>
    <row r="400" spans="16:20" ht="15">
      <c r="P400" s="447"/>
      <c r="Q400" s="497">
        <v>5.5</v>
      </c>
      <c r="R400" s="497">
        <v>3.2</v>
      </c>
      <c r="S400" s="497">
        <v>300</v>
      </c>
      <c r="T400" s="497">
        <v>12.8</v>
      </c>
    </row>
    <row r="401" spans="16:20" ht="15">
      <c r="P401" s="447"/>
      <c r="Q401" s="497">
        <v>5.5</v>
      </c>
      <c r="R401" s="497">
        <v>3.2</v>
      </c>
      <c r="S401" s="497">
        <v>300.01</v>
      </c>
      <c r="T401" s="497">
        <v>12.7</v>
      </c>
    </row>
    <row r="402" spans="16:20" ht="15">
      <c r="P402" s="447"/>
      <c r="Q402" s="497">
        <v>5.5</v>
      </c>
      <c r="R402" s="497">
        <v>3.2</v>
      </c>
      <c r="S402" s="497">
        <v>600</v>
      </c>
      <c r="T402" s="497">
        <v>12.7</v>
      </c>
    </row>
    <row r="403" spans="16:20" ht="15">
      <c r="P403" s="447"/>
      <c r="Q403" s="497">
        <v>5.5</v>
      </c>
      <c r="R403" s="497">
        <v>3.2</v>
      </c>
      <c r="S403" s="497">
        <v>600.01</v>
      </c>
      <c r="T403" s="497">
        <v>12.6</v>
      </c>
    </row>
    <row r="404" spans="16:20" ht="15">
      <c r="P404" s="447"/>
      <c r="Q404" s="497">
        <v>5.5</v>
      </c>
      <c r="R404" s="497">
        <v>3.2</v>
      </c>
      <c r="S404" s="497">
        <v>10000</v>
      </c>
      <c r="T404" s="497">
        <v>12.6</v>
      </c>
    </row>
    <row r="405" spans="16:20" ht="15">
      <c r="P405" s="447"/>
      <c r="Q405" s="497">
        <v>5.5</v>
      </c>
      <c r="R405" s="497">
        <v>4.8</v>
      </c>
      <c r="S405" s="497">
        <v>0</v>
      </c>
      <c r="T405" s="497">
        <v>14.4</v>
      </c>
    </row>
    <row r="406" spans="16:20" ht="15">
      <c r="P406" s="447"/>
      <c r="Q406" s="497">
        <v>5.5</v>
      </c>
      <c r="R406" s="497">
        <v>4.8</v>
      </c>
      <c r="S406" s="497">
        <v>300</v>
      </c>
      <c r="T406" s="497">
        <v>14.4</v>
      </c>
    </row>
    <row r="407" spans="16:20" ht="15">
      <c r="P407" s="447"/>
      <c r="Q407" s="497">
        <v>5.5</v>
      </c>
      <c r="R407" s="497">
        <v>4.8</v>
      </c>
      <c r="S407" s="497">
        <v>300.01</v>
      </c>
      <c r="T407" s="497">
        <v>14.3</v>
      </c>
    </row>
    <row r="408" spans="16:20" ht="15">
      <c r="P408" s="447"/>
      <c r="Q408" s="497">
        <v>5.5</v>
      </c>
      <c r="R408" s="497">
        <v>4.8</v>
      </c>
      <c r="S408" s="497">
        <v>600</v>
      </c>
      <c r="T408" s="497">
        <v>14.3</v>
      </c>
    </row>
    <row r="409" spans="16:20" ht="15">
      <c r="P409" s="447"/>
      <c r="Q409" s="497">
        <v>5.5</v>
      </c>
      <c r="R409" s="497">
        <v>4.8</v>
      </c>
      <c r="S409" s="497">
        <v>600.01</v>
      </c>
      <c r="T409" s="497">
        <v>14.2</v>
      </c>
    </row>
    <row r="410" spans="16:20" ht="15">
      <c r="P410" s="447"/>
      <c r="Q410" s="497">
        <v>5.5</v>
      </c>
      <c r="R410" s="497">
        <v>4.8</v>
      </c>
      <c r="S410" s="497">
        <v>10000</v>
      </c>
      <c r="T410" s="497">
        <v>14.2</v>
      </c>
    </row>
    <row r="411" spans="16:20" ht="15">
      <c r="P411" s="447"/>
      <c r="Q411" s="497">
        <v>5.5</v>
      </c>
      <c r="R411" s="497">
        <v>6.4</v>
      </c>
      <c r="S411" s="497">
        <v>0</v>
      </c>
      <c r="T411" s="497">
        <v>15.4</v>
      </c>
    </row>
    <row r="412" spans="16:20" ht="15">
      <c r="P412" s="447"/>
      <c r="Q412" s="497">
        <v>5.5</v>
      </c>
      <c r="R412" s="497">
        <v>6.4</v>
      </c>
      <c r="S412" s="497">
        <v>300</v>
      </c>
      <c r="T412" s="497">
        <v>15.4</v>
      </c>
    </row>
    <row r="413" spans="16:20" ht="15">
      <c r="P413" s="447"/>
      <c r="Q413" s="497">
        <v>5.5</v>
      </c>
      <c r="R413" s="497">
        <v>6.4</v>
      </c>
      <c r="S413" s="497">
        <v>300.01</v>
      </c>
      <c r="T413" s="497">
        <v>15.2</v>
      </c>
    </row>
    <row r="414" spans="16:20" ht="15">
      <c r="P414" s="447"/>
      <c r="Q414" s="497">
        <v>5.5</v>
      </c>
      <c r="R414" s="497">
        <v>6.4</v>
      </c>
      <c r="S414" s="497">
        <v>600</v>
      </c>
      <c r="T414" s="497">
        <v>15.2</v>
      </c>
    </row>
    <row r="415" spans="16:20" ht="15">
      <c r="P415" s="447"/>
      <c r="Q415" s="497">
        <v>5.5</v>
      </c>
      <c r="R415" s="497">
        <v>6.4</v>
      </c>
      <c r="S415" s="497">
        <v>600.01</v>
      </c>
      <c r="T415" s="497">
        <v>15</v>
      </c>
    </row>
    <row r="416" spans="16:20" ht="15">
      <c r="P416" s="447"/>
      <c r="Q416" s="497">
        <v>5.5</v>
      </c>
      <c r="R416" s="497">
        <v>6.4</v>
      </c>
      <c r="S416" s="497">
        <v>10000</v>
      </c>
      <c r="T416" s="497">
        <v>15</v>
      </c>
    </row>
    <row r="417" spans="16:20" ht="15">
      <c r="P417" s="447"/>
      <c r="Q417" s="497">
        <v>5.5</v>
      </c>
      <c r="R417" s="497">
        <v>100</v>
      </c>
      <c r="S417" s="497">
        <v>0</v>
      </c>
      <c r="T417" s="497">
        <v>15.4</v>
      </c>
    </row>
    <row r="418" spans="16:20" ht="15">
      <c r="P418" s="447"/>
      <c r="Q418" s="497">
        <v>5.5</v>
      </c>
      <c r="R418" s="497">
        <v>100</v>
      </c>
      <c r="S418" s="497">
        <v>300</v>
      </c>
      <c r="T418" s="497">
        <v>15.4</v>
      </c>
    </row>
    <row r="419" spans="16:20" ht="15">
      <c r="P419" s="447"/>
      <c r="Q419" s="497">
        <v>5.5</v>
      </c>
      <c r="R419" s="497">
        <v>100</v>
      </c>
      <c r="S419" s="497">
        <v>300.01</v>
      </c>
      <c r="T419" s="497">
        <v>15.2</v>
      </c>
    </row>
    <row r="420" spans="16:20" ht="15">
      <c r="P420" s="447"/>
      <c r="Q420" s="497">
        <v>5.5</v>
      </c>
      <c r="R420" s="497">
        <v>100</v>
      </c>
      <c r="S420" s="497">
        <v>600</v>
      </c>
      <c r="T420" s="497">
        <v>15.2</v>
      </c>
    </row>
    <row r="421" spans="16:20" ht="15">
      <c r="P421" s="447"/>
      <c r="Q421" s="497">
        <v>5.5</v>
      </c>
      <c r="R421" s="497">
        <v>100</v>
      </c>
      <c r="S421" s="497">
        <v>600.01</v>
      </c>
      <c r="T421" s="497">
        <v>15</v>
      </c>
    </row>
    <row r="422" spans="16:20" ht="15">
      <c r="P422" s="447"/>
      <c r="Q422" s="497">
        <v>5.5</v>
      </c>
      <c r="R422" s="497">
        <v>100</v>
      </c>
      <c r="S422" s="497">
        <v>10000</v>
      </c>
      <c r="T422" s="497">
        <v>15</v>
      </c>
    </row>
    <row r="423" spans="16:20" ht="15">
      <c r="P423" s="447"/>
      <c r="Q423" s="497">
        <v>6.49</v>
      </c>
      <c r="R423" s="497">
        <v>0</v>
      </c>
      <c r="S423" s="497">
        <v>0</v>
      </c>
      <c r="T423" s="497">
        <v>4.7</v>
      </c>
    </row>
    <row r="424" spans="16:20" ht="15">
      <c r="P424" s="447"/>
      <c r="Q424" s="497">
        <v>6.49</v>
      </c>
      <c r="R424" s="497">
        <v>0</v>
      </c>
      <c r="S424" s="497">
        <v>300</v>
      </c>
      <c r="T424" s="497">
        <v>4.7</v>
      </c>
    </row>
    <row r="425" spans="16:20" ht="15">
      <c r="P425" s="447"/>
      <c r="Q425" s="497">
        <v>6.49</v>
      </c>
      <c r="R425" s="497">
        <v>0</v>
      </c>
      <c r="S425" s="497">
        <v>300.01</v>
      </c>
      <c r="T425" s="497">
        <v>4.0999999999999996</v>
      </c>
    </row>
    <row r="426" spans="16:20" ht="15">
      <c r="P426" s="447"/>
      <c r="Q426" s="497">
        <v>6.49</v>
      </c>
      <c r="R426" s="497">
        <v>0</v>
      </c>
      <c r="S426" s="497">
        <v>600</v>
      </c>
      <c r="T426" s="497">
        <v>4.0999999999999996</v>
      </c>
    </row>
    <row r="427" spans="16:20" ht="15">
      <c r="P427" s="447"/>
      <c r="Q427" s="497">
        <v>6.49</v>
      </c>
      <c r="R427" s="497">
        <v>0</v>
      </c>
      <c r="S427" s="497">
        <v>600.01</v>
      </c>
      <c r="T427" s="497">
        <v>3.5</v>
      </c>
    </row>
    <row r="428" spans="16:20" ht="15">
      <c r="P428" s="447"/>
      <c r="Q428" s="497">
        <v>6.49</v>
      </c>
      <c r="R428" s="497">
        <v>0</v>
      </c>
      <c r="S428" s="497">
        <v>10000</v>
      </c>
      <c r="T428" s="497">
        <v>3.5</v>
      </c>
    </row>
    <row r="429" spans="16:20" ht="15">
      <c r="P429" s="447"/>
      <c r="Q429" s="497">
        <v>6.49</v>
      </c>
      <c r="R429" s="497">
        <v>0.4</v>
      </c>
      <c r="S429" s="497">
        <v>0</v>
      </c>
      <c r="T429" s="497">
        <v>4.7</v>
      </c>
    </row>
    <row r="430" spans="16:20" ht="15">
      <c r="P430" s="447"/>
      <c r="Q430" s="497">
        <v>6.49</v>
      </c>
      <c r="R430" s="497">
        <v>0.4</v>
      </c>
      <c r="S430" s="497">
        <v>300</v>
      </c>
      <c r="T430" s="497">
        <v>4.7</v>
      </c>
    </row>
    <row r="431" spans="16:20" ht="15">
      <c r="P431" s="447"/>
      <c r="Q431" s="497">
        <v>6.49</v>
      </c>
      <c r="R431" s="497">
        <v>0.4</v>
      </c>
      <c r="S431" s="497">
        <v>300.01</v>
      </c>
      <c r="T431" s="497">
        <v>4.0999999999999996</v>
      </c>
    </row>
    <row r="432" spans="16:20" ht="15">
      <c r="P432" s="447"/>
      <c r="Q432" s="497">
        <v>6.49</v>
      </c>
      <c r="R432" s="497">
        <v>0.4</v>
      </c>
      <c r="S432" s="497">
        <v>600</v>
      </c>
      <c r="T432" s="497">
        <v>4.0999999999999996</v>
      </c>
    </row>
    <row r="433" spans="16:20" ht="15">
      <c r="P433" s="447"/>
      <c r="Q433" s="497">
        <v>6.49</v>
      </c>
      <c r="R433" s="497">
        <v>0.4</v>
      </c>
      <c r="S433" s="497">
        <v>600.01</v>
      </c>
      <c r="T433" s="497">
        <v>3.5</v>
      </c>
    </row>
    <row r="434" spans="16:20" ht="15">
      <c r="P434" s="447"/>
      <c r="Q434" s="497">
        <v>6.49</v>
      </c>
      <c r="R434" s="497">
        <v>0.4</v>
      </c>
      <c r="S434" s="497">
        <v>10000</v>
      </c>
      <c r="T434" s="497">
        <v>3.5</v>
      </c>
    </row>
    <row r="435" spans="16:20" ht="15">
      <c r="P435" s="447"/>
      <c r="Q435" s="497">
        <v>6.49</v>
      </c>
      <c r="R435" s="497">
        <v>0.8</v>
      </c>
      <c r="S435" s="497">
        <v>0</v>
      </c>
      <c r="T435" s="497">
        <v>7.2</v>
      </c>
    </row>
    <row r="436" spans="16:20" ht="15">
      <c r="P436" s="447"/>
      <c r="Q436" s="497">
        <v>6.49</v>
      </c>
      <c r="R436" s="497">
        <v>0.8</v>
      </c>
      <c r="S436" s="497">
        <v>300</v>
      </c>
      <c r="T436" s="497">
        <v>7.2</v>
      </c>
    </row>
    <row r="437" spans="16:20" ht="15">
      <c r="P437" s="447"/>
      <c r="Q437" s="497">
        <v>6.49</v>
      </c>
      <c r="R437" s="497">
        <v>0.8</v>
      </c>
      <c r="S437" s="497">
        <v>300.01</v>
      </c>
      <c r="T437" s="497">
        <v>7.2</v>
      </c>
    </row>
    <row r="438" spans="16:20" ht="15">
      <c r="P438" s="447"/>
      <c r="Q438" s="497">
        <v>6.49</v>
      </c>
      <c r="R438" s="497">
        <v>0.8</v>
      </c>
      <c r="S438" s="497">
        <v>600</v>
      </c>
      <c r="T438" s="497">
        <v>7.2</v>
      </c>
    </row>
    <row r="439" spans="16:20" ht="15">
      <c r="P439" s="447"/>
      <c r="Q439" s="497">
        <v>6.49</v>
      </c>
      <c r="R439" s="497">
        <v>0.8</v>
      </c>
      <c r="S439" s="497">
        <v>600.01</v>
      </c>
      <c r="T439" s="497">
        <v>7.2</v>
      </c>
    </row>
    <row r="440" spans="16:20" ht="15">
      <c r="P440" s="447"/>
      <c r="Q440" s="497">
        <v>6.49</v>
      </c>
      <c r="R440" s="497">
        <v>0.8</v>
      </c>
      <c r="S440" s="497">
        <v>10000</v>
      </c>
      <c r="T440" s="497">
        <v>7.2</v>
      </c>
    </row>
    <row r="441" spans="16:20" ht="15">
      <c r="P441" s="447"/>
      <c r="Q441" s="497">
        <v>6.49</v>
      </c>
      <c r="R441" s="497">
        <v>1.2</v>
      </c>
      <c r="S441" s="497">
        <v>0</v>
      </c>
      <c r="T441" s="497">
        <v>9.1</v>
      </c>
    </row>
    <row r="442" spans="16:20" ht="15">
      <c r="P442" s="447"/>
      <c r="Q442" s="497">
        <v>6.49</v>
      </c>
      <c r="R442" s="497">
        <v>1.2</v>
      </c>
      <c r="S442" s="497">
        <v>300</v>
      </c>
      <c r="T442" s="497">
        <v>9.1</v>
      </c>
    </row>
    <row r="443" spans="16:20" ht="15">
      <c r="P443" s="447"/>
      <c r="Q443" s="497">
        <v>6.49</v>
      </c>
      <c r="R443" s="497">
        <v>1.2</v>
      </c>
      <c r="S443" s="497">
        <v>300.01</v>
      </c>
      <c r="T443" s="497">
        <v>9.1</v>
      </c>
    </row>
    <row r="444" spans="16:20" ht="15">
      <c r="P444" s="447"/>
      <c r="Q444" s="497">
        <v>6.49</v>
      </c>
      <c r="R444" s="497">
        <v>1.2</v>
      </c>
      <c r="S444" s="497">
        <v>600</v>
      </c>
      <c r="T444" s="497">
        <v>9.1</v>
      </c>
    </row>
    <row r="445" spans="16:20" ht="15">
      <c r="P445" s="447"/>
      <c r="Q445" s="497">
        <v>6.49</v>
      </c>
      <c r="R445" s="497">
        <v>1.2</v>
      </c>
      <c r="S445" s="497">
        <v>600.01</v>
      </c>
      <c r="T445" s="497">
        <v>9.1</v>
      </c>
    </row>
    <row r="446" spans="16:20" ht="15">
      <c r="P446" s="447"/>
      <c r="Q446" s="497">
        <v>6.49</v>
      </c>
      <c r="R446" s="497">
        <v>1.2</v>
      </c>
      <c r="S446" s="497">
        <v>10000</v>
      </c>
      <c r="T446" s="497">
        <v>9.1</v>
      </c>
    </row>
    <row r="447" spans="16:20" ht="15">
      <c r="P447" s="447"/>
      <c r="Q447" s="497">
        <v>6.49</v>
      </c>
      <c r="R447" s="497">
        <v>1.6</v>
      </c>
      <c r="S447" s="497">
        <v>0</v>
      </c>
      <c r="T447" s="497">
        <v>10.3</v>
      </c>
    </row>
    <row r="448" spans="16:20" ht="15">
      <c r="P448" s="447"/>
      <c r="Q448" s="497">
        <v>6.49</v>
      </c>
      <c r="R448" s="497">
        <v>1.6</v>
      </c>
      <c r="S448" s="497">
        <v>300</v>
      </c>
      <c r="T448" s="497">
        <v>10.3</v>
      </c>
    </row>
    <row r="449" spans="16:20" ht="15">
      <c r="P449" s="447"/>
      <c r="Q449" s="497">
        <v>6.49</v>
      </c>
      <c r="R449" s="497">
        <v>1.6</v>
      </c>
      <c r="S449" s="497">
        <v>300.01</v>
      </c>
      <c r="T449" s="497">
        <v>10.3</v>
      </c>
    </row>
    <row r="450" spans="16:20" ht="15">
      <c r="P450" s="447"/>
      <c r="Q450" s="497">
        <v>6.49</v>
      </c>
      <c r="R450" s="497">
        <v>1.6</v>
      </c>
      <c r="S450" s="497">
        <v>600</v>
      </c>
      <c r="T450" s="497">
        <v>10.3</v>
      </c>
    </row>
    <row r="451" spans="16:20" ht="15">
      <c r="P451" s="447"/>
      <c r="Q451" s="497">
        <v>6.49</v>
      </c>
      <c r="R451" s="497">
        <v>1.6</v>
      </c>
      <c r="S451" s="497">
        <v>600.01</v>
      </c>
      <c r="T451" s="497">
        <v>10.199999999999999</v>
      </c>
    </row>
    <row r="452" spans="16:20" ht="15">
      <c r="P452" s="447"/>
      <c r="Q452" s="497">
        <v>6.49</v>
      </c>
      <c r="R452" s="497">
        <v>1.6</v>
      </c>
      <c r="S452" s="497">
        <v>10000</v>
      </c>
      <c r="T452" s="497">
        <v>10.199999999999999</v>
      </c>
    </row>
    <row r="453" spans="16:20" ht="15">
      <c r="P453" s="447"/>
      <c r="Q453" s="497">
        <v>6.49</v>
      </c>
      <c r="R453" s="497">
        <v>2.4</v>
      </c>
      <c r="S453" s="497">
        <v>0</v>
      </c>
      <c r="T453" s="497">
        <v>11.9</v>
      </c>
    </row>
    <row r="454" spans="16:20" ht="15">
      <c r="P454" s="447"/>
      <c r="Q454" s="497">
        <v>6.49</v>
      </c>
      <c r="R454" s="497">
        <v>2.4</v>
      </c>
      <c r="S454" s="497">
        <v>300</v>
      </c>
      <c r="T454" s="497">
        <v>11.9</v>
      </c>
    </row>
    <row r="455" spans="16:20" ht="15">
      <c r="P455" s="447"/>
      <c r="Q455" s="497">
        <v>6.49</v>
      </c>
      <c r="R455" s="497">
        <v>2.4</v>
      </c>
      <c r="S455" s="497">
        <v>300.01</v>
      </c>
      <c r="T455" s="497">
        <v>11.8</v>
      </c>
    </row>
    <row r="456" spans="16:20" ht="15">
      <c r="P456" s="447"/>
      <c r="Q456" s="497">
        <v>6.49</v>
      </c>
      <c r="R456" s="497">
        <v>2.4</v>
      </c>
      <c r="S456" s="497">
        <v>600</v>
      </c>
      <c r="T456" s="497">
        <v>11.8</v>
      </c>
    </row>
    <row r="457" spans="16:20" ht="15">
      <c r="P457" s="447"/>
      <c r="Q457" s="497">
        <v>6.49</v>
      </c>
      <c r="R457" s="497">
        <v>2.4</v>
      </c>
      <c r="S457" s="497">
        <v>600.01</v>
      </c>
      <c r="T457" s="497">
        <v>11.7</v>
      </c>
    </row>
    <row r="458" spans="16:20" ht="15">
      <c r="P458" s="447"/>
      <c r="Q458" s="497">
        <v>6.49</v>
      </c>
      <c r="R458" s="497">
        <v>2.4</v>
      </c>
      <c r="S458" s="497">
        <v>10000</v>
      </c>
      <c r="T458" s="497">
        <v>11.7</v>
      </c>
    </row>
    <row r="459" spans="16:20" ht="15">
      <c r="P459" s="447"/>
      <c r="Q459" s="497">
        <v>6.49</v>
      </c>
      <c r="R459" s="497">
        <v>3.2</v>
      </c>
      <c r="S459" s="497">
        <v>0</v>
      </c>
      <c r="T459" s="497">
        <v>12.8</v>
      </c>
    </row>
    <row r="460" spans="16:20" ht="15">
      <c r="P460" s="447"/>
      <c r="Q460" s="497">
        <v>6.49</v>
      </c>
      <c r="R460" s="497">
        <v>3.2</v>
      </c>
      <c r="S460" s="497">
        <v>300</v>
      </c>
      <c r="T460" s="497">
        <v>12.8</v>
      </c>
    </row>
    <row r="461" spans="16:20" ht="15">
      <c r="P461" s="447"/>
      <c r="Q461" s="497">
        <v>6.49</v>
      </c>
      <c r="R461" s="497">
        <v>3.2</v>
      </c>
      <c r="S461" s="497">
        <v>300.01</v>
      </c>
      <c r="T461" s="497">
        <v>12.7</v>
      </c>
    </row>
    <row r="462" spans="16:20" ht="15">
      <c r="P462" s="447"/>
      <c r="Q462" s="497">
        <v>6.49</v>
      </c>
      <c r="R462" s="497">
        <v>3.2</v>
      </c>
      <c r="S462" s="497">
        <v>600</v>
      </c>
      <c r="T462" s="497">
        <v>12.7</v>
      </c>
    </row>
    <row r="463" spans="16:20" ht="15">
      <c r="P463" s="447"/>
      <c r="Q463" s="497">
        <v>6.49</v>
      </c>
      <c r="R463" s="497">
        <v>3.2</v>
      </c>
      <c r="S463" s="497">
        <v>600.01</v>
      </c>
      <c r="T463" s="497">
        <v>12.6</v>
      </c>
    </row>
    <row r="464" spans="16:20" ht="15">
      <c r="P464" s="447"/>
      <c r="Q464" s="497">
        <v>6.49</v>
      </c>
      <c r="R464" s="497">
        <v>3.2</v>
      </c>
      <c r="S464" s="497">
        <v>10000</v>
      </c>
      <c r="T464" s="497">
        <v>12.6</v>
      </c>
    </row>
    <row r="465" spans="16:20" ht="15">
      <c r="P465" s="447"/>
      <c r="Q465" s="497">
        <v>6.49</v>
      </c>
      <c r="R465" s="497">
        <v>4.8</v>
      </c>
      <c r="S465" s="497">
        <v>0</v>
      </c>
      <c r="T465" s="497">
        <v>14.4</v>
      </c>
    </row>
    <row r="466" spans="16:20" ht="15">
      <c r="P466" s="447"/>
      <c r="Q466" s="497">
        <v>6.49</v>
      </c>
      <c r="R466" s="497">
        <v>4.8</v>
      </c>
      <c r="S466" s="497">
        <v>300</v>
      </c>
      <c r="T466" s="497">
        <v>14.4</v>
      </c>
    </row>
    <row r="467" spans="16:20" ht="15">
      <c r="P467" s="447"/>
      <c r="Q467" s="497">
        <v>6.49</v>
      </c>
      <c r="R467" s="497">
        <v>4.8</v>
      </c>
      <c r="S467" s="497">
        <v>300.01</v>
      </c>
      <c r="T467" s="497">
        <v>14.3</v>
      </c>
    </row>
    <row r="468" spans="16:20" ht="15">
      <c r="P468" s="447"/>
      <c r="Q468" s="497">
        <v>6.49</v>
      </c>
      <c r="R468" s="497">
        <v>4.8</v>
      </c>
      <c r="S468" s="497">
        <v>600</v>
      </c>
      <c r="T468" s="497">
        <v>14.3</v>
      </c>
    </row>
    <row r="469" spans="16:20" ht="15">
      <c r="P469" s="447"/>
      <c r="Q469" s="497">
        <v>6.49</v>
      </c>
      <c r="R469" s="497">
        <v>4.8</v>
      </c>
      <c r="S469" s="497">
        <v>600.01</v>
      </c>
      <c r="T469" s="497">
        <v>14.2</v>
      </c>
    </row>
    <row r="470" spans="16:20" ht="15">
      <c r="P470" s="447"/>
      <c r="Q470" s="497">
        <v>6.49</v>
      </c>
      <c r="R470" s="497">
        <v>4.8</v>
      </c>
      <c r="S470" s="497">
        <v>10000</v>
      </c>
      <c r="T470" s="497">
        <v>14.2</v>
      </c>
    </row>
    <row r="471" spans="16:20" ht="15">
      <c r="P471" s="447"/>
      <c r="Q471" s="497">
        <v>6.49</v>
      </c>
      <c r="R471" s="497">
        <v>6.4</v>
      </c>
      <c r="S471" s="497">
        <v>0</v>
      </c>
      <c r="T471" s="497">
        <v>15.4</v>
      </c>
    </row>
    <row r="472" spans="16:20" ht="15">
      <c r="P472" s="447"/>
      <c r="Q472" s="497">
        <v>6.49</v>
      </c>
      <c r="R472" s="497">
        <v>6.4</v>
      </c>
      <c r="S472" s="497">
        <v>300</v>
      </c>
      <c r="T472" s="497">
        <v>15.4</v>
      </c>
    </row>
    <row r="473" spans="16:20" ht="15">
      <c r="P473" s="447"/>
      <c r="Q473" s="497">
        <v>6.49</v>
      </c>
      <c r="R473" s="497">
        <v>6.4</v>
      </c>
      <c r="S473" s="497">
        <v>300.01</v>
      </c>
      <c r="T473" s="497">
        <v>15.2</v>
      </c>
    </row>
    <row r="474" spans="16:20" ht="15">
      <c r="P474" s="447"/>
      <c r="Q474" s="497">
        <v>6.49</v>
      </c>
      <c r="R474" s="497">
        <v>6.4</v>
      </c>
      <c r="S474" s="497">
        <v>600</v>
      </c>
      <c r="T474" s="497">
        <v>15.2</v>
      </c>
    </row>
    <row r="475" spans="16:20" ht="15">
      <c r="P475" s="447"/>
      <c r="Q475" s="497">
        <v>6.49</v>
      </c>
      <c r="R475" s="497">
        <v>6.4</v>
      </c>
      <c r="S475" s="497">
        <v>600.01</v>
      </c>
      <c r="T475" s="497">
        <v>15</v>
      </c>
    </row>
    <row r="476" spans="16:20" ht="15">
      <c r="P476" s="447"/>
      <c r="Q476" s="497">
        <v>6.49</v>
      </c>
      <c r="R476" s="497">
        <v>6.4</v>
      </c>
      <c r="S476" s="497">
        <v>10000</v>
      </c>
      <c r="T476" s="497">
        <v>15</v>
      </c>
    </row>
    <row r="477" spans="16:20" ht="15">
      <c r="P477" s="447"/>
      <c r="Q477" s="497">
        <v>6.49</v>
      </c>
      <c r="R477" s="497">
        <v>100</v>
      </c>
      <c r="S477" s="497">
        <v>0</v>
      </c>
      <c r="T477" s="497">
        <v>15.4</v>
      </c>
    </row>
    <row r="478" spans="16:20" ht="15">
      <c r="P478" s="447"/>
      <c r="Q478" s="497">
        <v>6.49</v>
      </c>
      <c r="R478" s="497">
        <v>100</v>
      </c>
      <c r="S478" s="497">
        <v>300</v>
      </c>
      <c r="T478" s="497">
        <v>15.4</v>
      </c>
    </row>
    <row r="479" spans="16:20" ht="15">
      <c r="P479" s="447"/>
      <c r="Q479" s="497">
        <v>6.49</v>
      </c>
      <c r="R479" s="497">
        <v>100</v>
      </c>
      <c r="S479" s="497">
        <v>300.01</v>
      </c>
      <c r="T479" s="497">
        <v>15.2</v>
      </c>
    </row>
    <row r="480" spans="16:20" ht="15">
      <c r="P480" s="447"/>
      <c r="Q480" s="497">
        <v>6.49</v>
      </c>
      <c r="R480" s="497">
        <v>100</v>
      </c>
      <c r="S480" s="497">
        <v>600</v>
      </c>
      <c r="T480" s="497">
        <v>15.2</v>
      </c>
    </row>
    <row r="481" spans="16:20" ht="15">
      <c r="P481" s="447"/>
      <c r="Q481" s="497">
        <v>6.49</v>
      </c>
      <c r="R481" s="497">
        <v>100</v>
      </c>
      <c r="S481" s="497">
        <v>600.01</v>
      </c>
      <c r="T481" s="497">
        <v>15</v>
      </c>
    </row>
    <row r="482" spans="16:20" ht="15">
      <c r="P482" s="447"/>
      <c r="Q482" s="497">
        <v>6.49</v>
      </c>
      <c r="R482" s="497">
        <v>100</v>
      </c>
      <c r="S482" s="497">
        <v>10000</v>
      </c>
      <c r="T482" s="497">
        <v>15</v>
      </c>
    </row>
    <row r="483" spans="16:20" ht="15">
      <c r="P483" s="447"/>
      <c r="Q483" s="497">
        <v>6.5</v>
      </c>
      <c r="R483" s="497">
        <v>0</v>
      </c>
      <c r="S483" s="497">
        <v>0</v>
      </c>
      <c r="T483" s="497">
        <v>5.0999999999999996</v>
      </c>
    </row>
    <row r="484" spans="16:20" ht="15">
      <c r="P484" s="447"/>
      <c r="Q484" s="497">
        <v>6.5</v>
      </c>
      <c r="R484" s="497">
        <v>0</v>
      </c>
      <c r="S484" s="497">
        <v>300</v>
      </c>
      <c r="T484" s="497">
        <v>5.0999999999999996</v>
      </c>
    </row>
    <row r="485" spans="16:20" ht="15">
      <c r="P485" s="447"/>
      <c r="Q485" s="497">
        <v>6.5</v>
      </c>
      <c r="R485" s="497">
        <v>0</v>
      </c>
      <c r="S485" s="497">
        <v>300.01</v>
      </c>
      <c r="T485" s="497">
        <v>4.8</v>
      </c>
    </row>
    <row r="486" spans="16:20" ht="15">
      <c r="P486" s="447"/>
      <c r="Q486" s="497">
        <v>6.5</v>
      </c>
      <c r="R486" s="497">
        <v>0</v>
      </c>
      <c r="S486" s="497">
        <v>600</v>
      </c>
      <c r="T486" s="497">
        <v>4.8</v>
      </c>
    </row>
    <row r="487" spans="16:20" ht="15">
      <c r="P487" s="447"/>
      <c r="Q487" s="497">
        <v>6.5</v>
      </c>
      <c r="R487" s="497">
        <v>0</v>
      </c>
      <c r="S487" s="497">
        <v>600.01</v>
      </c>
      <c r="T487" s="497">
        <v>4.5999999999999996</v>
      </c>
    </row>
    <row r="488" spans="16:20" ht="15">
      <c r="P488" s="447"/>
      <c r="Q488" s="497">
        <v>6.5</v>
      </c>
      <c r="R488" s="497">
        <v>0</v>
      </c>
      <c r="S488" s="497">
        <v>10000</v>
      </c>
      <c r="T488" s="497">
        <v>4.5999999999999996</v>
      </c>
    </row>
    <row r="489" spans="16:20" ht="15">
      <c r="P489" s="447"/>
      <c r="Q489" s="497">
        <v>6.5</v>
      </c>
      <c r="R489" s="497">
        <v>0.4</v>
      </c>
      <c r="S489" s="497">
        <v>0</v>
      </c>
      <c r="T489" s="497">
        <v>5.0999999999999996</v>
      </c>
    </row>
    <row r="490" spans="16:20" ht="15">
      <c r="P490" s="447"/>
      <c r="Q490" s="497">
        <v>6.5</v>
      </c>
      <c r="R490" s="497">
        <v>0.4</v>
      </c>
      <c r="S490" s="497">
        <v>300</v>
      </c>
      <c r="T490" s="497">
        <v>5.0999999999999996</v>
      </c>
    </row>
    <row r="491" spans="16:20" ht="15">
      <c r="P491" s="447"/>
      <c r="Q491" s="497">
        <v>6.5</v>
      </c>
      <c r="R491" s="497">
        <v>0.4</v>
      </c>
      <c r="S491" s="497">
        <v>300.01</v>
      </c>
      <c r="T491" s="497">
        <v>4.8</v>
      </c>
    </row>
    <row r="492" spans="16:20" ht="15">
      <c r="P492" s="447"/>
      <c r="Q492" s="497">
        <v>6.5</v>
      </c>
      <c r="R492" s="497">
        <v>0.4</v>
      </c>
      <c r="S492" s="497">
        <v>600</v>
      </c>
      <c r="T492" s="497">
        <v>4.8</v>
      </c>
    </row>
    <row r="493" spans="16:20" ht="15">
      <c r="P493" s="447"/>
      <c r="Q493" s="497">
        <v>6.5</v>
      </c>
      <c r="R493" s="497">
        <v>0.4</v>
      </c>
      <c r="S493" s="497">
        <v>600.01</v>
      </c>
      <c r="T493" s="497">
        <v>4.5999999999999996</v>
      </c>
    </row>
    <row r="494" spans="16:20" ht="15">
      <c r="P494" s="447"/>
      <c r="Q494" s="497">
        <v>6.5</v>
      </c>
      <c r="R494" s="497">
        <v>0.4</v>
      </c>
      <c r="S494" s="497">
        <v>10000</v>
      </c>
      <c r="T494" s="497">
        <v>4.5999999999999996</v>
      </c>
    </row>
    <row r="495" spans="16:20" ht="15">
      <c r="P495" s="447"/>
      <c r="Q495" s="497">
        <v>6.5</v>
      </c>
      <c r="R495" s="497">
        <v>0.8</v>
      </c>
      <c r="S495" s="497">
        <v>0</v>
      </c>
      <c r="T495" s="497">
        <v>7.8</v>
      </c>
    </row>
    <row r="496" spans="16:20" ht="15">
      <c r="P496" s="447"/>
      <c r="Q496" s="497">
        <v>6.5</v>
      </c>
      <c r="R496" s="497">
        <v>0.8</v>
      </c>
      <c r="S496" s="497">
        <v>300</v>
      </c>
      <c r="T496" s="497">
        <v>7.8</v>
      </c>
    </row>
    <row r="497" spans="16:20" ht="15">
      <c r="P497" s="447"/>
      <c r="Q497" s="497">
        <v>6.5</v>
      </c>
      <c r="R497" s="497">
        <v>0.8</v>
      </c>
      <c r="S497" s="497">
        <v>300.01</v>
      </c>
      <c r="T497" s="497">
        <v>7.8</v>
      </c>
    </row>
    <row r="498" spans="16:20" ht="15">
      <c r="P498" s="447"/>
      <c r="Q498" s="497">
        <v>6.5</v>
      </c>
      <c r="R498" s="497">
        <v>0.8</v>
      </c>
      <c r="S498" s="497">
        <v>600</v>
      </c>
      <c r="T498" s="497">
        <v>7.8</v>
      </c>
    </row>
    <row r="499" spans="16:20" ht="15">
      <c r="P499" s="447"/>
      <c r="Q499" s="497">
        <v>6.5</v>
      </c>
      <c r="R499" s="497">
        <v>0.8</v>
      </c>
      <c r="S499" s="497">
        <v>600.01</v>
      </c>
      <c r="T499" s="497">
        <v>7.8</v>
      </c>
    </row>
    <row r="500" spans="16:20" ht="15">
      <c r="P500" s="447"/>
      <c r="Q500" s="497">
        <v>6.5</v>
      </c>
      <c r="R500" s="497">
        <v>0.8</v>
      </c>
      <c r="S500" s="497">
        <v>10000</v>
      </c>
      <c r="T500" s="497">
        <v>7.8</v>
      </c>
    </row>
    <row r="501" spans="16:20" ht="15">
      <c r="P501" s="447"/>
      <c r="Q501" s="497">
        <v>6.5</v>
      </c>
      <c r="R501" s="497">
        <v>1.2</v>
      </c>
      <c r="S501" s="497">
        <v>0</v>
      </c>
      <c r="T501" s="497">
        <v>9.8000000000000007</v>
      </c>
    </row>
    <row r="502" spans="16:20" ht="15">
      <c r="P502" s="447"/>
      <c r="Q502" s="497">
        <v>6.5</v>
      </c>
      <c r="R502" s="497">
        <v>1.2</v>
      </c>
      <c r="S502" s="497">
        <v>300</v>
      </c>
      <c r="T502" s="497">
        <v>9.8000000000000007</v>
      </c>
    </row>
    <row r="503" spans="16:20" ht="15">
      <c r="P503" s="447"/>
      <c r="Q503" s="497">
        <v>6.5</v>
      </c>
      <c r="R503" s="497">
        <v>1.2</v>
      </c>
      <c r="S503" s="497">
        <v>300.01</v>
      </c>
      <c r="T503" s="497">
        <v>9.8000000000000007</v>
      </c>
    </row>
    <row r="504" spans="16:20" ht="15">
      <c r="P504" s="447"/>
      <c r="Q504" s="497">
        <v>6.5</v>
      </c>
      <c r="R504" s="497">
        <v>1.2</v>
      </c>
      <c r="S504" s="497">
        <v>600</v>
      </c>
      <c r="T504" s="497">
        <v>9.8000000000000007</v>
      </c>
    </row>
    <row r="505" spans="16:20" ht="15">
      <c r="P505" s="447"/>
      <c r="Q505" s="497">
        <v>6.5</v>
      </c>
      <c r="R505" s="497">
        <v>1.2</v>
      </c>
      <c r="S505" s="497">
        <v>600.01</v>
      </c>
      <c r="T505" s="497">
        <v>9.8000000000000007</v>
      </c>
    </row>
    <row r="506" spans="16:20" ht="15">
      <c r="P506" s="447"/>
      <c r="Q506" s="497">
        <v>6.5</v>
      </c>
      <c r="R506" s="497">
        <v>1.2</v>
      </c>
      <c r="S506" s="497">
        <v>10000</v>
      </c>
      <c r="T506" s="497">
        <v>9.8000000000000007</v>
      </c>
    </row>
    <row r="507" spans="16:20" ht="15">
      <c r="P507" s="447"/>
      <c r="Q507" s="497">
        <v>6.5</v>
      </c>
      <c r="R507" s="497">
        <v>1.6</v>
      </c>
      <c r="S507" s="497">
        <v>0</v>
      </c>
      <c r="T507" s="497">
        <v>10.4</v>
      </c>
    </row>
    <row r="508" spans="16:20" ht="15">
      <c r="P508" s="447"/>
      <c r="Q508" s="497">
        <v>6.5</v>
      </c>
      <c r="R508" s="497">
        <v>1.6</v>
      </c>
      <c r="S508" s="497">
        <v>300</v>
      </c>
      <c r="T508" s="497">
        <v>10.4</v>
      </c>
    </row>
    <row r="509" spans="16:20" ht="15">
      <c r="P509" s="447"/>
      <c r="Q509" s="497">
        <v>6.5</v>
      </c>
      <c r="R509" s="497">
        <v>1.6</v>
      </c>
      <c r="S509" s="497">
        <v>300.01</v>
      </c>
      <c r="T509" s="497">
        <v>10.4</v>
      </c>
    </row>
    <row r="510" spans="16:20" ht="15">
      <c r="P510" s="447"/>
      <c r="Q510" s="497">
        <v>6.5</v>
      </c>
      <c r="R510" s="497">
        <v>1.6</v>
      </c>
      <c r="S510" s="497">
        <v>600</v>
      </c>
      <c r="T510" s="497">
        <v>10.4</v>
      </c>
    </row>
    <row r="511" spans="16:20" ht="15">
      <c r="P511" s="447"/>
      <c r="Q511" s="497">
        <v>6.5</v>
      </c>
      <c r="R511" s="497">
        <v>1.6</v>
      </c>
      <c r="S511" s="497">
        <v>600.01</v>
      </c>
      <c r="T511" s="497">
        <v>10.3</v>
      </c>
    </row>
    <row r="512" spans="16:20" ht="15">
      <c r="P512" s="447"/>
      <c r="Q512" s="497">
        <v>6.5</v>
      </c>
      <c r="R512" s="497">
        <v>1.6</v>
      </c>
      <c r="S512" s="497">
        <v>10000</v>
      </c>
      <c r="T512" s="497">
        <v>10.3</v>
      </c>
    </row>
    <row r="513" spans="16:20" ht="15">
      <c r="P513" s="447"/>
      <c r="Q513" s="497">
        <v>6.5</v>
      </c>
      <c r="R513" s="497">
        <v>2.4</v>
      </c>
      <c r="S513" s="497">
        <v>0</v>
      </c>
      <c r="T513" s="497">
        <v>12</v>
      </c>
    </row>
    <row r="514" spans="16:20" ht="15">
      <c r="P514" s="447"/>
      <c r="Q514" s="497">
        <v>6.5</v>
      </c>
      <c r="R514" s="497">
        <v>2.4</v>
      </c>
      <c r="S514" s="497">
        <v>300</v>
      </c>
      <c r="T514" s="497">
        <v>12</v>
      </c>
    </row>
    <row r="515" spans="16:20" ht="15">
      <c r="P515" s="447"/>
      <c r="Q515" s="497">
        <v>6.5</v>
      </c>
      <c r="R515" s="497">
        <v>2.4</v>
      </c>
      <c r="S515" s="497">
        <v>300.01</v>
      </c>
      <c r="T515" s="497">
        <v>11.9</v>
      </c>
    </row>
    <row r="516" spans="16:20" ht="15">
      <c r="P516" s="447"/>
      <c r="Q516" s="497">
        <v>6.5</v>
      </c>
      <c r="R516" s="497">
        <v>2.4</v>
      </c>
      <c r="S516" s="497">
        <v>600</v>
      </c>
      <c r="T516" s="497">
        <v>11.9</v>
      </c>
    </row>
    <row r="517" spans="16:20" ht="15">
      <c r="P517" s="447"/>
      <c r="Q517" s="497">
        <v>6.5</v>
      </c>
      <c r="R517" s="497">
        <v>2.4</v>
      </c>
      <c r="S517" s="497">
        <v>600.01</v>
      </c>
      <c r="T517" s="497">
        <v>11.8</v>
      </c>
    </row>
    <row r="518" spans="16:20" ht="15">
      <c r="P518" s="447"/>
      <c r="Q518" s="497">
        <v>6.5</v>
      </c>
      <c r="R518" s="497">
        <v>2.4</v>
      </c>
      <c r="S518" s="497">
        <v>10000</v>
      </c>
      <c r="T518" s="497">
        <v>11.8</v>
      </c>
    </row>
    <row r="519" spans="16:20" ht="15">
      <c r="P519" s="447"/>
      <c r="Q519" s="497">
        <v>6.5</v>
      </c>
      <c r="R519" s="497">
        <v>3.2</v>
      </c>
      <c r="S519" s="497">
        <v>0</v>
      </c>
      <c r="T519" s="497">
        <v>12.9</v>
      </c>
    </row>
    <row r="520" spans="16:20" ht="15">
      <c r="P520" s="447"/>
      <c r="Q520" s="497">
        <v>6.5</v>
      </c>
      <c r="R520" s="497">
        <v>3.2</v>
      </c>
      <c r="S520" s="497">
        <v>300</v>
      </c>
      <c r="T520" s="497">
        <v>12.9</v>
      </c>
    </row>
    <row r="521" spans="16:20" ht="15">
      <c r="P521" s="447"/>
      <c r="Q521" s="497">
        <v>6.5</v>
      </c>
      <c r="R521" s="497">
        <v>3.2</v>
      </c>
      <c r="S521" s="497">
        <v>300.01</v>
      </c>
      <c r="T521" s="497">
        <v>12.8</v>
      </c>
    </row>
    <row r="522" spans="16:20" ht="15">
      <c r="P522" s="447"/>
      <c r="Q522" s="497">
        <v>6.5</v>
      </c>
      <c r="R522" s="497">
        <v>3.2</v>
      </c>
      <c r="S522" s="497">
        <v>600</v>
      </c>
      <c r="T522" s="497">
        <v>12.8</v>
      </c>
    </row>
    <row r="523" spans="16:20" ht="15">
      <c r="P523" s="447"/>
      <c r="Q523" s="497">
        <v>6.5</v>
      </c>
      <c r="R523" s="497">
        <v>3.2</v>
      </c>
      <c r="S523" s="497">
        <v>600.01</v>
      </c>
      <c r="T523" s="497">
        <v>12.7</v>
      </c>
    </row>
    <row r="524" spans="16:20" ht="15">
      <c r="P524" s="447"/>
      <c r="Q524" s="497">
        <v>6.5</v>
      </c>
      <c r="R524" s="497">
        <v>3.2</v>
      </c>
      <c r="S524" s="497">
        <v>10000</v>
      </c>
      <c r="T524" s="497">
        <v>12.7</v>
      </c>
    </row>
    <row r="525" spans="16:20" ht="15">
      <c r="P525" s="447"/>
      <c r="Q525" s="497">
        <v>6.5</v>
      </c>
      <c r="R525" s="497">
        <v>4.8</v>
      </c>
      <c r="S525" s="497">
        <v>0</v>
      </c>
      <c r="T525" s="497">
        <v>14.5</v>
      </c>
    </row>
    <row r="526" spans="16:20" ht="15">
      <c r="P526" s="447"/>
      <c r="Q526" s="497">
        <v>6.5</v>
      </c>
      <c r="R526" s="497">
        <v>4.8</v>
      </c>
      <c r="S526" s="497">
        <v>300</v>
      </c>
      <c r="T526" s="497">
        <v>14.5</v>
      </c>
    </row>
    <row r="527" spans="16:20" ht="15">
      <c r="P527" s="447"/>
      <c r="Q527" s="497">
        <v>6.5</v>
      </c>
      <c r="R527" s="497">
        <v>4.8</v>
      </c>
      <c r="S527" s="497">
        <v>300.01</v>
      </c>
      <c r="T527" s="497">
        <v>14.4</v>
      </c>
    </row>
    <row r="528" spans="16:20" ht="15">
      <c r="P528" s="447"/>
      <c r="Q528" s="497">
        <v>6.5</v>
      </c>
      <c r="R528" s="497">
        <v>4.8</v>
      </c>
      <c r="S528" s="497">
        <v>600</v>
      </c>
      <c r="T528" s="497">
        <v>14.4</v>
      </c>
    </row>
    <row r="529" spans="16:20" ht="15">
      <c r="P529" s="447"/>
      <c r="Q529" s="497">
        <v>6.5</v>
      </c>
      <c r="R529" s="497">
        <v>4.8</v>
      </c>
      <c r="S529" s="497">
        <v>600.01</v>
      </c>
      <c r="T529" s="497">
        <v>14.3</v>
      </c>
    </row>
    <row r="530" spans="16:20" ht="15">
      <c r="P530" s="447"/>
      <c r="Q530" s="497">
        <v>6.5</v>
      </c>
      <c r="R530" s="497">
        <v>4.8</v>
      </c>
      <c r="S530" s="497">
        <v>10000</v>
      </c>
      <c r="T530" s="497">
        <v>14.3</v>
      </c>
    </row>
    <row r="531" spans="16:20" ht="15">
      <c r="P531" s="447"/>
      <c r="Q531" s="497">
        <v>6.5</v>
      </c>
      <c r="R531" s="497">
        <v>6.4</v>
      </c>
      <c r="S531" s="497">
        <v>0</v>
      </c>
      <c r="T531" s="497">
        <v>15.4</v>
      </c>
    </row>
    <row r="532" spans="16:20" ht="15">
      <c r="P532" s="447"/>
      <c r="Q532" s="497">
        <v>6.5</v>
      </c>
      <c r="R532" s="497">
        <v>6.4</v>
      </c>
      <c r="S532" s="497">
        <v>300</v>
      </c>
      <c r="T532" s="497">
        <v>15.4</v>
      </c>
    </row>
    <row r="533" spans="16:20" ht="15">
      <c r="P533" s="447"/>
      <c r="Q533" s="497">
        <v>6.5</v>
      </c>
      <c r="R533" s="497">
        <v>6.4</v>
      </c>
      <c r="S533" s="497">
        <v>300.01</v>
      </c>
      <c r="T533" s="497">
        <v>15.3</v>
      </c>
    </row>
    <row r="534" spans="16:20" ht="15">
      <c r="P534" s="447"/>
      <c r="Q534" s="497">
        <v>6.5</v>
      </c>
      <c r="R534" s="497">
        <v>6.4</v>
      </c>
      <c r="S534" s="497">
        <v>600</v>
      </c>
      <c r="T534" s="497">
        <v>15.3</v>
      </c>
    </row>
    <row r="535" spans="16:20" ht="15">
      <c r="P535" s="447"/>
      <c r="Q535" s="497">
        <v>6.5</v>
      </c>
      <c r="R535" s="497">
        <v>6.4</v>
      </c>
      <c r="S535" s="497">
        <v>600.01</v>
      </c>
      <c r="T535" s="497">
        <v>15.2</v>
      </c>
    </row>
    <row r="536" spans="16:20" ht="15">
      <c r="P536" s="447"/>
      <c r="Q536" s="497">
        <v>6.5</v>
      </c>
      <c r="R536" s="497">
        <v>6.4</v>
      </c>
      <c r="S536" s="497">
        <v>10000</v>
      </c>
      <c r="T536" s="497">
        <v>15.2</v>
      </c>
    </row>
    <row r="537" spans="16:20" ht="15">
      <c r="P537" s="447"/>
      <c r="Q537" s="497">
        <v>6.5</v>
      </c>
      <c r="R537" s="497">
        <v>100</v>
      </c>
      <c r="S537" s="497">
        <v>0</v>
      </c>
      <c r="T537" s="497">
        <v>15.4</v>
      </c>
    </row>
    <row r="538" spans="16:20" ht="15">
      <c r="P538" s="447"/>
      <c r="Q538" s="497">
        <v>6.5</v>
      </c>
      <c r="R538" s="497">
        <v>100</v>
      </c>
      <c r="S538" s="497">
        <v>300</v>
      </c>
      <c r="T538" s="497">
        <v>15.4</v>
      </c>
    </row>
    <row r="539" spans="16:20" ht="15">
      <c r="P539" s="447"/>
      <c r="Q539" s="497">
        <v>6.5</v>
      </c>
      <c r="R539" s="497">
        <v>100</v>
      </c>
      <c r="S539" s="497">
        <v>300.01</v>
      </c>
      <c r="T539" s="497">
        <v>15.3</v>
      </c>
    </row>
    <row r="540" spans="16:20" ht="15">
      <c r="P540" s="447"/>
      <c r="Q540" s="497">
        <v>6.5</v>
      </c>
      <c r="R540" s="497">
        <v>100</v>
      </c>
      <c r="S540" s="497">
        <v>600</v>
      </c>
      <c r="T540" s="497">
        <v>15.3</v>
      </c>
    </row>
    <row r="541" spans="16:20" ht="15">
      <c r="P541" s="447"/>
      <c r="Q541" s="497">
        <v>6.5</v>
      </c>
      <c r="R541" s="497">
        <v>100</v>
      </c>
      <c r="S541" s="497">
        <v>600.01</v>
      </c>
      <c r="T541" s="497">
        <v>15.2</v>
      </c>
    </row>
    <row r="542" spans="16:20" ht="15">
      <c r="P542" s="447"/>
      <c r="Q542" s="497">
        <v>6.5</v>
      </c>
      <c r="R542" s="497">
        <v>100</v>
      </c>
      <c r="S542" s="497">
        <v>10000</v>
      </c>
      <c r="T542" s="497">
        <v>15.2</v>
      </c>
    </row>
    <row r="543" spans="16:20" ht="15">
      <c r="P543" s="447"/>
      <c r="Q543" s="497">
        <v>100</v>
      </c>
      <c r="R543" s="497">
        <v>0</v>
      </c>
      <c r="S543" s="497">
        <v>0</v>
      </c>
      <c r="T543" s="497">
        <v>5.0999999999999996</v>
      </c>
    </row>
    <row r="544" spans="16:20" ht="15">
      <c r="P544" s="447"/>
      <c r="Q544" s="497">
        <v>100</v>
      </c>
      <c r="R544" s="497">
        <v>0</v>
      </c>
      <c r="S544" s="497">
        <v>300</v>
      </c>
      <c r="T544" s="497">
        <v>5.0999999999999996</v>
      </c>
    </row>
    <row r="545" spans="16:20" ht="15">
      <c r="P545" s="447"/>
      <c r="Q545" s="497">
        <v>100</v>
      </c>
      <c r="R545" s="497">
        <v>0</v>
      </c>
      <c r="S545" s="497">
        <v>300.01</v>
      </c>
      <c r="T545" s="497">
        <v>4.8</v>
      </c>
    </row>
    <row r="546" spans="16:20" ht="15">
      <c r="P546" s="447"/>
      <c r="Q546" s="497">
        <v>100</v>
      </c>
      <c r="R546" s="497">
        <v>0</v>
      </c>
      <c r="S546" s="497">
        <v>600</v>
      </c>
      <c r="T546" s="497">
        <v>4.8</v>
      </c>
    </row>
    <row r="547" spans="16:20" ht="15">
      <c r="P547" s="447"/>
      <c r="Q547" s="497">
        <v>100</v>
      </c>
      <c r="R547" s="497">
        <v>0</v>
      </c>
      <c r="S547" s="497">
        <v>600.01</v>
      </c>
      <c r="T547" s="497">
        <v>4.5999999999999996</v>
      </c>
    </row>
    <row r="548" spans="16:20" ht="15">
      <c r="P548" s="447"/>
      <c r="Q548" s="497">
        <v>100</v>
      </c>
      <c r="R548" s="497">
        <v>0</v>
      </c>
      <c r="S548" s="497">
        <v>10000</v>
      </c>
      <c r="T548" s="497">
        <v>4.5999999999999996</v>
      </c>
    </row>
    <row r="549" spans="16:20" ht="15">
      <c r="P549" s="447"/>
      <c r="Q549" s="497">
        <v>100</v>
      </c>
      <c r="R549" s="497">
        <v>0.4</v>
      </c>
      <c r="S549" s="497">
        <v>0</v>
      </c>
      <c r="T549" s="497">
        <v>5.0999999999999996</v>
      </c>
    </row>
    <row r="550" spans="16:20" ht="15">
      <c r="P550" s="447"/>
      <c r="Q550" s="497">
        <v>100</v>
      </c>
      <c r="R550" s="497">
        <v>0.4</v>
      </c>
      <c r="S550" s="497">
        <v>300</v>
      </c>
      <c r="T550" s="497">
        <v>5.0999999999999996</v>
      </c>
    </row>
    <row r="551" spans="16:20" ht="15">
      <c r="P551" s="447"/>
      <c r="Q551" s="497">
        <v>100</v>
      </c>
      <c r="R551" s="497">
        <v>0.4</v>
      </c>
      <c r="S551" s="497">
        <v>300.01</v>
      </c>
      <c r="T551" s="497">
        <v>4.8</v>
      </c>
    </row>
    <row r="552" spans="16:20" ht="15">
      <c r="P552" s="447"/>
      <c r="Q552" s="497">
        <v>100</v>
      </c>
      <c r="R552" s="497">
        <v>0.4</v>
      </c>
      <c r="S552" s="497">
        <v>600</v>
      </c>
      <c r="T552" s="497">
        <v>4.8</v>
      </c>
    </row>
    <row r="553" spans="16:20" ht="15">
      <c r="P553" s="447"/>
      <c r="Q553" s="497">
        <v>100</v>
      </c>
      <c r="R553" s="497">
        <v>0.4</v>
      </c>
      <c r="S553" s="497">
        <v>600.01</v>
      </c>
      <c r="T553" s="497">
        <v>4.5999999999999996</v>
      </c>
    </row>
    <row r="554" spans="16:20" ht="15">
      <c r="P554" s="447"/>
      <c r="Q554" s="497">
        <v>100</v>
      </c>
      <c r="R554" s="497">
        <v>0.4</v>
      </c>
      <c r="S554" s="497">
        <v>10000</v>
      </c>
      <c r="T554" s="497">
        <v>4.5999999999999996</v>
      </c>
    </row>
    <row r="555" spans="16:20" ht="15">
      <c r="P555" s="447"/>
      <c r="Q555" s="497">
        <v>100</v>
      </c>
      <c r="R555" s="497">
        <v>0.8</v>
      </c>
      <c r="S555" s="497">
        <v>0</v>
      </c>
      <c r="T555" s="497">
        <v>7.8</v>
      </c>
    </row>
    <row r="556" spans="16:20" ht="15">
      <c r="P556" s="447"/>
      <c r="Q556" s="497">
        <v>100</v>
      </c>
      <c r="R556" s="497">
        <v>0.8</v>
      </c>
      <c r="S556" s="497">
        <v>300</v>
      </c>
      <c r="T556" s="497">
        <v>7.8</v>
      </c>
    </row>
    <row r="557" spans="16:20" ht="15">
      <c r="P557" s="447"/>
      <c r="Q557" s="497">
        <v>100</v>
      </c>
      <c r="R557" s="497">
        <v>0.8</v>
      </c>
      <c r="S557" s="497">
        <v>300.01</v>
      </c>
      <c r="T557" s="497">
        <v>7.8</v>
      </c>
    </row>
    <row r="558" spans="16:20" ht="15">
      <c r="P558" s="447"/>
      <c r="Q558" s="497">
        <v>100</v>
      </c>
      <c r="R558" s="497">
        <v>0.8</v>
      </c>
      <c r="S558" s="497">
        <v>600</v>
      </c>
      <c r="T558" s="497">
        <v>7.8</v>
      </c>
    </row>
    <row r="559" spans="16:20" ht="15">
      <c r="P559" s="447"/>
      <c r="Q559" s="497">
        <v>100</v>
      </c>
      <c r="R559" s="497">
        <v>0.8</v>
      </c>
      <c r="S559" s="497">
        <v>600.01</v>
      </c>
      <c r="T559" s="497">
        <v>7.8</v>
      </c>
    </row>
    <row r="560" spans="16:20" ht="15">
      <c r="P560" s="447"/>
      <c r="Q560" s="497">
        <v>100</v>
      </c>
      <c r="R560" s="497">
        <v>0.8</v>
      </c>
      <c r="S560" s="497">
        <v>10000</v>
      </c>
      <c r="T560" s="497">
        <v>7.8</v>
      </c>
    </row>
    <row r="561" spans="16:20" ht="15">
      <c r="P561" s="447"/>
      <c r="Q561" s="497">
        <v>100</v>
      </c>
      <c r="R561" s="497">
        <v>1.2</v>
      </c>
      <c r="S561" s="497">
        <v>0</v>
      </c>
      <c r="T561" s="497">
        <v>9.8000000000000007</v>
      </c>
    </row>
    <row r="562" spans="16:20" ht="15">
      <c r="P562" s="447"/>
      <c r="Q562" s="497">
        <v>100</v>
      </c>
      <c r="R562" s="497">
        <v>1.2</v>
      </c>
      <c r="S562" s="497">
        <v>300</v>
      </c>
      <c r="T562" s="497">
        <v>9.8000000000000007</v>
      </c>
    </row>
    <row r="563" spans="16:20" ht="15">
      <c r="P563" s="447"/>
      <c r="Q563" s="497">
        <v>100</v>
      </c>
      <c r="R563" s="497">
        <v>1.2</v>
      </c>
      <c r="S563" s="497">
        <v>300.01</v>
      </c>
      <c r="T563" s="497">
        <v>9.8000000000000007</v>
      </c>
    </row>
    <row r="564" spans="16:20" ht="15">
      <c r="P564" s="447"/>
      <c r="Q564" s="497">
        <v>100</v>
      </c>
      <c r="R564" s="497">
        <v>1.2</v>
      </c>
      <c r="S564" s="497">
        <v>600</v>
      </c>
      <c r="T564" s="497">
        <v>9.8000000000000007</v>
      </c>
    </row>
    <row r="565" spans="16:20" ht="15">
      <c r="P565" s="447"/>
      <c r="Q565" s="497">
        <v>100</v>
      </c>
      <c r="R565" s="497">
        <v>1.2</v>
      </c>
      <c r="S565" s="497">
        <v>600.01</v>
      </c>
      <c r="T565" s="497">
        <v>9.8000000000000007</v>
      </c>
    </row>
    <row r="566" spans="16:20" ht="15">
      <c r="P566" s="447"/>
      <c r="Q566" s="497">
        <v>100</v>
      </c>
      <c r="R566" s="497">
        <v>1.2</v>
      </c>
      <c r="S566" s="497">
        <v>10000</v>
      </c>
      <c r="T566" s="497">
        <v>9.8000000000000007</v>
      </c>
    </row>
    <row r="567" spans="16:20" ht="15">
      <c r="P567" s="447"/>
      <c r="Q567" s="497">
        <v>100</v>
      </c>
      <c r="R567" s="497">
        <v>1.6</v>
      </c>
      <c r="S567" s="497">
        <v>0</v>
      </c>
      <c r="T567" s="497">
        <v>10.4</v>
      </c>
    </row>
    <row r="568" spans="16:20" ht="15">
      <c r="P568" s="447"/>
      <c r="Q568" s="497">
        <v>100</v>
      </c>
      <c r="R568" s="497">
        <v>1.6</v>
      </c>
      <c r="S568" s="497">
        <v>300</v>
      </c>
      <c r="T568" s="497">
        <v>10.4</v>
      </c>
    </row>
    <row r="569" spans="16:20" ht="15">
      <c r="P569" s="447"/>
      <c r="Q569" s="497">
        <v>100</v>
      </c>
      <c r="R569" s="497">
        <v>1.6</v>
      </c>
      <c r="S569" s="497">
        <v>300.01</v>
      </c>
      <c r="T569" s="497">
        <v>10.4</v>
      </c>
    </row>
    <row r="570" spans="16:20" ht="15">
      <c r="P570" s="447"/>
      <c r="Q570" s="497">
        <v>100</v>
      </c>
      <c r="R570" s="497">
        <v>1.6</v>
      </c>
      <c r="S570" s="497">
        <v>600</v>
      </c>
      <c r="T570" s="497">
        <v>10.4</v>
      </c>
    </row>
    <row r="571" spans="16:20" ht="15">
      <c r="P571" s="447"/>
      <c r="Q571" s="497">
        <v>100</v>
      </c>
      <c r="R571" s="497">
        <v>1.6</v>
      </c>
      <c r="S571" s="497">
        <v>600.01</v>
      </c>
      <c r="T571" s="497">
        <v>10.3</v>
      </c>
    </row>
    <row r="572" spans="16:20" ht="15">
      <c r="P572" s="447"/>
      <c r="Q572" s="497">
        <v>100</v>
      </c>
      <c r="R572" s="497">
        <v>1.6</v>
      </c>
      <c r="S572" s="497">
        <v>10000</v>
      </c>
      <c r="T572" s="497">
        <v>10.3</v>
      </c>
    </row>
    <row r="573" spans="16:20" ht="15">
      <c r="P573" s="447"/>
      <c r="Q573" s="497">
        <v>100</v>
      </c>
      <c r="R573" s="497">
        <v>2.4</v>
      </c>
      <c r="S573" s="497">
        <v>0</v>
      </c>
      <c r="T573" s="497">
        <v>12</v>
      </c>
    </row>
    <row r="574" spans="16:20" ht="15">
      <c r="P574" s="447"/>
      <c r="Q574" s="497">
        <v>100</v>
      </c>
      <c r="R574" s="497">
        <v>2.4</v>
      </c>
      <c r="S574" s="497">
        <v>300</v>
      </c>
      <c r="T574" s="497">
        <v>12</v>
      </c>
    </row>
    <row r="575" spans="16:20" ht="15">
      <c r="P575" s="447"/>
      <c r="Q575" s="497">
        <v>100</v>
      </c>
      <c r="R575" s="497">
        <v>2.4</v>
      </c>
      <c r="S575" s="497">
        <v>300.01</v>
      </c>
      <c r="T575" s="497">
        <v>11.9</v>
      </c>
    </row>
    <row r="576" spans="16:20" ht="15">
      <c r="P576" s="447"/>
      <c r="Q576" s="497">
        <v>100</v>
      </c>
      <c r="R576" s="497">
        <v>2.4</v>
      </c>
      <c r="S576" s="497">
        <v>600</v>
      </c>
      <c r="T576" s="497">
        <v>11.9</v>
      </c>
    </row>
    <row r="577" spans="16:20" ht="15">
      <c r="P577" s="447"/>
      <c r="Q577" s="497">
        <v>100</v>
      </c>
      <c r="R577" s="497">
        <v>2.4</v>
      </c>
      <c r="S577" s="497">
        <v>600.01</v>
      </c>
      <c r="T577" s="497">
        <v>11.8</v>
      </c>
    </row>
    <row r="578" spans="16:20" ht="15">
      <c r="P578" s="447"/>
      <c r="Q578" s="497">
        <v>100</v>
      </c>
      <c r="R578" s="497">
        <v>2.4</v>
      </c>
      <c r="S578" s="497">
        <v>10000</v>
      </c>
      <c r="T578" s="497">
        <v>11.8</v>
      </c>
    </row>
    <row r="579" spans="16:20" ht="15">
      <c r="P579" s="447"/>
      <c r="Q579" s="497">
        <v>100</v>
      </c>
      <c r="R579" s="497">
        <v>3.2</v>
      </c>
      <c r="S579" s="497">
        <v>0</v>
      </c>
      <c r="T579" s="497">
        <v>12.9</v>
      </c>
    </row>
    <row r="580" spans="16:20" ht="15">
      <c r="P580" s="447"/>
      <c r="Q580" s="497">
        <v>100</v>
      </c>
      <c r="R580" s="497">
        <v>3.2</v>
      </c>
      <c r="S580" s="497">
        <v>300</v>
      </c>
      <c r="T580" s="497">
        <v>12.9</v>
      </c>
    </row>
    <row r="581" spans="16:20" ht="15">
      <c r="P581" s="447"/>
      <c r="Q581" s="497">
        <v>100</v>
      </c>
      <c r="R581" s="497">
        <v>3.2</v>
      </c>
      <c r="S581" s="497">
        <v>300.01</v>
      </c>
      <c r="T581" s="497">
        <v>12.8</v>
      </c>
    </row>
    <row r="582" spans="16:20" ht="15">
      <c r="P582" s="447"/>
      <c r="Q582" s="497">
        <v>100</v>
      </c>
      <c r="R582" s="497">
        <v>3.2</v>
      </c>
      <c r="S582" s="497">
        <v>600</v>
      </c>
      <c r="T582" s="497">
        <v>12.8</v>
      </c>
    </row>
    <row r="583" spans="16:20" ht="15">
      <c r="P583" s="447"/>
      <c r="Q583" s="497">
        <v>100</v>
      </c>
      <c r="R583" s="497">
        <v>3.2</v>
      </c>
      <c r="S583" s="497">
        <v>600.01</v>
      </c>
      <c r="T583" s="497">
        <v>12.7</v>
      </c>
    </row>
    <row r="584" spans="16:20" ht="15">
      <c r="P584" s="447"/>
      <c r="Q584" s="497">
        <v>100</v>
      </c>
      <c r="R584" s="497">
        <v>3.2</v>
      </c>
      <c r="S584" s="497">
        <v>10000</v>
      </c>
      <c r="T584" s="497">
        <v>12.7</v>
      </c>
    </row>
    <row r="585" spans="16:20" ht="15">
      <c r="P585" s="447"/>
      <c r="Q585" s="497">
        <v>100</v>
      </c>
      <c r="R585" s="497">
        <v>4.8</v>
      </c>
      <c r="S585" s="497">
        <v>0</v>
      </c>
      <c r="T585" s="497">
        <v>14.5</v>
      </c>
    </row>
    <row r="586" spans="16:20" ht="15">
      <c r="P586" s="447"/>
      <c r="Q586" s="497">
        <v>100</v>
      </c>
      <c r="R586" s="497">
        <v>4.8</v>
      </c>
      <c r="S586" s="497">
        <v>300</v>
      </c>
      <c r="T586" s="497">
        <v>14.5</v>
      </c>
    </row>
    <row r="587" spans="16:20" ht="15">
      <c r="P587" s="447"/>
      <c r="Q587" s="497">
        <v>100</v>
      </c>
      <c r="R587" s="497">
        <v>4.8</v>
      </c>
      <c r="S587" s="497">
        <v>300.01</v>
      </c>
      <c r="T587" s="497">
        <v>14.4</v>
      </c>
    </row>
    <row r="588" spans="16:20" ht="15">
      <c r="P588" s="447"/>
      <c r="Q588" s="497">
        <v>100</v>
      </c>
      <c r="R588" s="497">
        <v>4.8</v>
      </c>
      <c r="S588" s="497">
        <v>600</v>
      </c>
      <c r="T588" s="497">
        <v>14.4</v>
      </c>
    </row>
    <row r="589" spans="16:20" ht="15">
      <c r="P589" s="447"/>
      <c r="Q589" s="497">
        <v>100</v>
      </c>
      <c r="R589" s="497">
        <v>4.8</v>
      </c>
      <c r="S589" s="497">
        <v>600.01</v>
      </c>
      <c r="T589" s="497">
        <v>14.3</v>
      </c>
    </row>
    <row r="590" spans="16:20" ht="15">
      <c r="P590" s="447"/>
      <c r="Q590" s="497">
        <v>100</v>
      </c>
      <c r="R590" s="497">
        <v>4.8</v>
      </c>
      <c r="S590" s="497">
        <v>10000</v>
      </c>
      <c r="T590" s="497">
        <v>14.3</v>
      </c>
    </row>
    <row r="591" spans="16:20" ht="15">
      <c r="P591" s="447"/>
      <c r="Q591" s="497">
        <v>100</v>
      </c>
      <c r="R591" s="497">
        <v>6.4</v>
      </c>
      <c r="S591" s="497">
        <v>0</v>
      </c>
      <c r="T591" s="497">
        <v>15.4</v>
      </c>
    </row>
    <row r="592" spans="16:20" ht="15">
      <c r="P592" s="447"/>
      <c r="Q592" s="497">
        <v>100</v>
      </c>
      <c r="R592" s="497">
        <v>6.4</v>
      </c>
      <c r="S592" s="497">
        <v>300</v>
      </c>
      <c r="T592" s="497">
        <v>15.4</v>
      </c>
    </row>
    <row r="593" spans="16:20" ht="15">
      <c r="P593" s="447"/>
      <c r="Q593" s="497">
        <v>100</v>
      </c>
      <c r="R593" s="497">
        <v>6.4</v>
      </c>
      <c r="S593" s="497">
        <v>300.01</v>
      </c>
      <c r="T593" s="497">
        <v>15.3</v>
      </c>
    </row>
    <row r="594" spans="16:20" ht="15">
      <c r="P594" s="447"/>
      <c r="Q594" s="497">
        <v>100</v>
      </c>
      <c r="R594" s="497">
        <v>6.4</v>
      </c>
      <c r="S594" s="497">
        <v>600</v>
      </c>
      <c r="T594" s="497">
        <v>15.3</v>
      </c>
    </row>
    <row r="595" spans="16:20" ht="15">
      <c r="P595" s="447"/>
      <c r="Q595" s="497">
        <v>100</v>
      </c>
      <c r="R595" s="497">
        <v>6.4</v>
      </c>
      <c r="S595" s="497">
        <v>600.01</v>
      </c>
      <c r="T595" s="497">
        <v>15.2</v>
      </c>
    </row>
    <row r="596" spans="16:20" ht="15">
      <c r="P596" s="447"/>
      <c r="Q596" s="497">
        <v>100</v>
      </c>
      <c r="R596" s="497">
        <v>6.4</v>
      </c>
      <c r="S596" s="497">
        <v>10000</v>
      </c>
      <c r="T596" s="497">
        <v>15.2</v>
      </c>
    </row>
    <row r="597" spans="16:20" ht="15">
      <c r="P597" s="447"/>
      <c r="Q597" s="497">
        <v>100</v>
      </c>
      <c r="R597" s="497">
        <v>100</v>
      </c>
      <c r="S597" s="497">
        <v>0</v>
      </c>
      <c r="T597" s="497">
        <v>15.4</v>
      </c>
    </row>
    <row r="598" spans="16:20" ht="15">
      <c r="P598" s="447"/>
      <c r="Q598" s="497">
        <v>100</v>
      </c>
      <c r="R598" s="497">
        <v>100</v>
      </c>
      <c r="S598" s="497">
        <v>300</v>
      </c>
      <c r="T598" s="497">
        <v>15.4</v>
      </c>
    </row>
    <row r="599" spans="16:20" ht="15">
      <c r="P599" s="447"/>
      <c r="Q599" s="497">
        <v>100</v>
      </c>
      <c r="R599" s="497">
        <v>100</v>
      </c>
      <c r="S599" s="497">
        <v>300.01</v>
      </c>
      <c r="T599" s="497">
        <v>15.3</v>
      </c>
    </row>
    <row r="600" spans="16:20" ht="15">
      <c r="P600" s="447"/>
      <c r="Q600" s="497">
        <v>100</v>
      </c>
      <c r="R600" s="497">
        <v>100</v>
      </c>
      <c r="S600" s="497">
        <v>600</v>
      </c>
      <c r="T600" s="497">
        <v>15.3</v>
      </c>
    </row>
    <row r="601" spans="16:20" ht="15">
      <c r="P601" s="447"/>
      <c r="Q601" s="497">
        <v>100</v>
      </c>
      <c r="R601" s="497">
        <v>100</v>
      </c>
      <c r="S601" s="497">
        <v>600.01</v>
      </c>
      <c r="T601" s="497">
        <v>15.2</v>
      </c>
    </row>
    <row r="602" spans="16:20" ht="15">
      <c r="P602" s="447"/>
      <c r="Q602" s="497">
        <v>100</v>
      </c>
      <c r="R602" s="497">
        <v>100</v>
      </c>
      <c r="S602" s="497">
        <v>10000</v>
      </c>
      <c r="T602" s="497">
        <v>15.2</v>
      </c>
    </row>
    <row r="603" spans="16:20" ht="15">
      <c r="P603" s="447"/>
      <c r="Q603" s="497"/>
      <c r="R603" s="497"/>
      <c r="S603" s="497"/>
      <c r="T603" s="497"/>
    </row>
    <row r="604" spans="16:20" ht="15">
      <c r="P604" s="447"/>
      <c r="Q604" s="497"/>
      <c r="R604" s="497"/>
      <c r="S604" s="497"/>
      <c r="T604" s="497"/>
    </row>
    <row r="605" spans="16:20" ht="15">
      <c r="P605" s="447"/>
      <c r="Q605" s="497"/>
      <c r="R605" s="497"/>
      <c r="S605" s="497"/>
      <c r="T605" s="497"/>
    </row>
    <row r="606" spans="16:20" ht="15">
      <c r="P606" s="447"/>
      <c r="Q606" s="497"/>
      <c r="R606" s="497"/>
      <c r="S606" s="497"/>
      <c r="T606" s="497"/>
    </row>
    <row r="607" spans="16:20" ht="15">
      <c r="P607" s="447"/>
      <c r="Q607" s="497"/>
      <c r="R607" s="497"/>
      <c r="S607" s="497"/>
      <c r="T607" s="497"/>
    </row>
    <row r="608" spans="16:20" ht="15">
      <c r="P608" s="447"/>
      <c r="Q608" s="497"/>
      <c r="R608" s="497"/>
      <c r="S608" s="497"/>
      <c r="T608" s="497"/>
    </row>
    <row r="609" spans="1:16" s="497" customFormat="1" ht="15">
      <c r="A609" s="443"/>
      <c r="B609" s="443"/>
      <c r="C609" s="443"/>
      <c r="D609" s="443"/>
      <c r="E609" s="458"/>
      <c r="F609" s="458"/>
      <c r="G609" s="458"/>
      <c r="H609" s="458"/>
      <c r="I609" s="458"/>
      <c r="J609" s="458"/>
      <c r="K609" s="458"/>
      <c r="L609" s="458"/>
      <c r="M609" s="458"/>
      <c r="N609" s="458"/>
      <c r="O609" s="443"/>
      <c r="P609" s="447"/>
    </row>
    <row r="610" spans="1:16" s="497" customFormat="1" ht="15">
      <c r="A610" s="443"/>
      <c r="B610" s="443"/>
      <c r="C610" s="443"/>
      <c r="D610" s="443"/>
      <c r="E610" s="458"/>
      <c r="F610" s="458"/>
      <c r="G610" s="458"/>
      <c r="H610" s="458"/>
      <c r="I610" s="458"/>
      <c r="J610" s="458"/>
      <c r="K610" s="458"/>
      <c r="L610" s="458"/>
      <c r="M610" s="458"/>
      <c r="N610" s="458"/>
      <c r="O610" s="443"/>
      <c r="P610" s="447"/>
    </row>
    <row r="611" spans="1:16" s="497" customFormat="1" ht="15">
      <c r="A611" s="443"/>
      <c r="B611" s="443"/>
      <c r="C611" s="443"/>
      <c r="D611" s="443"/>
      <c r="E611" s="458"/>
      <c r="F611" s="458"/>
      <c r="G611" s="458"/>
      <c r="H611" s="458"/>
      <c r="I611" s="458"/>
      <c r="J611" s="458"/>
      <c r="K611" s="458"/>
      <c r="L611" s="458"/>
      <c r="M611" s="458"/>
      <c r="N611" s="458"/>
      <c r="O611" s="443"/>
      <c r="P611" s="447"/>
    </row>
    <row r="612" spans="1:16" s="497" customFormat="1" ht="15">
      <c r="A612" s="443"/>
      <c r="B612" s="443"/>
      <c r="C612" s="443"/>
      <c r="D612" s="443"/>
      <c r="E612" s="458"/>
      <c r="F612" s="458"/>
      <c r="G612" s="458"/>
      <c r="H612" s="458"/>
      <c r="I612" s="458"/>
      <c r="J612" s="458"/>
      <c r="K612" s="458"/>
      <c r="L612" s="458"/>
      <c r="M612" s="458"/>
      <c r="N612" s="458"/>
      <c r="O612" s="443"/>
      <c r="P612" s="447"/>
    </row>
    <row r="613" spans="1:16" s="497" customFormat="1" ht="15">
      <c r="A613" s="443"/>
      <c r="B613" s="443"/>
      <c r="C613" s="443"/>
      <c r="D613" s="443"/>
      <c r="E613" s="458"/>
      <c r="F613" s="458"/>
      <c r="G613" s="458"/>
      <c r="H613" s="458"/>
      <c r="I613" s="458"/>
      <c r="J613" s="458"/>
      <c r="K613" s="458"/>
      <c r="L613" s="458"/>
      <c r="M613" s="458"/>
      <c r="N613" s="458"/>
      <c r="O613" s="443"/>
      <c r="P613" s="447"/>
    </row>
    <row r="614" spans="1:16" s="497" customFormat="1" ht="15">
      <c r="A614" s="443"/>
      <c r="B614" s="443"/>
      <c r="C614" s="443"/>
      <c r="D614" s="443"/>
      <c r="E614" s="458"/>
      <c r="F614" s="458"/>
      <c r="G614" s="458"/>
      <c r="H614" s="458"/>
      <c r="I614" s="458"/>
      <c r="J614" s="458"/>
      <c r="K614" s="458"/>
      <c r="L614" s="458"/>
      <c r="M614" s="458"/>
      <c r="N614" s="458"/>
      <c r="O614" s="443"/>
      <c r="P614" s="447"/>
    </row>
    <row r="615" spans="1:16" s="497" customFormat="1" ht="15">
      <c r="A615" s="443"/>
      <c r="B615" s="443"/>
      <c r="C615" s="443"/>
      <c r="D615" s="443"/>
      <c r="E615" s="458"/>
      <c r="F615" s="458"/>
      <c r="G615" s="458"/>
      <c r="H615" s="458"/>
      <c r="I615" s="458"/>
      <c r="J615" s="458"/>
      <c r="K615" s="458"/>
      <c r="L615" s="458"/>
      <c r="M615" s="458"/>
      <c r="N615" s="458"/>
      <c r="O615" s="443"/>
      <c r="P615" s="447"/>
    </row>
    <row r="616" spans="1:16" s="497" customFormat="1" ht="15">
      <c r="A616" s="443"/>
      <c r="B616" s="443"/>
      <c r="C616" s="443"/>
      <c r="D616" s="443"/>
      <c r="E616" s="458"/>
      <c r="F616" s="458"/>
      <c r="G616" s="458"/>
      <c r="H616" s="458"/>
      <c r="I616" s="458"/>
      <c r="J616" s="458"/>
      <c r="K616" s="458"/>
      <c r="L616" s="458"/>
      <c r="M616" s="458"/>
      <c r="N616" s="458"/>
      <c r="O616" s="443"/>
      <c r="P616" s="447"/>
    </row>
    <row r="617" spans="1:16" s="497" customFormat="1" ht="15">
      <c r="A617" s="443"/>
      <c r="B617" s="443"/>
      <c r="C617" s="443"/>
      <c r="D617" s="443"/>
      <c r="E617" s="458"/>
      <c r="F617" s="458"/>
      <c r="G617" s="458"/>
      <c r="H617" s="458"/>
      <c r="I617" s="458"/>
      <c r="J617" s="458"/>
      <c r="K617" s="458"/>
      <c r="L617" s="458"/>
      <c r="M617" s="458"/>
      <c r="N617" s="458"/>
      <c r="O617" s="443"/>
      <c r="P617" s="447"/>
    </row>
    <row r="618" spans="1:16" s="497" customFormat="1" ht="15">
      <c r="A618" s="443"/>
      <c r="B618" s="443"/>
      <c r="C618" s="443"/>
      <c r="D618" s="443"/>
      <c r="E618" s="458"/>
      <c r="F618" s="458"/>
      <c r="G618" s="458"/>
      <c r="H618" s="458"/>
      <c r="I618" s="458"/>
      <c r="J618" s="458"/>
      <c r="K618" s="458"/>
      <c r="L618" s="458"/>
      <c r="M618" s="458"/>
      <c r="N618" s="458"/>
      <c r="O618" s="443"/>
      <c r="P618" s="447"/>
    </row>
    <row r="619" spans="1:16" s="497" customFormat="1" ht="15">
      <c r="A619" s="443"/>
      <c r="B619" s="443"/>
      <c r="C619" s="443"/>
      <c r="D619" s="443"/>
      <c r="E619" s="458"/>
      <c r="F619" s="458"/>
      <c r="G619" s="458"/>
      <c r="H619" s="458"/>
      <c r="I619" s="458"/>
      <c r="J619" s="458"/>
      <c r="K619" s="458"/>
      <c r="L619" s="458"/>
      <c r="M619" s="458"/>
      <c r="N619" s="458"/>
      <c r="O619" s="443"/>
      <c r="P619" s="447"/>
    </row>
    <row r="620" spans="1:16" s="497" customFormat="1" ht="15">
      <c r="A620" s="443"/>
      <c r="B620" s="443"/>
      <c r="C620" s="443"/>
      <c r="D620" s="443"/>
      <c r="E620" s="458"/>
      <c r="F620" s="458"/>
      <c r="G620" s="458"/>
      <c r="H620" s="458"/>
      <c r="I620" s="458"/>
      <c r="J620" s="458"/>
      <c r="K620" s="458"/>
      <c r="L620" s="458"/>
      <c r="M620" s="458"/>
      <c r="N620" s="458"/>
      <c r="O620" s="443"/>
      <c r="P620" s="447"/>
    </row>
    <row r="621" spans="1:16" s="497" customFormat="1" ht="15">
      <c r="A621" s="443"/>
      <c r="B621" s="443"/>
      <c r="C621" s="443"/>
      <c r="D621" s="443"/>
      <c r="E621" s="458"/>
      <c r="F621" s="458"/>
      <c r="G621" s="458"/>
      <c r="H621" s="458"/>
      <c r="I621" s="458"/>
      <c r="J621" s="458"/>
      <c r="K621" s="458"/>
      <c r="L621" s="458"/>
      <c r="M621" s="458"/>
      <c r="N621" s="458"/>
      <c r="O621" s="443"/>
      <c r="P621" s="447"/>
    </row>
    <row r="622" spans="1:16" s="497" customFormat="1" ht="15">
      <c r="A622" s="443"/>
      <c r="B622" s="443"/>
      <c r="C622" s="443"/>
      <c r="D622" s="443"/>
      <c r="E622" s="458"/>
      <c r="F622" s="458"/>
      <c r="G622" s="458"/>
      <c r="H622" s="458"/>
      <c r="I622" s="458"/>
      <c r="J622" s="458"/>
      <c r="K622" s="458"/>
      <c r="L622" s="458"/>
      <c r="M622" s="458"/>
      <c r="N622" s="458"/>
      <c r="O622" s="443"/>
      <c r="P622" s="447"/>
    </row>
    <row r="623" spans="1:16" s="497" customFormat="1" ht="15">
      <c r="A623" s="443"/>
      <c r="B623" s="443"/>
      <c r="C623" s="443"/>
      <c r="D623" s="443"/>
      <c r="E623" s="458"/>
      <c r="F623" s="458"/>
      <c r="G623" s="458"/>
      <c r="H623" s="458"/>
      <c r="I623" s="458"/>
      <c r="J623" s="458"/>
      <c r="K623" s="458"/>
      <c r="L623" s="458"/>
      <c r="M623" s="458"/>
      <c r="N623" s="458"/>
      <c r="O623" s="443"/>
      <c r="P623" s="447"/>
    </row>
    <row r="624" spans="1:16" s="497" customFormat="1" ht="15">
      <c r="A624" s="443"/>
      <c r="B624" s="443"/>
      <c r="C624" s="443"/>
      <c r="D624" s="443"/>
      <c r="E624" s="458"/>
      <c r="F624" s="458"/>
      <c r="G624" s="458"/>
      <c r="H624" s="458"/>
      <c r="I624" s="458"/>
      <c r="J624" s="458"/>
      <c r="K624" s="458"/>
      <c r="L624" s="458"/>
      <c r="M624" s="458"/>
      <c r="N624" s="458"/>
      <c r="O624" s="443"/>
      <c r="P624" s="447"/>
    </row>
    <row r="625" spans="1:16" s="497" customFormat="1" ht="15">
      <c r="A625" s="443"/>
      <c r="B625" s="443"/>
      <c r="C625" s="443"/>
      <c r="D625" s="443"/>
      <c r="E625" s="458"/>
      <c r="F625" s="458"/>
      <c r="G625" s="458"/>
      <c r="H625" s="458"/>
      <c r="I625" s="458"/>
      <c r="J625" s="458"/>
      <c r="K625" s="458"/>
      <c r="L625" s="458"/>
      <c r="M625" s="458"/>
      <c r="N625" s="458"/>
      <c r="O625" s="443"/>
      <c r="P625" s="447"/>
    </row>
    <row r="626" spans="1:16" s="497" customFormat="1" ht="15">
      <c r="A626" s="443"/>
      <c r="B626" s="443"/>
      <c r="C626" s="443"/>
      <c r="D626" s="443"/>
      <c r="E626" s="458"/>
      <c r="F626" s="458"/>
      <c r="G626" s="458"/>
      <c r="H626" s="458"/>
      <c r="I626" s="458"/>
      <c r="J626" s="458"/>
      <c r="K626" s="458"/>
      <c r="L626" s="458"/>
      <c r="M626" s="458"/>
      <c r="N626" s="458"/>
      <c r="O626" s="443"/>
      <c r="P626" s="447"/>
    </row>
    <row r="627" spans="1:16" s="497" customFormat="1" ht="15">
      <c r="A627" s="443"/>
      <c r="B627" s="443"/>
      <c r="C627" s="443"/>
      <c r="D627" s="443"/>
      <c r="E627" s="458"/>
      <c r="F627" s="458"/>
      <c r="G627" s="458"/>
      <c r="H627" s="458"/>
      <c r="I627" s="458"/>
      <c r="J627" s="458"/>
      <c r="K627" s="458"/>
      <c r="L627" s="458"/>
      <c r="M627" s="458"/>
      <c r="N627" s="458"/>
      <c r="O627" s="443"/>
      <c r="P627" s="447"/>
    </row>
    <row r="628" spans="1:16" s="497" customFormat="1" ht="15">
      <c r="A628" s="443"/>
      <c r="B628" s="443"/>
      <c r="C628" s="443"/>
      <c r="D628" s="443"/>
      <c r="E628" s="458"/>
      <c r="F628" s="458"/>
      <c r="G628" s="458"/>
      <c r="H628" s="458"/>
      <c r="I628" s="458"/>
      <c r="J628" s="458"/>
      <c r="K628" s="458"/>
      <c r="L628" s="458"/>
      <c r="M628" s="458"/>
      <c r="N628" s="458"/>
      <c r="O628" s="443"/>
      <c r="P628" s="447"/>
    </row>
    <row r="629" spans="1:16" s="497" customFormat="1" ht="15">
      <c r="A629" s="443"/>
      <c r="B629" s="443"/>
      <c r="C629" s="443"/>
      <c r="D629" s="443"/>
      <c r="E629" s="458"/>
      <c r="F629" s="458"/>
      <c r="G629" s="458"/>
      <c r="H629" s="458"/>
      <c r="I629" s="458"/>
      <c r="J629" s="458"/>
      <c r="K629" s="458"/>
      <c r="L629" s="458"/>
      <c r="M629" s="458"/>
      <c r="N629" s="458"/>
      <c r="O629" s="443"/>
      <c r="P629" s="447"/>
    </row>
    <row r="630" spans="1:16" s="497" customFormat="1" ht="15">
      <c r="A630" s="443"/>
      <c r="B630" s="443"/>
      <c r="C630" s="443"/>
      <c r="D630" s="443"/>
      <c r="E630" s="458"/>
      <c r="F630" s="458"/>
      <c r="G630" s="458"/>
      <c r="H630" s="458"/>
      <c r="I630" s="458"/>
      <c r="J630" s="458"/>
      <c r="K630" s="458"/>
      <c r="L630" s="458"/>
      <c r="M630" s="458"/>
      <c r="N630" s="458"/>
      <c r="O630" s="443"/>
      <c r="P630" s="447"/>
    </row>
    <row r="631" spans="1:16" s="497" customFormat="1" ht="15">
      <c r="A631" s="443"/>
      <c r="B631" s="443"/>
      <c r="C631" s="443"/>
      <c r="D631" s="443"/>
      <c r="E631" s="458"/>
      <c r="F631" s="458"/>
      <c r="G631" s="458"/>
      <c r="H631" s="458"/>
      <c r="I631" s="458"/>
      <c r="J631" s="458"/>
      <c r="K631" s="458"/>
      <c r="L631" s="458"/>
      <c r="M631" s="458"/>
      <c r="N631" s="458"/>
      <c r="O631" s="443"/>
      <c r="P631" s="447"/>
    </row>
    <row r="632" spans="1:16" s="497" customFormat="1" ht="15">
      <c r="A632" s="443"/>
      <c r="B632" s="443"/>
      <c r="C632" s="443"/>
      <c r="D632" s="443"/>
      <c r="E632" s="458"/>
      <c r="F632" s="458"/>
      <c r="G632" s="458"/>
      <c r="H632" s="458"/>
      <c r="I632" s="458"/>
      <c r="J632" s="458"/>
      <c r="K632" s="458"/>
      <c r="L632" s="458"/>
      <c r="M632" s="458"/>
      <c r="N632" s="458"/>
      <c r="O632" s="443"/>
      <c r="P632" s="447"/>
    </row>
    <row r="633" spans="1:16" s="497" customFormat="1" ht="15">
      <c r="A633" s="443"/>
      <c r="B633" s="443"/>
      <c r="C633" s="443"/>
      <c r="D633" s="443"/>
      <c r="E633" s="458"/>
      <c r="F633" s="458"/>
      <c r="G633" s="458"/>
      <c r="H633" s="458"/>
      <c r="I633" s="458"/>
      <c r="J633" s="458"/>
      <c r="K633" s="458"/>
      <c r="L633" s="458"/>
      <c r="M633" s="458"/>
      <c r="N633" s="458"/>
      <c r="O633" s="443"/>
      <c r="P633" s="447"/>
    </row>
    <row r="634" spans="1:16" s="497" customFormat="1" ht="15">
      <c r="A634" s="443"/>
      <c r="B634" s="443"/>
      <c r="C634" s="443"/>
      <c r="D634" s="443"/>
      <c r="E634" s="458"/>
      <c r="F634" s="458"/>
      <c r="G634" s="458"/>
      <c r="H634" s="458"/>
      <c r="I634" s="458"/>
      <c r="J634" s="458"/>
      <c r="K634" s="458"/>
      <c r="L634" s="458"/>
      <c r="M634" s="458"/>
      <c r="N634" s="458"/>
      <c r="O634" s="443"/>
      <c r="P634" s="447"/>
    </row>
    <row r="635" spans="1:16" s="497" customFormat="1" ht="15">
      <c r="A635" s="443"/>
      <c r="B635" s="443"/>
      <c r="C635" s="443"/>
      <c r="D635" s="443"/>
      <c r="E635" s="458"/>
      <c r="F635" s="458"/>
      <c r="G635" s="458"/>
      <c r="H635" s="458"/>
      <c r="I635" s="458"/>
      <c r="J635" s="458"/>
      <c r="K635" s="458"/>
      <c r="L635" s="458"/>
      <c r="M635" s="458"/>
      <c r="N635" s="458"/>
      <c r="O635" s="443"/>
      <c r="P635" s="447"/>
    </row>
    <row r="636" spans="1:16" s="497" customFormat="1" ht="15">
      <c r="A636" s="443"/>
      <c r="B636" s="443"/>
      <c r="C636" s="443"/>
      <c r="D636" s="443"/>
      <c r="E636" s="458"/>
      <c r="F636" s="458"/>
      <c r="G636" s="458"/>
      <c r="H636" s="458"/>
      <c r="I636" s="458"/>
      <c r="J636" s="458"/>
      <c r="K636" s="458"/>
      <c r="L636" s="458"/>
      <c r="M636" s="458"/>
      <c r="N636" s="458"/>
      <c r="O636" s="443"/>
      <c r="P636" s="447"/>
    </row>
    <row r="637" spans="1:16" s="497" customFormat="1" ht="15">
      <c r="A637" s="443"/>
      <c r="B637" s="443"/>
      <c r="C637" s="443"/>
      <c r="D637" s="443"/>
      <c r="E637" s="458"/>
      <c r="F637" s="458"/>
      <c r="G637" s="458"/>
      <c r="H637" s="458"/>
      <c r="I637" s="458"/>
      <c r="J637" s="458"/>
      <c r="K637" s="458"/>
      <c r="L637" s="458"/>
      <c r="M637" s="458"/>
      <c r="N637" s="458"/>
      <c r="O637" s="443"/>
      <c r="P637" s="447"/>
    </row>
    <row r="638" spans="1:16" s="497" customFormat="1" ht="15">
      <c r="A638" s="443"/>
      <c r="B638" s="443"/>
      <c r="C638" s="443"/>
      <c r="D638" s="443"/>
      <c r="E638" s="458"/>
      <c r="F638" s="458"/>
      <c r="G638" s="458"/>
      <c r="H638" s="458"/>
      <c r="I638" s="458"/>
      <c r="J638" s="458"/>
      <c r="K638" s="458"/>
      <c r="L638" s="458"/>
      <c r="M638" s="458"/>
      <c r="N638" s="458"/>
      <c r="O638" s="443"/>
      <c r="P638" s="447"/>
    </row>
    <row r="639" spans="1:16" s="497" customFormat="1" ht="15">
      <c r="A639" s="443"/>
      <c r="B639" s="443"/>
      <c r="C639" s="443"/>
      <c r="D639" s="443"/>
      <c r="E639" s="458"/>
      <c r="F639" s="458"/>
      <c r="G639" s="458"/>
      <c r="H639" s="458"/>
      <c r="I639" s="458"/>
      <c r="J639" s="458"/>
      <c r="K639" s="458"/>
      <c r="L639" s="458"/>
      <c r="M639" s="458"/>
      <c r="N639" s="458"/>
      <c r="O639" s="443"/>
      <c r="P639" s="447"/>
    </row>
    <row r="640" spans="1:16" s="497" customFormat="1" ht="15">
      <c r="A640" s="443"/>
      <c r="B640" s="443"/>
      <c r="C640" s="443"/>
      <c r="D640" s="443"/>
      <c r="E640" s="458"/>
      <c r="F640" s="458"/>
      <c r="G640" s="458"/>
      <c r="H640" s="458"/>
      <c r="I640" s="458"/>
      <c r="J640" s="458"/>
      <c r="K640" s="458"/>
      <c r="L640" s="458"/>
      <c r="M640" s="458"/>
      <c r="N640" s="458"/>
      <c r="O640" s="443"/>
      <c r="P640" s="447"/>
    </row>
    <row r="641" spans="1:16" s="497" customFormat="1" ht="15">
      <c r="A641" s="443"/>
      <c r="B641" s="443"/>
      <c r="C641" s="443"/>
      <c r="D641" s="443"/>
      <c r="E641" s="458"/>
      <c r="F641" s="458"/>
      <c r="G641" s="458"/>
      <c r="H641" s="458"/>
      <c r="I641" s="458"/>
      <c r="J641" s="458"/>
      <c r="K641" s="458"/>
      <c r="L641" s="458"/>
      <c r="M641" s="458"/>
      <c r="N641" s="458"/>
      <c r="O641" s="443"/>
      <c r="P641" s="447"/>
    </row>
    <row r="642" spans="1:16" s="497" customFormat="1" ht="15">
      <c r="A642" s="443"/>
      <c r="B642" s="443"/>
      <c r="C642" s="443"/>
      <c r="D642" s="443"/>
      <c r="E642" s="458"/>
      <c r="F642" s="458"/>
      <c r="G642" s="458"/>
      <c r="H642" s="458"/>
      <c r="I642" s="458"/>
      <c r="J642" s="458"/>
      <c r="K642" s="458"/>
      <c r="L642" s="458"/>
      <c r="M642" s="458"/>
      <c r="N642" s="458"/>
      <c r="O642" s="443"/>
      <c r="P642" s="447"/>
    </row>
    <row r="643" spans="1:16" s="497" customFormat="1" ht="15">
      <c r="A643" s="443"/>
      <c r="B643" s="443"/>
      <c r="C643" s="443"/>
      <c r="D643" s="443"/>
      <c r="E643" s="458"/>
      <c r="F643" s="458"/>
      <c r="G643" s="458"/>
      <c r="H643" s="458"/>
      <c r="I643" s="458"/>
      <c r="J643" s="458"/>
      <c r="K643" s="458"/>
      <c r="L643" s="458"/>
      <c r="M643" s="458"/>
      <c r="N643" s="458"/>
      <c r="O643" s="443"/>
      <c r="P643" s="447"/>
    </row>
    <row r="644" spans="1:16" s="497" customFormat="1" ht="15">
      <c r="A644" s="443"/>
      <c r="B644" s="443"/>
      <c r="C644" s="443"/>
      <c r="D644" s="443"/>
      <c r="E644" s="458"/>
      <c r="F644" s="458"/>
      <c r="G644" s="458"/>
      <c r="H644" s="458"/>
      <c r="I644" s="458"/>
      <c r="J644" s="458"/>
      <c r="K644" s="458"/>
      <c r="L644" s="458"/>
      <c r="M644" s="458"/>
      <c r="N644" s="458"/>
      <c r="O644" s="443"/>
      <c r="P644" s="447"/>
    </row>
    <row r="645" spans="1:16" s="497" customFormat="1" ht="15">
      <c r="A645" s="443"/>
      <c r="B645" s="443"/>
      <c r="C645" s="443"/>
      <c r="D645" s="443"/>
      <c r="E645" s="458"/>
      <c r="F645" s="458"/>
      <c r="G645" s="458"/>
      <c r="H645" s="458"/>
      <c r="I645" s="458"/>
      <c r="J645" s="458"/>
      <c r="K645" s="458"/>
      <c r="L645" s="458"/>
      <c r="M645" s="458"/>
      <c r="N645" s="458"/>
      <c r="O645" s="443"/>
      <c r="P645" s="447"/>
    </row>
    <row r="646" spans="1:16" s="497" customFormat="1" ht="15">
      <c r="A646" s="443"/>
      <c r="B646" s="443"/>
      <c r="C646" s="443"/>
      <c r="D646" s="443"/>
      <c r="E646" s="458"/>
      <c r="F646" s="458"/>
      <c r="G646" s="458"/>
      <c r="H646" s="458"/>
      <c r="I646" s="458"/>
      <c r="J646" s="458"/>
      <c r="K646" s="458"/>
      <c r="L646" s="458"/>
      <c r="M646" s="458"/>
      <c r="N646" s="458"/>
      <c r="O646" s="443"/>
      <c r="P646" s="447"/>
    </row>
    <row r="647" spans="1:16" s="497" customFormat="1" ht="15">
      <c r="A647" s="443"/>
      <c r="B647" s="443"/>
      <c r="C647" s="443"/>
      <c r="D647" s="443"/>
      <c r="E647" s="458"/>
      <c r="F647" s="458"/>
      <c r="G647" s="458"/>
      <c r="H647" s="458"/>
      <c r="I647" s="458"/>
      <c r="J647" s="458"/>
      <c r="K647" s="458"/>
      <c r="L647" s="458"/>
      <c r="M647" s="458"/>
      <c r="N647" s="458"/>
      <c r="O647" s="443"/>
      <c r="P647" s="447"/>
    </row>
    <row r="648" spans="1:16" s="497" customFormat="1" ht="15">
      <c r="A648" s="443"/>
      <c r="B648" s="443"/>
      <c r="C648" s="443"/>
      <c r="D648" s="443"/>
      <c r="E648" s="458"/>
      <c r="F648" s="458"/>
      <c r="G648" s="458"/>
      <c r="H648" s="458"/>
      <c r="I648" s="458"/>
      <c r="J648" s="458"/>
      <c r="K648" s="458"/>
      <c r="L648" s="458"/>
      <c r="M648" s="458"/>
      <c r="N648" s="458"/>
      <c r="O648" s="443"/>
      <c r="P648" s="447"/>
    </row>
    <row r="649" spans="1:16" s="497" customFormat="1" ht="15">
      <c r="A649" s="443"/>
      <c r="B649" s="443"/>
      <c r="C649" s="443"/>
      <c r="D649" s="443"/>
      <c r="E649" s="458"/>
      <c r="F649" s="458"/>
      <c r="G649" s="458"/>
      <c r="H649" s="458"/>
      <c r="I649" s="458"/>
      <c r="J649" s="458"/>
      <c r="K649" s="458"/>
      <c r="L649" s="458"/>
      <c r="M649" s="458"/>
      <c r="N649" s="458"/>
      <c r="O649" s="443"/>
      <c r="P649" s="447"/>
    </row>
    <row r="650" spans="1:16" s="497" customFormat="1" ht="15">
      <c r="A650" s="443"/>
      <c r="B650" s="443"/>
      <c r="C650" s="443"/>
      <c r="D650" s="443"/>
      <c r="E650" s="458"/>
      <c r="F650" s="458"/>
      <c r="G650" s="458"/>
      <c r="H650" s="458"/>
      <c r="I650" s="458"/>
      <c r="J650" s="458"/>
      <c r="K650" s="458"/>
      <c r="L650" s="458"/>
      <c r="M650" s="458"/>
      <c r="N650" s="458"/>
      <c r="O650" s="443"/>
      <c r="P650" s="447"/>
    </row>
    <row r="651" spans="1:16" s="497" customFormat="1" ht="15">
      <c r="A651" s="443"/>
      <c r="B651" s="443"/>
      <c r="C651" s="443"/>
      <c r="D651" s="443"/>
      <c r="E651" s="458"/>
      <c r="F651" s="458"/>
      <c r="G651" s="458"/>
      <c r="H651" s="458"/>
      <c r="I651" s="458"/>
      <c r="J651" s="458"/>
      <c r="K651" s="458"/>
      <c r="L651" s="458"/>
      <c r="M651" s="458"/>
      <c r="N651" s="458"/>
      <c r="O651" s="443"/>
      <c r="P651" s="447"/>
    </row>
    <row r="652" spans="1:16" s="497" customFormat="1" ht="15">
      <c r="A652" s="443"/>
      <c r="B652" s="443"/>
      <c r="C652" s="443"/>
      <c r="D652" s="443"/>
      <c r="E652" s="458"/>
      <c r="F652" s="458"/>
      <c r="G652" s="458"/>
      <c r="H652" s="458"/>
      <c r="I652" s="458"/>
      <c r="J652" s="458"/>
      <c r="K652" s="458"/>
      <c r="L652" s="458"/>
      <c r="M652" s="458"/>
      <c r="N652" s="458"/>
      <c r="O652" s="443"/>
      <c r="P652" s="447"/>
    </row>
    <row r="653" spans="1:16" s="497" customFormat="1" ht="15">
      <c r="A653" s="443"/>
      <c r="B653" s="443"/>
      <c r="C653" s="443"/>
      <c r="D653" s="443"/>
      <c r="E653" s="458"/>
      <c r="F653" s="458"/>
      <c r="G653" s="458"/>
      <c r="H653" s="458"/>
      <c r="I653" s="458"/>
      <c r="J653" s="458"/>
      <c r="K653" s="458"/>
      <c r="L653" s="458"/>
      <c r="M653" s="458"/>
      <c r="N653" s="458"/>
      <c r="O653" s="443"/>
      <c r="P653" s="447"/>
    </row>
    <row r="654" spans="1:16" s="497" customFormat="1" ht="15">
      <c r="A654" s="443"/>
      <c r="B654" s="443"/>
      <c r="C654" s="443"/>
      <c r="D654" s="443"/>
      <c r="E654" s="458"/>
      <c r="F654" s="458"/>
      <c r="G654" s="458"/>
      <c r="H654" s="458"/>
      <c r="I654" s="458"/>
      <c r="J654" s="458"/>
      <c r="K654" s="458"/>
      <c r="L654" s="458"/>
      <c r="M654" s="458"/>
      <c r="N654" s="458"/>
      <c r="O654" s="443"/>
      <c r="P654" s="447"/>
    </row>
    <row r="655" spans="1:16" s="497" customFormat="1" ht="15">
      <c r="A655" s="443"/>
      <c r="B655" s="443"/>
      <c r="C655" s="443"/>
      <c r="D655" s="443"/>
      <c r="E655" s="458"/>
      <c r="F655" s="458"/>
      <c r="G655" s="458"/>
      <c r="H655" s="458"/>
      <c r="I655" s="458"/>
      <c r="J655" s="458"/>
      <c r="K655" s="458"/>
      <c r="L655" s="458"/>
      <c r="M655" s="458"/>
      <c r="N655" s="458"/>
      <c r="O655" s="443"/>
      <c r="P655" s="447"/>
    </row>
    <row r="656" spans="1:16" s="497" customFormat="1" ht="15">
      <c r="A656" s="443"/>
      <c r="B656" s="443"/>
      <c r="C656" s="443"/>
      <c r="D656" s="443"/>
      <c r="E656" s="458"/>
      <c r="F656" s="458"/>
      <c r="G656" s="458"/>
      <c r="H656" s="458"/>
      <c r="I656" s="458"/>
      <c r="J656" s="458"/>
      <c r="K656" s="458"/>
      <c r="L656" s="458"/>
      <c r="M656" s="458"/>
      <c r="N656" s="458"/>
      <c r="O656" s="443"/>
      <c r="P656" s="447"/>
    </row>
    <row r="657" spans="1:16" s="497" customFormat="1" ht="15">
      <c r="A657" s="443"/>
      <c r="B657" s="443"/>
      <c r="C657" s="443"/>
      <c r="D657" s="443"/>
      <c r="E657" s="458"/>
      <c r="F657" s="458"/>
      <c r="G657" s="458"/>
      <c r="H657" s="458"/>
      <c r="I657" s="458"/>
      <c r="J657" s="458"/>
      <c r="K657" s="458"/>
      <c r="L657" s="458"/>
      <c r="M657" s="458"/>
      <c r="N657" s="458"/>
      <c r="O657" s="443"/>
      <c r="P657" s="447"/>
    </row>
    <row r="658" spans="1:16" s="497" customFormat="1" ht="15">
      <c r="A658" s="443"/>
      <c r="B658" s="443"/>
      <c r="C658" s="443"/>
      <c r="D658" s="443"/>
      <c r="E658" s="458"/>
      <c r="F658" s="458"/>
      <c r="G658" s="458"/>
      <c r="H658" s="458"/>
      <c r="I658" s="458"/>
      <c r="J658" s="458"/>
      <c r="K658" s="458"/>
      <c r="L658" s="458"/>
      <c r="M658" s="458"/>
      <c r="N658" s="458"/>
      <c r="O658" s="443"/>
      <c r="P658" s="447"/>
    </row>
    <row r="659" spans="1:16" s="497" customFormat="1" ht="15">
      <c r="A659" s="443"/>
      <c r="B659" s="443"/>
      <c r="C659" s="443"/>
      <c r="D659" s="443"/>
      <c r="E659" s="458"/>
      <c r="F659" s="458"/>
      <c r="G659" s="458"/>
      <c r="H659" s="458"/>
      <c r="I659" s="458"/>
      <c r="J659" s="458"/>
      <c r="K659" s="458"/>
      <c r="L659" s="458"/>
      <c r="M659" s="458"/>
      <c r="N659" s="458"/>
      <c r="O659" s="443"/>
      <c r="P659" s="447"/>
    </row>
    <row r="660" spans="1:16" s="497" customFormat="1" ht="15">
      <c r="A660" s="443"/>
      <c r="B660" s="443"/>
      <c r="C660" s="443"/>
      <c r="D660" s="443"/>
      <c r="E660" s="458"/>
      <c r="F660" s="458"/>
      <c r="G660" s="458"/>
      <c r="H660" s="458"/>
      <c r="I660" s="458"/>
      <c r="J660" s="458"/>
      <c r="K660" s="458"/>
      <c r="L660" s="458"/>
      <c r="M660" s="458"/>
      <c r="N660" s="458"/>
      <c r="O660" s="443"/>
      <c r="P660" s="447"/>
    </row>
    <row r="661" spans="1:16" s="497" customFormat="1" ht="15">
      <c r="A661" s="443"/>
      <c r="B661" s="443"/>
      <c r="C661" s="443"/>
      <c r="D661" s="443"/>
      <c r="E661" s="458"/>
      <c r="F661" s="458"/>
      <c r="G661" s="458"/>
      <c r="H661" s="458"/>
      <c r="I661" s="458"/>
      <c r="J661" s="458"/>
      <c r="K661" s="458"/>
      <c r="L661" s="458"/>
      <c r="M661" s="458"/>
      <c r="N661" s="458"/>
      <c r="O661" s="443"/>
      <c r="P661" s="447"/>
    </row>
    <row r="662" spans="1:16" s="497" customFormat="1" ht="15">
      <c r="A662" s="443"/>
      <c r="B662" s="443"/>
      <c r="C662" s="443"/>
      <c r="D662" s="443"/>
      <c r="E662" s="458"/>
      <c r="F662" s="458"/>
      <c r="G662" s="458"/>
      <c r="H662" s="458"/>
      <c r="I662" s="458"/>
      <c r="J662" s="458"/>
      <c r="K662" s="458"/>
      <c r="L662" s="458"/>
      <c r="M662" s="458"/>
      <c r="N662" s="458"/>
      <c r="O662" s="443"/>
      <c r="P662" s="447"/>
    </row>
    <row r="663" spans="1:16" s="497" customFormat="1" ht="15">
      <c r="A663" s="443"/>
      <c r="B663" s="443"/>
      <c r="C663" s="443"/>
      <c r="D663" s="443"/>
      <c r="E663" s="458"/>
      <c r="F663" s="458"/>
      <c r="G663" s="458"/>
      <c r="H663" s="458"/>
      <c r="I663" s="458"/>
      <c r="J663" s="458"/>
      <c r="K663" s="458"/>
      <c r="L663" s="458"/>
      <c r="M663" s="458"/>
      <c r="N663" s="458"/>
      <c r="O663" s="443"/>
      <c r="P663" s="447"/>
    </row>
    <row r="664" spans="1:16" s="497" customFormat="1" ht="15">
      <c r="A664" s="443"/>
      <c r="B664" s="443"/>
      <c r="C664" s="443"/>
      <c r="D664" s="443"/>
      <c r="E664" s="458"/>
      <c r="F664" s="458"/>
      <c r="G664" s="458"/>
      <c r="H664" s="458"/>
      <c r="I664" s="458"/>
      <c r="J664" s="458"/>
      <c r="K664" s="458"/>
      <c r="L664" s="458"/>
      <c r="M664" s="458"/>
      <c r="N664" s="458"/>
      <c r="O664" s="443"/>
      <c r="P664" s="447"/>
    </row>
    <row r="665" spans="1:16" s="497" customFormat="1" ht="15">
      <c r="A665" s="443"/>
      <c r="B665" s="443"/>
      <c r="C665" s="443"/>
      <c r="D665" s="443"/>
      <c r="E665" s="458"/>
      <c r="F665" s="458"/>
      <c r="G665" s="458"/>
      <c r="H665" s="458"/>
      <c r="I665" s="458"/>
      <c r="J665" s="458"/>
      <c r="K665" s="458"/>
      <c r="L665" s="458"/>
      <c r="M665" s="458"/>
      <c r="N665" s="458"/>
      <c r="O665" s="443"/>
      <c r="P665" s="447"/>
    </row>
    <row r="666" spans="1:16" s="497" customFormat="1" ht="15">
      <c r="A666" s="443"/>
      <c r="B666" s="443"/>
      <c r="C666" s="443"/>
      <c r="D666" s="443"/>
      <c r="E666" s="458"/>
      <c r="F666" s="458"/>
      <c r="G666" s="458"/>
      <c r="H666" s="458"/>
      <c r="I666" s="458"/>
      <c r="J666" s="458"/>
      <c r="K666" s="458"/>
      <c r="L666" s="458"/>
      <c r="M666" s="458"/>
      <c r="N666" s="458"/>
      <c r="O666" s="443"/>
      <c r="P666" s="447"/>
    </row>
    <row r="667" spans="1:16" s="497" customFormat="1" ht="15">
      <c r="A667" s="443"/>
      <c r="B667" s="443"/>
      <c r="C667" s="443"/>
      <c r="D667" s="443"/>
      <c r="E667" s="458"/>
      <c r="F667" s="458"/>
      <c r="G667" s="458"/>
      <c r="H667" s="458"/>
      <c r="I667" s="458"/>
      <c r="J667" s="458"/>
      <c r="K667" s="458"/>
      <c r="L667" s="458"/>
      <c r="M667" s="458"/>
      <c r="N667" s="458"/>
      <c r="O667" s="443"/>
      <c r="P667" s="447"/>
    </row>
    <row r="668" spans="1:16" s="497" customFormat="1" ht="15">
      <c r="A668" s="443"/>
      <c r="B668" s="443"/>
      <c r="C668" s="443"/>
      <c r="D668" s="443"/>
      <c r="E668" s="458"/>
      <c r="F668" s="458"/>
      <c r="G668" s="458"/>
      <c r="H668" s="458"/>
      <c r="I668" s="458"/>
      <c r="J668" s="458"/>
      <c r="K668" s="458"/>
      <c r="L668" s="458"/>
      <c r="M668" s="458"/>
      <c r="N668" s="458"/>
      <c r="O668" s="443"/>
      <c r="P668" s="447"/>
    </row>
    <row r="669" spans="1:16" s="497" customFormat="1" ht="15">
      <c r="A669" s="443"/>
      <c r="B669" s="443"/>
      <c r="C669" s="443"/>
      <c r="D669" s="443"/>
      <c r="E669" s="458"/>
      <c r="F669" s="458"/>
      <c r="G669" s="458"/>
      <c r="H669" s="458"/>
      <c r="I669" s="458"/>
      <c r="J669" s="458"/>
      <c r="K669" s="458"/>
      <c r="L669" s="458"/>
      <c r="M669" s="458"/>
      <c r="N669" s="458"/>
      <c r="O669" s="443"/>
      <c r="P669" s="447"/>
    </row>
    <row r="670" spans="1:16" s="497" customFormat="1" ht="15">
      <c r="A670" s="443"/>
      <c r="B670" s="443"/>
      <c r="C670" s="443"/>
      <c r="D670" s="443"/>
      <c r="E670" s="458"/>
      <c r="F670" s="458"/>
      <c r="G670" s="458"/>
      <c r="H670" s="458"/>
      <c r="I670" s="458"/>
      <c r="J670" s="458"/>
      <c r="K670" s="458"/>
      <c r="L670" s="458"/>
      <c r="M670" s="458"/>
      <c r="N670" s="458"/>
      <c r="O670" s="443"/>
      <c r="P670" s="447"/>
    </row>
    <row r="671" spans="1:16" s="497" customFormat="1" ht="15">
      <c r="A671" s="443"/>
      <c r="B671" s="443"/>
      <c r="C671" s="443"/>
      <c r="D671" s="443"/>
      <c r="E671" s="458"/>
      <c r="F671" s="458"/>
      <c r="G671" s="458"/>
      <c r="H671" s="458"/>
      <c r="I671" s="458"/>
      <c r="J671" s="458"/>
      <c r="K671" s="458"/>
      <c r="L671" s="458"/>
      <c r="M671" s="458"/>
      <c r="N671" s="458"/>
      <c r="O671" s="443"/>
      <c r="P671" s="447"/>
    </row>
    <row r="672" spans="1:16" s="497" customFormat="1" ht="15">
      <c r="A672" s="443"/>
      <c r="B672" s="443"/>
      <c r="C672" s="443"/>
      <c r="D672" s="443"/>
      <c r="E672" s="458"/>
      <c r="F672" s="458"/>
      <c r="G672" s="458"/>
      <c r="H672" s="458"/>
      <c r="I672" s="458"/>
      <c r="J672" s="458"/>
      <c r="K672" s="458"/>
      <c r="L672" s="458"/>
      <c r="M672" s="458"/>
      <c r="N672" s="458"/>
      <c r="O672" s="443"/>
      <c r="P672" s="447"/>
    </row>
    <row r="673" spans="1:16" s="497" customFormat="1" ht="15">
      <c r="A673" s="443"/>
      <c r="B673" s="443"/>
      <c r="C673" s="443"/>
      <c r="D673" s="443"/>
      <c r="E673" s="458"/>
      <c r="F673" s="458"/>
      <c r="G673" s="458"/>
      <c r="H673" s="458"/>
      <c r="I673" s="458"/>
      <c r="J673" s="458"/>
      <c r="K673" s="458"/>
      <c r="L673" s="458"/>
      <c r="M673" s="458"/>
      <c r="N673" s="458"/>
      <c r="O673" s="443"/>
      <c r="P673" s="447"/>
    </row>
    <row r="674" spans="1:16" s="497" customFormat="1" ht="15">
      <c r="A674" s="443"/>
      <c r="B674" s="443"/>
      <c r="C674" s="443"/>
      <c r="D674" s="443"/>
      <c r="E674" s="458"/>
      <c r="F674" s="458"/>
      <c r="G674" s="458"/>
      <c r="H674" s="458"/>
      <c r="I674" s="458"/>
      <c r="J674" s="458"/>
      <c r="K674" s="458"/>
      <c r="L674" s="458"/>
      <c r="M674" s="458"/>
      <c r="N674" s="458"/>
      <c r="O674" s="443"/>
      <c r="P674" s="447"/>
    </row>
    <row r="675" spans="1:16" s="497" customFormat="1" ht="15">
      <c r="A675" s="443"/>
      <c r="B675" s="443"/>
      <c r="C675" s="443"/>
      <c r="D675" s="443"/>
      <c r="E675" s="458"/>
      <c r="F675" s="458"/>
      <c r="G675" s="458"/>
      <c r="H675" s="458"/>
      <c r="I675" s="458"/>
      <c r="J675" s="458"/>
      <c r="K675" s="458"/>
      <c r="L675" s="458"/>
      <c r="M675" s="458"/>
      <c r="N675" s="458"/>
      <c r="O675" s="443"/>
      <c r="P675" s="447"/>
    </row>
    <row r="676" spans="1:16" s="497" customFormat="1" ht="15">
      <c r="A676" s="443"/>
      <c r="B676" s="443"/>
      <c r="C676" s="443"/>
      <c r="D676" s="443"/>
      <c r="E676" s="458"/>
      <c r="F676" s="458"/>
      <c r="G676" s="458"/>
      <c r="H676" s="458"/>
      <c r="I676" s="458"/>
      <c r="J676" s="458"/>
      <c r="K676" s="458"/>
      <c r="L676" s="458"/>
      <c r="M676" s="458"/>
      <c r="N676" s="458"/>
      <c r="O676" s="443"/>
      <c r="P676" s="447"/>
    </row>
    <row r="677" spans="1:16" s="497" customFormat="1" ht="15">
      <c r="A677" s="443"/>
      <c r="B677" s="443"/>
      <c r="C677" s="443"/>
      <c r="D677" s="443"/>
      <c r="E677" s="458"/>
      <c r="F677" s="458"/>
      <c r="G677" s="458"/>
      <c r="H677" s="458"/>
      <c r="I677" s="458"/>
      <c r="J677" s="458"/>
      <c r="K677" s="458"/>
      <c r="L677" s="458"/>
      <c r="M677" s="458"/>
      <c r="N677" s="458"/>
      <c r="O677" s="443"/>
      <c r="P677" s="447"/>
    </row>
    <row r="678" spans="1:16" s="497" customFormat="1" ht="15">
      <c r="A678" s="443"/>
      <c r="B678" s="443"/>
      <c r="C678" s="443"/>
      <c r="D678" s="443"/>
      <c r="E678" s="458"/>
      <c r="F678" s="458"/>
      <c r="G678" s="458"/>
      <c r="H678" s="458"/>
      <c r="I678" s="458"/>
      <c r="J678" s="458"/>
      <c r="K678" s="458"/>
      <c r="L678" s="458"/>
      <c r="M678" s="458"/>
      <c r="N678" s="458"/>
      <c r="O678" s="443"/>
      <c r="P678" s="447"/>
    </row>
    <row r="679" spans="1:16" s="497" customFormat="1" ht="15">
      <c r="A679" s="443"/>
      <c r="B679" s="443"/>
      <c r="C679" s="443"/>
      <c r="D679" s="443"/>
      <c r="E679" s="458"/>
      <c r="F679" s="458"/>
      <c r="G679" s="458"/>
      <c r="H679" s="458"/>
      <c r="I679" s="458"/>
      <c r="J679" s="458"/>
      <c r="K679" s="458"/>
      <c r="L679" s="458"/>
      <c r="M679" s="458"/>
      <c r="N679" s="458"/>
      <c r="O679" s="443"/>
      <c r="P679" s="447"/>
    </row>
    <row r="680" spans="1:16" s="497" customFormat="1" ht="15">
      <c r="A680" s="443"/>
      <c r="B680" s="443"/>
      <c r="C680" s="443"/>
      <c r="D680" s="443"/>
      <c r="E680" s="458"/>
      <c r="F680" s="458"/>
      <c r="G680" s="458"/>
      <c r="H680" s="458"/>
      <c r="I680" s="458"/>
      <c r="J680" s="458"/>
      <c r="K680" s="458"/>
      <c r="L680" s="458"/>
      <c r="M680" s="458"/>
      <c r="N680" s="458"/>
      <c r="O680" s="443"/>
      <c r="P680" s="447"/>
    </row>
    <row r="681" spans="1:16" s="497" customFormat="1" ht="15">
      <c r="A681" s="443"/>
      <c r="B681" s="443"/>
      <c r="C681" s="443"/>
      <c r="D681" s="443"/>
      <c r="E681" s="458"/>
      <c r="F681" s="458"/>
      <c r="G681" s="458"/>
      <c r="H681" s="458"/>
      <c r="I681" s="458"/>
      <c r="J681" s="458"/>
      <c r="K681" s="458"/>
      <c r="L681" s="458"/>
      <c r="M681" s="458"/>
      <c r="N681" s="458"/>
      <c r="O681" s="443"/>
      <c r="P681" s="447"/>
    </row>
    <row r="682" spans="1:16" s="497" customFormat="1" ht="15">
      <c r="A682" s="443"/>
      <c r="B682" s="443"/>
      <c r="C682" s="443"/>
      <c r="D682" s="443"/>
      <c r="E682" s="458"/>
      <c r="F682" s="458"/>
      <c r="G682" s="458"/>
      <c r="H682" s="458"/>
      <c r="I682" s="458"/>
      <c r="J682" s="458"/>
      <c r="K682" s="458"/>
      <c r="L682" s="458"/>
      <c r="M682" s="458"/>
      <c r="N682" s="458"/>
      <c r="O682" s="443"/>
      <c r="P682" s="447"/>
    </row>
    <row r="683" spans="1:16" s="497" customFormat="1" ht="15">
      <c r="A683" s="443"/>
      <c r="B683" s="443"/>
      <c r="C683" s="443"/>
      <c r="D683" s="443"/>
      <c r="E683" s="458"/>
      <c r="F683" s="458"/>
      <c r="G683" s="458"/>
      <c r="H683" s="458"/>
      <c r="I683" s="458"/>
      <c r="J683" s="458"/>
      <c r="K683" s="458"/>
      <c r="L683" s="458"/>
      <c r="M683" s="458"/>
      <c r="N683" s="458"/>
      <c r="O683" s="443"/>
      <c r="P683" s="447"/>
    </row>
    <row r="684" spans="1:16" s="497" customFormat="1" ht="15">
      <c r="A684" s="443"/>
      <c r="B684" s="443"/>
      <c r="C684" s="443"/>
      <c r="D684" s="443"/>
      <c r="E684" s="458"/>
      <c r="F684" s="458"/>
      <c r="G684" s="458"/>
      <c r="H684" s="458"/>
      <c r="I684" s="458"/>
      <c r="J684" s="458"/>
      <c r="K684" s="458"/>
      <c r="L684" s="458"/>
      <c r="M684" s="458"/>
      <c r="N684" s="458"/>
      <c r="O684" s="443"/>
      <c r="P684" s="447"/>
    </row>
    <row r="685" spans="1:16" s="497" customFormat="1" ht="15">
      <c r="A685" s="443"/>
      <c r="B685" s="443"/>
      <c r="C685" s="443"/>
      <c r="D685" s="443"/>
      <c r="E685" s="458"/>
      <c r="F685" s="458"/>
      <c r="G685" s="458"/>
      <c r="H685" s="458"/>
      <c r="I685" s="458"/>
      <c r="J685" s="458"/>
      <c r="K685" s="458"/>
      <c r="L685" s="458"/>
      <c r="M685" s="458"/>
      <c r="N685" s="458"/>
      <c r="O685" s="443"/>
      <c r="P685" s="447"/>
    </row>
    <row r="686" spans="1:16" s="497" customFormat="1" ht="15">
      <c r="A686" s="443"/>
      <c r="B686" s="443"/>
      <c r="C686" s="443"/>
      <c r="D686" s="443"/>
      <c r="E686" s="458"/>
      <c r="F686" s="458"/>
      <c r="G686" s="458"/>
      <c r="H686" s="458"/>
      <c r="I686" s="458"/>
      <c r="J686" s="458"/>
      <c r="K686" s="458"/>
      <c r="L686" s="458"/>
      <c r="M686" s="458"/>
      <c r="N686" s="458"/>
      <c r="O686" s="443"/>
      <c r="P686" s="447"/>
    </row>
    <row r="687" spans="1:16" s="497" customFormat="1" ht="15">
      <c r="A687" s="443"/>
      <c r="B687" s="443"/>
      <c r="C687" s="443"/>
      <c r="D687" s="443"/>
      <c r="E687" s="458"/>
      <c r="F687" s="458"/>
      <c r="G687" s="458"/>
      <c r="H687" s="458"/>
      <c r="I687" s="458"/>
      <c r="J687" s="458"/>
      <c r="K687" s="458"/>
      <c r="L687" s="458"/>
      <c r="M687" s="458"/>
      <c r="N687" s="458"/>
      <c r="O687" s="443"/>
      <c r="P687" s="447"/>
    </row>
    <row r="688" spans="1:16" s="497" customFormat="1" ht="15">
      <c r="A688" s="443"/>
      <c r="B688" s="443"/>
      <c r="C688" s="443"/>
      <c r="D688" s="443"/>
      <c r="E688" s="458"/>
      <c r="F688" s="458"/>
      <c r="G688" s="458"/>
      <c r="H688" s="458"/>
      <c r="I688" s="458"/>
      <c r="J688" s="458"/>
      <c r="K688" s="458"/>
      <c r="L688" s="458"/>
      <c r="M688" s="458"/>
      <c r="N688" s="458"/>
      <c r="O688" s="443"/>
      <c r="P688" s="447"/>
    </row>
    <row r="689" spans="1:16" s="497" customFormat="1" ht="15">
      <c r="A689" s="443"/>
      <c r="B689" s="443"/>
      <c r="C689" s="443"/>
      <c r="D689" s="443"/>
      <c r="E689" s="458"/>
      <c r="F689" s="458"/>
      <c r="G689" s="458"/>
      <c r="H689" s="458"/>
      <c r="I689" s="458"/>
      <c r="J689" s="458"/>
      <c r="K689" s="458"/>
      <c r="L689" s="458"/>
      <c r="M689" s="458"/>
      <c r="N689" s="458"/>
      <c r="O689" s="443"/>
      <c r="P689" s="447"/>
    </row>
    <row r="690" spans="1:16" s="497" customFormat="1" ht="15">
      <c r="A690" s="443"/>
      <c r="B690" s="443"/>
      <c r="C690" s="443"/>
      <c r="D690" s="443"/>
      <c r="E690" s="458"/>
      <c r="F690" s="458"/>
      <c r="G690" s="458"/>
      <c r="H690" s="458"/>
      <c r="I690" s="458"/>
      <c r="J690" s="458"/>
      <c r="K690" s="458"/>
      <c r="L690" s="458"/>
      <c r="M690" s="458"/>
      <c r="N690" s="458"/>
      <c r="O690" s="443"/>
      <c r="P690" s="447"/>
    </row>
    <row r="691" spans="1:16" s="497" customFormat="1" ht="15">
      <c r="A691" s="443"/>
      <c r="B691" s="443"/>
      <c r="C691" s="443"/>
      <c r="D691" s="443"/>
      <c r="E691" s="458"/>
      <c r="F691" s="458"/>
      <c r="G691" s="458"/>
      <c r="H691" s="458"/>
      <c r="I691" s="458"/>
      <c r="J691" s="458"/>
      <c r="K691" s="458"/>
      <c r="L691" s="458"/>
      <c r="M691" s="458"/>
      <c r="N691" s="458"/>
      <c r="O691" s="443"/>
      <c r="P691" s="447"/>
    </row>
    <row r="692" spans="1:16" s="497" customFormat="1" ht="15">
      <c r="A692" s="443"/>
      <c r="B692" s="443"/>
      <c r="C692" s="443"/>
      <c r="D692" s="443"/>
      <c r="E692" s="458"/>
      <c r="F692" s="458"/>
      <c r="G692" s="458"/>
      <c r="H692" s="458"/>
      <c r="I692" s="458"/>
      <c r="J692" s="458"/>
      <c r="K692" s="458"/>
      <c r="L692" s="458"/>
      <c r="M692" s="458"/>
      <c r="N692" s="458"/>
      <c r="O692" s="443"/>
      <c r="P692" s="447"/>
    </row>
    <row r="693" spans="1:16" s="497" customFormat="1" ht="15">
      <c r="A693" s="443"/>
      <c r="B693" s="443"/>
      <c r="C693" s="443"/>
      <c r="D693" s="443"/>
      <c r="E693" s="458"/>
      <c r="F693" s="458"/>
      <c r="G693" s="458"/>
      <c r="H693" s="458"/>
      <c r="I693" s="458"/>
      <c r="J693" s="458"/>
      <c r="K693" s="458"/>
      <c r="L693" s="458"/>
      <c r="M693" s="458"/>
      <c r="N693" s="458"/>
      <c r="O693" s="443"/>
      <c r="P693" s="447"/>
    </row>
    <row r="694" spans="1:16" s="497" customFormat="1" ht="15">
      <c r="A694" s="443"/>
      <c r="B694" s="443"/>
      <c r="C694" s="443"/>
      <c r="D694" s="443"/>
      <c r="E694" s="458"/>
      <c r="F694" s="458"/>
      <c r="G694" s="458"/>
      <c r="H694" s="458"/>
      <c r="I694" s="458"/>
      <c r="J694" s="458"/>
      <c r="K694" s="458"/>
      <c r="L694" s="458"/>
      <c r="M694" s="458"/>
      <c r="N694" s="458"/>
      <c r="O694" s="443"/>
      <c r="P694" s="447"/>
    </row>
    <row r="695" spans="1:16" s="497" customFormat="1" ht="15">
      <c r="A695" s="443"/>
      <c r="B695" s="443"/>
      <c r="C695" s="443"/>
      <c r="D695" s="443"/>
      <c r="E695" s="458"/>
      <c r="F695" s="458"/>
      <c r="G695" s="458"/>
      <c r="H695" s="458"/>
      <c r="I695" s="458"/>
      <c r="J695" s="458"/>
      <c r="K695" s="458"/>
      <c r="L695" s="458"/>
      <c r="M695" s="458"/>
      <c r="N695" s="458"/>
      <c r="O695" s="443"/>
      <c r="P695" s="447"/>
    </row>
    <row r="696" spans="1:16" s="497" customFormat="1" ht="15">
      <c r="A696" s="443"/>
      <c r="B696" s="443"/>
      <c r="C696" s="443"/>
      <c r="D696" s="443"/>
      <c r="E696" s="458"/>
      <c r="F696" s="458"/>
      <c r="G696" s="458"/>
      <c r="H696" s="458"/>
      <c r="I696" s="458"/>
      <c r="J696" s="458"/>
      <c r="K696" s="458"/>
      <c r="L696" s="458"/>
      <c r="M696" s="458"/>
      <c r="N696" s="458"/>
      <c r="O696" s="443"/>
      <c r="P696" s="447"/>
    </row>
    <row r="697" spans="1:16" s="497" customFormat="1" ht="15">
      <c r="A697" s="443"/>
      <c r="B697" s="443"/>
      <c r="C697" s="443"/>
      <c r="D697" s="443"/>
      <c r="E697" s="458"/>
      <c r="F697" s="458"/>
      <c r="G697" s="458"/>
      <c r="H697" s="458"/>
      <c r="I697" s="458"/>
      <c r="J697" s="458"/>
      <c r="K697" s="458"/>
      <c r="L697" s="458"/>
      <c r="M697" s="458"/>
      <c r="N697" s="458"/>
      <c r="O697" s="443"/>
      <c r="P697" s="447"/>
    </row>
    <row r="698" spans="1:16" s="497" customFormat="1" ht="15">
      <c r="A698" s="443"/>
      <c r="B698" s="443"/>
      <c r="C698" s="443"/>
      <c r="D698" s="443"/>
      <c r="E698" s="458"/>
      <c r="F698" s="458"/>
      <c r="G698" s="458"/>
      <c r="H698" s="458"/>
      <c r="I698" s="458"/>
      <c r="J698" s="458"/>
      <c r="K698" s="458"/>
      <c r="L698" s="458"/>
      <c r="M698" s="458"/>
      <c r="N698" s="458"/>
      <c r="O698" s="443"/>
      <c r="P698" s="447"/>
    </row>
    <row r="699" spans="1:16" s="497" customFormat="1" ht="15">
      <c r="A699" s="443"/>
      <c r="B699" s="443"/>
      <c r="C699" s="443"/>
      <c r="D699" s="443"/>
      <c r="E699" s="458"/>
      <c r="F699" s="458"/>
      <c r="G699" s="458"/>
      <c r="H699" s="458"/>
      <c r="I699" s="458"/>
      <c r="J699" s="458"/>
      <c r="K699" s="458"/>
      <c r="L699" s="458"/>
      <c r="M699" s="458"/>
      <c r="N699" s="458"/>
      <c r="O699" s="443"/>
      <c r="P699" s="447"/>
    </row>
    <row r="700" spans="1:16" s="497" customFormat="1" ht="15">
      <c r="A700" s="443"/>
      <c r="B700" s="443"/>
      <c r="C700" s="443"/>
      <c r="D700" s="443"/>
      <c r="E700" s="458"/>
      <c r="F700" s="458"/>
      <c r="G700" s="458"/>
      <c r="H700" s="458"/>
      <c r="I700" s="458"/>
      <c r="J700" s="458"/>
      <c r="K700" s="458"/>
      <c r="L700" s="458"/>
      <c r="M700" s="458"/>
      <c r="N700" s="458"/>
      <c r="O700" s="443"/>
      <c r="P700" s="447"/>
    </row>
    <row r="701" spans="1:16" s="497" customFormat="1" ht="15">
      <c r="A701" s="443"/>
      <c r="B701" s="443"/>
      <c r="C701" s="443"/>
      <c r="D701" s="443"/>
      <c r="E701" s="458"/>
      <c r="F701" s="458"/>
      <c r="G701" s="458"/>
      <c r="H701" s="458"/>
      <c r="I701" s="458"/>
      <c r="J701" s="458"/>
      <c r="K701" s="458"/>
      <c r="L701" s="458"/>
      <c r="M701" s="458"/>
      <c r="N701" s="458"/>
      <c r="O701" s="443"/>
      <c r="P701" s="447"/>
    </row>
    <row r="702" spans="1:16" s="497" customFormat="1" ht="15">
      <c r="A702" s="443"/>
      <c r="B702" s="443"/>
      <c r="C702" s="443"/>
      <c r="D702" s="443"/>
      <c r="E702" s="458"/>
      <c r="F702" s="458"/>
      <c r="G702" s="458"/>
      <c r="H702" s="458"/>
      <c r="I702" s="458"/>
      <c r="J702" s="458"/>
      <c r="K702" s="458"/>
      <c r="L702" s="458"/>
      <c r="M702" s="458"/>
      <c r="N702" s="458"/>
      <c r="O702" s="443"/>
      <c r="P702" s="447"/>
    </row>
    <row r="703" spans="1:16" s="497" customFormat="1" ht="15">
      <c r="A703" s="443"/>
      <c r="B703" s="443"/>
      <c r="C703" s="443"/>
      <c r="D703" s="443"/>
      <c r="E703" s="458"/>
      <c r="F703" s="458"/>
      <c r="G703" s="458"/>
      <c r="H703" s="458"/>
      <c r="I703" s="458"/>
      <c r="J703" s="458"/>
      <c r="K703" s="458"/>
      <c r="L703" s="458"/>
      <c r="M703" s="458"/>
      <c r="N703" s="458"/>
      <c r="O703" s="443"/>
      <c r="P703" s="447"/>
    </row>
    <row r="704" spans="1:16" s="497" customFormat="1" ht="15">
      <c r="A704" s="443"/>
      <c r="B704" s="443"/>
      <c r="C704" s="443"/>
      <c r="D704" s="443"/>
      <c r="E704" s="458"/>
      <c r="F704" s="458"/>
      <c r="G704" s="458"/>
      <c r="H704" s="458"/>
      <c r="I704" s="458"/>
      <c r="J704" s="458"/>
      <c r="K704" s="458"/>
      <c r="L704" s="458"/>
      <c r="M704" s="458"/>
      <c r="N704" s="458"/>
      <c r="O704" s="443"/>
      <c r="P704" s="447"/>
    </row>
    <row r="705" spans="1:16" s="497" customFormat="1" ht="15">
      <c r="A705" s="443"/>
      <c r="B705" s="443"/>
      <c r="C705" s="443"/>
      <c r="D705" s="443"/>
      <c r="E705" s="458"/>
      <c r="F705" s="458"/>
      <c r="G705" s="458"/>
      <c r="H705" s="458"/>
      <c r="I705" s="458"/>
      <c r="J705" s="458"/>
      <c r="K705" s="458"/>
      <c r="L705" s="458"/>
      <c r="M705" s="458"/>
      <c r="N705" s="458"/>
      <c r="O705" s="443"/>
      <c r="P705" s="447"/>
    </row>
    <row r="706" spans="1:16" s="497" customFormat="1" ht="15">
      <c r="A706" s="443"/>
      <c r="B706" s="443"/>
      <c r="C706" s="443"/>
      <c r="D706" s="443"/>
      <c r="E706" s="458"/>
      <c r="F706" s="458"/>
      <c r="G706" s="458"/>
      <c r="H706" s="458"/>
      <c r="I706" s="458"/>
      <c r="J706" s="458"/>
      <c r="K706" s="458"/>
      <c r="L706" s="458"/>
      <c r="M706" s="458"/>
      <c r="N706" s="458"/>
      <c r="O706" s="443"/>
      <c r="P706" s="447"/>
    </row>
    <row r="707" spans="1:16" s="497" customFormat="1" ht="15">
      <c r="A707" s="443"/>
      <c r="B707" s="443"/>
      <c r="C707" s="443"/>
      <c r="D707" s="443"/>
      <c r="E707" s="458"/>
      <c r="F707" s="458"/>
      <c r="G707" s="458"/>
      <c r="H707" s="458"/>
      <c r="I707" s="458"/>
      <c r="J707" s="458"/>
      <c r="K707" s="458"/>
      <c r="L707" s="458"/>
      <c r="M707" s="458"/>
      <c r="N707" s="458"/>
      <c r="O707" s="443"/>
      <c r="P707" s="447"/>
    </row>
    <row r="708" spans="1:16" s="497" customFormat="1" ht="15">
      <c r="A708" s="443"/>
      <c r="B708" s="443"/>
      <c r="C708" s="443"/>
      <c r="D708" s="443"/>
      <c r="E708" s="458"/>
      <c r="F708" s="458"/>
      <c r="G708" s="458"/>
      <c r="H708" s="458"/>
      <c r="I708" s="458"/>
      <c r="J708" s="458"/>
      <c r="K708" s="458"/>
      <c r="L708" s="458"/>
      <c r="M708" s="458"/>
      <c r="N708" s="458"/>
      <c r="O708" s="443"/>
      <c r="P708" s="447"/>
    </row>
    <row r="709" spans="1:16" s="497" customFormat="1" ht="15">
      <c r="A709" s="443"/>
      <c r="B709" s="443"/>
      <c r="C709" s="443"/>
      <c r="D709" s="443"/>
      <c r="E709" s="458"/>
      <c r="F709" s="458"/>
      <c r="G709" s="458"/>
      <c r="H709" s="458"/>
      <c r="I709" s="458"/>
      <c r="J709" s="458"/>
      <c r="K709" s="458"/>
      <c r="L709" s="458"/>
      <c r="M709" s="458"/>
      <c r="N709" s="458"/>
      <c r="O709" s="443"/>
      <c r="P709" s="447"/>
    </row>
    <row r="710" spans="1:16" s="497" customFormat="1" ht="15">
      <c r="A710" s="443"/>
      <c r="B710" s="443"/>
      <c r="C710" s="443"/>
      <c r="D710" s="443"/>
      <c r="E710" s="458"/>
      <c r="F710" s="458"/>
      <c r="G710" s="458"/>
      <c r="H710" s="458"/>
      <c r="I710" s="458"/>
      <c r="J710" s="458"/>
      <c r="K710" s="458"/>
      <c r="L710" s="458"/>
      <c r="M710" s="458"/>
      <c r="N710" s="458"/>
      <c r="O710" s="443"/>
      <c r="P710" s="447"/>
    </row>
    <row r="711" spans="1:16" s="497" customFormat="1" ht="15">
      <c r="A711" s="443"/>
      <c r="B711" s="443"/>
      <c r="C711" s="443"/>
      <c r="D711" s="443"/>
      <c r="E711" s="458"/>
      <c r="F711" s="458"/>
      <c r="G711" s="458"/>
      <c r="H711" s="458"/>
      <c r="I711" s="458"/>
      <c r="J711" s="458"/>
      <c r="K711" s="458"/>
      <c r="L711" s="458"/>
      <c r="M711" s="458"/>
      <c r="N711" s="458"/>
      <c r="O711" s="443"/>
      <c r="P711" s="447"/>
    </row>
    <row r="712" spans="1:16" s="497" customFormat="1" ht="15">
      <c r="A712" s="443"/>
      <c r="B712" s="443"/>
      <c r="C712" s="443"/>
      <c r="D712" s="443"/>
      <c r="E712" s="458"/>
      <c r="F712" s="458"/>
      <c r="G712" s="458"/>
      <c r="H712" s="458"/>
      <c r="I712" s="458"/>
      <c r="J712" s="458"/>
      <c r="K712" s="458"/>
      <c r="L712" s="458"/>
      <c r="M712" s="458"/>
      <c r="N712" s="458"/>
      <c r="O712" s="443"/>
      <c r="P712" s="447"/>
    </row>
    <row r="713" spans="1:16" s="497" customFormat="1" ht="15">
      <c r="A713" s="443"/>
      <c r="B713" s="443"/>
      <c r="C713" s="443"/>
      <c r="D713" s="443"/>
      <c r="E713" s="458"/>
      <c r="F713" s="458"/>
      <c r="G713" s="458"/>
      <c r="H713" s="458"/>
      <c r="I713" s="458"/>
      <c r="J713" s="458"/>
      <c r="K713" s="458"/>
      <c r="L713" s="458"/>
      <c r="M713" s="458"/>
      <c r="N713" s="458"/>
      <c r="O713" s="443"/>
      <c r="P713" s="447"/>
    </row>
    <row r="714" spans="1:16" s="497" customFormat="1" ht="15">
      <c r="A714" s="443"/>
      <c r="B714" s="443"/>
      <c r="C714" s="443"/>
      <c r="D714" s="443"/>
      <c r="E714" s="458"/>
      <c r="F714" s="458"/>
      <c r="G714" s="458"/>
      <c r="H714" s="458"/>
      <c r="I714" s="458"/>
      <c r="J714" s="458"/>
      <c r="K714" s="458"/>
      <c r="L714" s="458"/>
      <c r="M714" s="458"/>
      <c r="N714" s="458"/>
      <c r="O714" s="443"/>
      <c r="P714" s="447"/>
    </row>
    <row r="715" spans="1:16" s="497" customFormat="1" ht="15">
      <c r="A715" s="443"/>
      <c r="B715" s="443"/>
      <c r="C715" s="443"/>
      <c r="D715" s="443"/>
      <c r="E715" s="458"/>
      <c r="F715" s="458"/>
      <c r="G715" s="458"/>
      <c r="H715" s="458"/>
      <c r="I715" s="458"/>
      <c r="J715" s="458"/>
      <c r="K715" s="458"/>
      <c r="L715" s="458"/>
      <c r="M715" s="458"/>
      <c r="N715" s="458"/>
      <c r="O715" s="443"/>
      <c r="P715" s="447"/>
    </row>
    <row r="716" spans="1:16" s="497" customFormat="1" ht="15">
      <c r="A716" s="443"/>
      <c r="B716" s="443"/>
      <c r="C716" s="443"/>
      <c r="D716" s="443"/>
      <c r="E716" s="458"/>
      <c r="F716" s="458"/>
      <c r="G716" s="458"/>
      <c r="H716" s="458"/>
      <c r="I716" s="458"/>
      <c r="J716" s="458"/>
      <c r="K716" s="458"/>
      <c r="L716" s="458"/>
      <c r="M716" s="458"/>
      <c r="N716" s="458"/>
      <c r="O716" s="443"/>
      <c r="P716" s="447"/>
    </row>
    <row r="717" spans="1:16" s="497" customFormat="1" ht="15">
      <c r="A717" s="443"/>
      <c r="B717" s="443"/>
      <c r="C717" s="443"/>
      <c r="D717" s="443"/>
      <c r="E717" s="458"/>
      <c r="F717" s="458"/>
      <c r="G717" s="458"/>
      <c r="H717" s="458"/>
      <c r="I717" s="458"/>
      <c r="J717" s="458"/>
      <c r="K717" s="458"/>
      <c r="L717" s="458"/>
      <c r="M717" s="458"/>
      <c r="N717" s="458"/>
      <c r="O717" s="443"/>
      <c r="P717" s="447"/>
    </row>
    <row r="718" spans="1:16" s="497" customFormat="1" ht="15">
      <c r="A718" s="443"/>
      <c r="B718" s="443"/>
      <c r="C718" s="443"/>
      <c r="D718" s="443"/>
      <c r="E718" s="458"/>
      <c r="F718" s="458"/>
      <c r="G718" s="458"/>
      <c r="H718" s="458"/>
      <c r="I718" s="458"/>
      <c r="J718" s="458"/>
      <c r="K718" s="458"/>
      <c r="L718" s="458"/>
      <c r="M718" s="458"/>
      <c r="N718" s="458"/>
      <c r="O718" s="443"/>
      <c r="P718" s="447"/>
    </row>
    <row r="719" spans="1:16" s="497" customFormat="1" ht="15">
      <c r="A719" s="443"/>
      <c r="B719" s="443"/>
      <c r="C719" s="443"/>
      <c r="D719" s="443"/>
      <c r="E719" s="458"/>
      <c r="F719" s="458"/>
      <c r="G719" s="458"/>
      <c r="H719" s="458"/>
      <c r="I719" s="458"/>
      <c r="J719" s="458"/>
      <c r="K719" s="458"/>
      <c r="L719" s="458"/>
      <c r="M719" s="458"/>
      <c r="N719" s="458"/>
      <c r="O719" s="443"/>
      <c r="P719" s="447"/>
    </row>
    <row r="720" spans="1:16" s="497" customFormat="1" ht="15">
      <c r="A720" s="443"/>
      <c r="B720" s="443"/>
      <c r="C720" s="443"/>
      <c r="D720" s="443"/>
      <c r="E720" s="458"/>
      <c r="F720" s="458"/>
      <c r="G720" s="458"/>
      <c r="H720" s="458"/>
      <c r="I720" s="458"/>
      <c r="J720" s="458"/>
      <c r="K720" s="458"/>
      <c r="L720" s="458"/>
      <c r="M720" s="458"/>
      <c r="N720" s="458"/>
      <c r="O720" s="443"/>
      <c r="P720" s="447"/>
    </row>
    <row r="721" spans="1:16" s="497" customFormat="1" ht="15">
      <c r="A721" s="443"/>
      <c r="B721" s="443"/>
      <c r="C721" s="443"/>
      <c r="D721" s="443"/>
      <c r="E721" s="458"/>
      <c r="F721" s="458"/>
      <c r="G721" s="458"/>
      <c r="H721" s="458"/>
      <c r="I721" s="458"/>
      <c r="J721" s="458"/>
      <c r="K721" s="458"/>
      <c r="L721" s="458"/>
      <c r="M721" s="458"/>
      <c r="N721" s="458"/>
      <c r="O721" s="443"/>
      <c r="P721" s="447"/>
    </row>
    <row r="722" spans="1:16" s="497" customFormat="1" ht="15">
      <c r="A722" s="443"/>
      <c r="B722" s="443"/>
      <c r="C722" s="443"/>
      <c r="D722" s="443"/>
      <c r="E722" s="458"/>
      <c r="F722" s="458"/>
      <c r="G722" s="458"/>
      <c r="H722" s="458"/>
      <c r="I722" s="458"/>
      <c r="J722" s="458"/>
      <c r="K722" s="458"/>
      <c r="L722" s="458"/>
      <c r="M722" s="458"/>
      <c r="N722" s="458"/>
      <c r="O722" s="443"/>
      <c r="P722" s="447"/>
    </row>
    <row r="723" spans="1:16" s="497" customFormat="1" ht="15">
      <c r="A723" s="443"/>
      <c r="B723" s="443"/>
      <c r="C723" s="443"/>
      <c r="D723" s="443"/>
      <c r="E723" s="458"/>
      <c r="F723" s="458"/>
      <c r="G723" s="458"/>
      <c r="H723" s="458"/>
      <c r="I723" s="458"/>
      <c r="J723" s="458"/>
      <c r="K723" s="458"/>
      <c r="L723" s="458"/>
      <c r="M723" s="458"/>
      <c r="N723" s="458"/>
      <c r="O723" s="443"/>
      <c r="P723" s="447"/>
    </row>
    <row r="724" spans="1:16" s="497" customFormat="1" ht="15">
      <c r="A724" s="443"/>
      <c r="B724" s="443"/>
      <c r="C724" s="443"/>
      <c r="D724" s="443"/>
      <c r="E724" s="458"/>
      <c r="F724" s="458"/>
      <c r="G724" s="458"/>
      <c r="H724" s="458"/>
      <c r="I724" s="458"/>
      <c r="J724" s="458"/>
      <c r="K724" s="458"/>
      <c r="L724" s="458"/>
      <c r="M724" s="458"/>
      <c r="N724" s="458"/>
      <c r="O724" s="443"/>
      <c r="P724" s="447"/>
    </row>
    <row r="725" spans="1:16" s="497" customFormat="1" ht="15">
      <c r="A725" s="443"/>
      <c r="B725" s="443"/>
      <c r="C725" s="443"/>
      <c r="D725" s="443"/>
      <c r="E725" s="458"/>
      <c r="F725" s="458"/>
      <c r="G725" s="458"/>
      <c r="H725" s="458"/>
      <c r="I725" s="458"/>
      <c r="J725" s="458"/>
      <c r="K725" s="458"/>
      <c r="L725" s="458"/>
      <c r="M725" s="458"/>
      <c r="N725" s="458"/>
      <c r="O725" s="443"/>
      <c r="P725" s="447"/>
    </row>
    <row r="726" spans="1:16" s="497" customFormat="1" ht="15">
      <c r="A726" s="443"/>
      <c r="B726" s="443"/>
      <c r="C726" s="443"/>
      <c r="D726" s="443"/>
      <c r="E726" s="458"/>
      <c r="F726" s="458"/>
      <c r="G726" s="458"/>
      <c r="H726" s="458"/>
      <c r="I726" s="458"/>
      <c r="J726" s="458"/>
      <c r="K726" s="458"/>
      <c r="L726" s="458"/>
      <c r="M726" s="458"/>
      <c r="N726" s="458"/>
      <c r="O726" s="443"/>
      <c r="P726" s="447"/>
    </row>
    <row r="727" spans="1:16" s="497" customFormat="1" ht="15">
      <c r="A727" s="443"/>
      <c r="B727" s="443"/>
      <c r="C727" s="443"/>
      <c r="D727" s="443"/>
      <c r="E727" s="458"/>
      <c r="F727" s="458"/>
      <c r="G727" s="458"/>
      <c r="H727" s="458"/>
      <c r="I727" s="458"/>
      <c r="J727" s="458"/>
      <c r="K727" s="458"/>
      <c r="L727" s="458"/>
      <c r="M727" s="458"/>
      <c r="N727" s="458"/>
      <c r="O727" s="443"/>
      <c r="P727" s="447"/>
    </row>
    <row r="728" spans="1:16" s="497" customFormat="1" ht="15">
      <c r="A728" s="443"/>
      <c r="B728" s="443"/>
      <c r="C728" s="443"/>
      <c r="D728" s="443"/>
      <c r="E728" s="458"/>
      <c r="F728" s="458"/>
      <c r="G728" s="458"/>
      <c r="H728" s="458"/>
      <c r="I728" s="458"/>
      <c r="J728" s="458"/>
      <c r="K728" s="458"/>
      <c r="L728" s="458"/>
      <c r="M728" s="458"/>
      <c r="N728" s="458"/>
      <c r="O728" s="443"/>
      <c r="P728" s="447"/>
    </row>
    <row r="729" spans="1:16" s="497" customFormat="1" ht="15">
      <c r="A729" s="443"/>
      <c r="B729" s="443"/>
      <c r="C729" s="443"/>
      <c r="D729" s="443"/>
      <c r="E729" s="458"/>
      <c r="F729" s="458"/>
      <c r="G729" s="458"/>
      <c r="H729" s="458"/>
      <c r="I729" s="458"/>
      <c r="J729" s="458"/>
      <c r="K729" s="458"/>
      <c r="L729" s="458"/>
      <c r="M729" s="458"/>
      <c r="N729" s="458"/>
      <c r="O729" s="443"/>
      <c r="P729" s="447"/>
    </row>
    <row r="730" spans="1:16" s="497" customFormat="1" ht="15">
      <c r="A730" s="443"/>
      <c r="B730" s="443"/>
      <c r="C730" s="443"/>
      <c r="D730" s="443"/>
      <c r="E730" s="458"/>
      <c r="F730" s="458"/>
      <c r="G730" s="458"/>
      <c r="H730" s="458"/>
      <c r="I730" s="458"/>
      <c r="J730" s="458"/>
      <c r="K730" s="458"/>
      <c r="L730" s="458"/>
      <c r="M730" s="458"/>
      <c r="N730" s="458"/>
      <c r="O730" s="443"/>
      <c r="P730" s="447"/>
    </row>
    <row r="731" spans="1:16" s="497" customFormat="1" ht="15">
      <c r="A731" s="443"/>
      <c r="B731" s="443"/>
      <c r="C731" s="443"/>
      <c r="D731" s="443"/>
      <c r="E731" s="458"/>
      <c r="F731" s="458"/>
      <c r="G731" s="458"/>
      <c r="H731" s="458"/>
      <c r="I731" s="458"/>
      <c r="J731" s="458"/>
      <c r="K731" s="458"/>
      <c r="L731" s="458"/>
      <c r="M731" s="458"/>
      <c r="N731" s="458"/>
      <c r="O731" s="443"/>
      <c r="P731" s="447"/>
    </row>
    <row r="732" spans="1:16" s="497" customFormat="1" ht="15">
      <c r="A732" s="443"/>
      <c r="B732" s="443"/>
      <c r="C732" s="443"/>
      <c r="D732" s="443"/>
      <c r="E732" s="458"/>
      <c r="F732" s="458"/>
      <c r="G732" s="458"/>
      <c r="H732" s="458"/>
      <c r="I732" s="458"/>
      <c r="J732" s="458"/>
      <c r="K732" s="458"/>
      <c r="L732" s="458"/>
      <c r="M732" s="458"/>
      <c r="N732" s="458"/>
      <c r="O732" s="443"/>
      <c r="P732" s="447"/>
    </row>
    <row r="733" spans="1:16" s="497" customFormat="1" ht="15">
      <c r="A733" s="443"/>
      <c r="B733" s="443"/>
      <c r="C733" s="443"/>
      <c r="D733" s="443"/>
      <c r="E733" s="458"/>
      <c r="F733" s="458"/>
      <c r="G733" s="458"/>
      <c r="H733" s="458"/>
      <c r="I733" s="458"/>
      <c r="J733" s="458"/>
      <c r="K733" s="458"/>
      <c r="L733" s="458"/>
      <c r="M733" s="458"/>
      <c r="N733" s="458"/>
      <c r="O733" s="443"/>
      <c r="P733" s="447"/>
    </row>
    <row r="734" spans="1:16" s="497" customFormat="1" ht="15">
      <c r="A734" s="443"/>
      <c r="B734" s="443"/>
      <c r="C734" s="443"/>
      <c r="D734" s="443"/>
      <c r="E734" s="458"/>
      <c r="F734" s="458"/>
      <c r="G734" s="458"/>
      <c r="H734" s="458"/>
      <c r="I734" s="458"/>
      <c r="J734" s="458"/>
      <c r="K734" s="458"/>
      <c r="L734" s="458"/>
      <c r="M734" s="458"/>
      <c r="N734" s="458"/>
      <c r="O734" s="443"/>
      <c r="P734" s="447"/>
    </row>
    <row r="735" spans="1:16" s="497" customFormat="1" ht="15">
      <c r="A735" s="443"/>
      <c r="B735" s="443"/>
      <c r="C735" s="443"/>
      <c r="D735" s="443"/>
      <c r="E735" s="458"/>
      <c r="F735" s="458"/>
      <c r="G735" s="458"/>
      <c r="H735" s="458"/>
      <c r="I735" s="458"/>
      <c r="J735" s="458"/>
      <c r="K735" s="458"/>
      <c r="L735" s="458"/>
      <c r="M735" s="458"/>
      <c r="N735" s="458"/>
      <c r="O735" s="443"/>
      <c r="P735" s="447"/>
    </row>
    <row r="736" spans="1:16" s="497" customFormat="1" ht="15">
      <c r="A736" s="443"/>
      <c r="B736" s="443"/>
      <c r="C736" s="443"/>
      <c r="D736" s="443"/>
      <c r="E736" s="458"/>
      <c r="F736" s="458"/>
      <c r="G736" s="458"/>
      <c r="H736" s="458"/>
      <c r="I736" s="458"/>
      <c r="J736" s="458"/>
      <c r="K736" s="458"/>
      <c r="L736" s="458"/>
      <c r="M736" s="458"/>
      <c r="N736" s="458"/>
      <c r="O736" s="443"/>
      <c r="P736" s="447"/>
    </row>
    <row r="737" spans="16:16" s="497" customFormat="1" ht="15">
      <c r="P737" s="447"/>
    </row>
    <row r="738" spans="16:16" s="497" customFormat="1" ht="15">
      <c r="P738" s="447"/>
    </row>
    <row r="739" spans="16:16" s="497" customFormat="1" ht="15">
      <c r="P739" s="447"/>
    </row>
    <row r="740" spans="16:16" s="497" customFormat="1" ht="15">
      <c r="P740" s="447"/>
    </row>
    <row r="741" spans="16:16" s="497" customFormat="1" ht="15">
      <c r="P741" s="447"/>
    </row>
    <row r="742" spans="16:16" s="497" customFormat="1" ht="15">
      <c r="P742" s="447"/>
    </row>
    <row r="743" spans="16:16" s="497" customFormat="1" ht="15">
      <c r="P743" s="447"/>
    </row>
    <row r="744" spans="16:16" s="497" customFormat="1" ht="15">
      <c r="P744" s="447"/>
    </row>
    <row r="745" spans="16:16" s="497" customFormat="1" ht="15">
      <c r="P745" s="447"/>
    </row>
    <row r="746" spans="16:16" s="497" customFormat="1" ht="15">
      <c r="P746" s="447"/>
    </row>
    <row r="747" spans="16:16" s="497" customFormat="1" ht="15">
      <c r="P747" s="447"/>
    </row>
    <row r="748" spans="16:16" s="497" customFormat="1" ht="15">
      <c r="P748" s="447"/>
    </row>
    <row r="749" spans="16:16" s="497" customFormat="1" ht="15">
      <c r="P749" s="447"/>
    </row>
    <row r="750" spans="16:16" s="497" customFormat="1" ht="15">
      <c r="P750" s="447"/>
    </row>
    <row r="751" spans="16:16" s="497" customFormat="1" ht="15">
      <c r="P751" s="447"/>
    </row>
    <row r="752" spans="16:16" s="497" customFormat="1" ht="15">
      <c r="P752" s="447"/>
    </row>
    <row r="753" spans="16:16" s="497" customFormat="1" ht="15">
      <c r="P753" s="447"/>
    </row>
    <row r="754" spans="16:16" s="497" customFormat="1" ht="15">
      <c r="P754" s="447"/>
    </row>
    <row r="755" spans="16:16" s="497" customFormat="1" ht="15">
      <c r="P755" s="447"/>
    </row>
    <row r="756" spans="16:16" s="497" customFormat="1" ht="15">
      <c r="P756" s="447"/>
    </row>
    <row r="757" spans="16:16" s="497" customFormat="1" ht="15">
      <c r="P757" s="447"/>
    </row>
    <row r="758" spans="16:16" s="497" customFormat="1" ht="15">
      <c r="P758" s="447"/>
    </row>
    <row r="759" spans="16:16" s="497" customFormat="1" ht="15">
      <c r="P759" s="447"/>
    </row>
    <row r="760" spans="16:16" s="497" customFormat="1" ht="15">
      <c r="P760" s="447"/>
    </row>
    <row r="761" spans="16:16" s="497" customFormat="1" ht="15">
      <c r="P761" s="447"/>
    </row>
    <row r="762" spans="16:16" s="497" customFormat="1" ht="15">
      <c r="P762" s="447"/>
    </row>
    <row r="763" spans="16:16" s="497" customFormat="1" ht="15">
      <c r="P763" s="447"/>
    </row>
    <row r="764" spans="16:16" s="497" customFormat="1" ht="15">
      <c r="P764" s="447"/>
    </row>
    <row r="765" spans="16:16" s="497" customFormat="1" ht="15">
      <c r="P765" s="447"/>
    </row>
    <row r="766" spans="16:16" s="497" customFormat="1" ht="15">
      <c r="P766" s="447"/>
    </row>
    <row r="767" spans="16:16" s="497" customFormat="1" ht="15">
      <c r="P767" s="447"/>
    </row>
    <row r="768" spans="16:16" s="497" customFormat="1" ht="15">
      <c r="P768" s="447"/>
    </row>
    <row r="769" spans="16:16" s="497" customFormat="1" ht="15">
      <c r="P769" s="447"/>
    </row>
    <row r="770" spans="16:16" s="497" customFormat="1" ht="15">
      <c r="P770" s="447"/>
    </row>
    <row r="771" spans="16:16" s="497" customFormat="1" ht="15">
      <c r="P771" s="447"/>
    </row>
    <row r="772" spans="16:16" s="497" customFormat="1" ht="15">
      <c r="P772" s="447"/>
    </row>
    <row r="773" spans="16:16" s="497" customFormat="1" ht="15">
      <c r="P773" s="447"/>
    </row>
    <row r="774" spans="16:16" s="497" customFormat="1" ht="15">
      <c r="P774" s="447"/>
    </row>
    <row r="775" spans="16:16" s="497" customFormat="1" ht="15">
      <c r="P775" s="447"/>
    </row>
    <row r="776" spans="16:16" s="497" customFormat="1" ht="15">
      <c r="P776" s="447"/>
    </row>
    <row r="777" spans="16:16" s="497" customFormat="1" ht="15">
      <c r="P777" s="447"/>
    </row>
    <row r="778" spans="16:16" s="497" customFormat="1" ht="15">
      <c r="P778" s="447"/>
    </row>
    <row r="779" spans="16:16" s="497" customFormat="1" ht="15">
      <c r="P779" s="447"/>
    </row>
    <row r="780" spans="16:16" s="497" customFormat="1" ht="15">
      <c r="P780" s="447"/>
    </row>
    <row r="781" spans="16:16" s="497" customFormat="1" ht="15">
      <c r="P781" s="447"/>
    </row>
    <row r="782" spans="16:16" s="497" customFormat="1" ht="15">
      <c r="P782" s="447"/>
    </row>
    <row r="783" spans="16:16" s="497" customFormat="1" ht="15">
      <c r="P783" s="447"/>
    </row>
    <row r="784" spans="16:16" s="497" customFormat="1" ht="15">
      <c r="P784" s="447"/>
    </row>
    <row r="785" spans="16:16" s="497" customFormat="1" ht="15">
      <c r="P785" s="447"/>
    </row>
    <row r="786" spans="16:16" s="497" customFormat="1" ht="15">
      <c r="P786" s="447"/>
    </row>
    <row r="787" spans="16:16" s="497" customFormat="1" ht="15">
      <c r="P787" s="447"/>
    </row>
    <row r="788" spans="16:16" s="497" customFormat="1" ht="15">
      <c r="P788" s="447"/>
    </row>
    <row r="789" spans="16:16" s="497" customFormat="1" ht="15">
      <c r="P789" s="447"/>
    </row>
    <row r="790" spans="16:16" s="497" customFormat="1" ht="15">
      <c r="P790" s="447"/>
    </row>
    <row r="791" spans="16:16" s="497" customFormat="1" ht="15">
      <c r="P791" s="447"/>
    </row>
    <row r="792" spans="16:16" s="497" customFormat="1" ht="15">
      <c r="P792" s="447"/>
    </row>
    <row r="793" spans="16:16" s="497" customFormat="1" ht="15">
      <c r="P793" s="447"/>
    </row>
    <row r="794" spans="16:16" s="497" customFormat="1" ht="15">
      <c r="P794" s="447"/>
    </row>
    <row r="795" spans="16:16" s="497" customFormat="1" ht="15">
      <c r="P795" s="447"/>
    </row>
    <row r="796" spans="16:16" s="497" customFormat="1" ht="15">
      <c r="P796" s="447"/>
    </row>
    <row r="797" spans="16:16" s="497" customFormat="1" ht="15">
      <c r="P797" s="447"/>
    </row>
    <row r="798" spans="16:16" s="497" customFormat="1" ht="15">
      <c r="P798" s="447"/>
    </row>
    <row r="799" spans="16:16" s="497" customFormat="1" ht="15">
      <c r="P799" s="447"/>
    </row>
    <row r="800" spans="16:16" s="497" customFormat="1" ht="15">
      <c r="P800" s="447"/>
    </row>
    <row r="801" spans="16:16" s="497" customFormat="1" ht="15">
      <c r="P801" s="447"/>
    </row>
    <row r="802" spans="16:16" s="497" customFormat="1" ht="15">
      <c r="P802" s="447"/>
    </row>
    <row r="803" spans="16:16" s="497" customFormat="1" ht="15">
      <c r="P803" s="447"/>
    </row>
    <row r="804" spans="16:16" s="497" customFormat="1" ht="15">
      <c r="P804" s="447"/>
    </row>
    <row r="805" spans="16:16" s="497" customFormat="1" ht="15">
      <c r="P805" s="447"/>
    </row>
    <row r="806" spans="16:16" s="497" customFormat="1" ht="15">
      <c r="P806" s="447"/>
    </row>
    <row r="807" spans="16:16" s="497" customFormat="1" ht="15">
      <c r="P807" s="447"/>
    </row>
    <row r="808" spans="16:16" s="497" customFormat="1" ht="15">
      <c r="P808" s="447"/>
    </row>
    <row r="809" spans="16:16" s="497" customFormat="1" ht="15">
      <c r="P809" s="447"/>
    </row>
    <row r="810" spans="16:16" s="497" customFormat="1" ht="15">
      <c r="P810" s="447"/>
    </row>
    <row r="811" spans="16:16" s="497" customFormat="1" ht="15">
      <c r="P811" s="447"/>
    </row>
    <row r="812" spans="16:16" s="497" customFormat="1" ht="15">
      <c r="P812" s="447"/>
    </row>
    <row r="813" spans="16:16" s="497" customFormat="1" ht="15">
      <c r="P813" s="447"/>
    </row>
    <row r="814" spans="16:16" s="497" customFormat="1" ht="15">
      <c r="P814" s="447"/>
    </row>
    <row r="815" spans="16:16" s="497" customFormat="1" ht="15">
      <c r="P815" s="447"/>
    </row>
    <row r="816" spans="16:16" s="497" customFormat="1" ht="15">
      <c r="P816" s="447"/>
    </row>
    <row r="817" spans="16:16" s="497" customFormat="1" ht="15">
      <c r="P817" s="447"/>
    </row>
    <row r="818" spans="16:16" s="497" customFormat="1" ht="15">
      <c r="P818" s="447"/>
    </row>
    <row r="819" spans="16:16" s="497" customFormat="1" ht="15">
      <c r="P819" s="447"/>
    </row>
    <row r="820" spans="16:16" s="497" customFormat="1" ht="15">
      <c r="P820" s="447"/>
    </row>
    <row r="821" spans="16:16" s="497" customFormat="1" ht="15">
      <c r="P821" s="447"/>
    </row>
    <row r="822" spans="16:16" s="497" customFormat="1" ht="15">
      <c r="P822" s="447"/>
    </row>
    <row r="823" spans="16:16" s="497" customFormat="1" ht="15">
      <c r="P823" s="447"/>
    </row>
    <row r="824" spans="16:16" s="497" customFormat="1" ht="15">
      <c r="P824" s="447"/>
    </row>
    <row r="825" spans="16:16" s="497" customFormat="1" ht="15">
      <c r="P825" s="447"/>
    </row>
    <row r="826" spans="16:16" s="497" customFormat="1" ht="15">
      <c r="P826" s="447"/>
    </row>
    <row r="827" spans="16:16" s="497" customFormat="1" ht="15">
      <c r="P827" s="447"/>
    </row>
    <row r="828" spans="16:16" s="497" customFormat="1" ht="15">
      <c r="P828" s="447"/>
    </row>
    <row r="829" spans="16:16" s="497" customFormat="1" ht="15">
      <c r="P829" s="447"/>
    </row>
    <row r="830" spans="16:16" s="497" customFormat="1" ht="15">
      <c r="P830" s="447"/>
    </row>
    <row r="831" spans="16:16" s="497" customFormat="1" ht="15">
      <c r="P831" s="447"/>
    </row>
    <row r="832" spans="16:16" s="497" customFormat="1" ht="15">
      <c r="P832" s="447"/>
    </row>
    <row r="833" spans="16:16" s="497" customFormat="1" ht="15">
      <c r="P833" s="447"/>
    </row>
    <row r="834" spans="16:16" s="497" customFormat="1" ht="15">
      <c r="P834" s="447"/>
    </row>
    <row r="835" spans="16:16" s="497" customFormat="1" ht="15">
      <c r="P835" s="447"/>
    </row>
    <row r="836" spans="16:16" s="497" customFormat="1" ht="15">
      <c r="P836" s="447"/>
    </row>
    <row r="837" spans="16:16" s="497" customFormat="1" ht="15">
      <c r="P837" s="447"/>
    </row>
    <row r="838" spans="16:16" s="497" customFormat="1" ht="15">
      <c r="P838" s="447"/>
    </row>
    <row r="839" spans="16:16" s="497" customFormat="1" ht="15">
      <c r="P839" s="447"/>
    </row>
    <row r="840" spans="16:16" s="497" customFormat="1" ht="15">
      <c r="P840" s="447"/>
    </row>
    <row r="841" spans="16:16" s="497" customFormat="1" ht="15">
      <c r="P841" s="447"/>
    </row>
    <row r="842" spans="16:16" s="497" customFormat="1" ht="15">
      <c r="P842" s="447"/>
    </row>
    <row r="843" spans="16:16" s="497" customFormat="1" ht="15">
      <c r="P843" s="447"/>
    </row>
    <row r="844" spans="16:16" s="497" customFormat="1" ht="15">
      <c r="P844" s="447"/>
    </row>
    <row r="845" spans="16:16" s="497" customFormat="1" ht="15">
      <c r="P845" s="447"/>
    </row>
    <row r="846" spans="16:16" s="497" customFormat="1" ht="15">
      <c r="P846" s="447"/>
    </row>
    <row r="847" spans="16:16" s="497" customFormat="1" ht="15">
      <c r="P847" s="447"/>
    </row>
    <row r="848" spans="16:16" s="497" customFormat="1" ht="15">
      <c r="P848" s="447"/>
    </row>
    <row r="849" spans="16:16" s="497" customFormat="1" ht="15">
      <c r="P849" s="447"/>
    </row>
    <row r="850" spans="16:16" s="497" customFormat="1" ht="15">
      <c r="P850" s="447"/>
    </row>
    <row r="851" spans="16:16" s="497" customFormat="1" ht="15">
      <c r="P851" s="447"/>
    </row>
    <row r="852" spans="16:16" s="497" customFormat="1" ht="15">
      <c r="P852" s="447"/>
    </row>
    <row r="853" spans="16:16" s="497" customFormat="1" ht="15">
      <c r="P853" s="447"/>
    </row>
    <row r="854" spans="16:16" s="497" customFormat="1" ht="15">
      <c r="P854" s="447"/>
    </row>
    <row r="855" spans="16:16" s="497" customFormat="1" ht="15">
      <c r="P855" s="447"/>
    </row>
    <row r="856" spans="16:16" s="497" customFormat="1" ht="15">
      <c r="P856" s="447"/>
    </row>
    <row r="857" spans="16:16" s="497" customFormat="1" ht="15">
      <c r="P857" s="447"/>
    </row>
    <row r="858" spans="16:16" s="497" customFormat="1" ht="15">
      <c r="P858" s="447"/>
    </row>
    <row r="859" spans="16:16" s="497" customFormat="1" ht="15">
      <c r="P859" s="447"/>
    </row>
    <row r="860" spans="16:16" s="497" customFormat="1" ht="15">
      <c r="P860" s="447"/>
    </row>
    <row r="861" spans="16:16" s="497" customFormat="1" ht="15">
      <c r="P861" s="447"/>
    </row>
    <row r="862" spans="16:16" s="497" customFormat="1" ht="15">
      <c r="P862" s="447"/>
    </row>
    <row r="863" spans="16:16" s="497" customFormat="1" ht="15">
      <c r="P863" s="447"/>
    </row>
    <row r="864" spans="16:16" s="497" customFormat="1" ht="15">
      <c r="P864" s="447"/>
    </row>
    <row r="865" spans="16:16" s="497" customFormat="1" ht="15">
      <c r="P865" s="447"/>
    </row>
    <row r="866" spans="16:16" s="497" customFormat="1" ht="15">
      <c r="P866" s="447"/>
    </row>
    <row r="867" spans="16:16" s="497" customFormat="1" ht="15">
      <c r="P867" s="447"/>
    </row>
    <row r="868" spans="16:16" s="497" customFormat="1" ht="15">
      <c r="P868" s="447"/>
    </row>
    <row r="869" spans="16:16" s="497" customFormat="1" ht="15">
      <c r="P869" s="447"/>
    </row>
    <row r="870" spans="16:16" s="497" customFormat="1" ht="15">
      <c r="P870" s="447"/>
    </row>
    <row r="871" spans="16:16" s="497" customFormat="1" ht="15">
      <c r="P871" s="447"/>
    </row>
    <row r="872" spans="16:16" s="497" customFormat="1" ht="15">
      <c r="P872" s="447"/>
    </row>
    <row r="873" spans="16:16" s="497" customFormat="1" ht="15">
      <c r="P873" s="447"/>
    </row>
    <row r="874" spans="16:16" s="497" customFormat="1" ht="15">
      <c r="P874" s="447"/>
    </row>
    <row r="875" spans="16:16" s="497" customFormat="1" ht="15">
      <c r="P875" s="447"/>
    </row>
    <row r="876" spans="16:16" s="497" customFormat="1" ht="15">
      <c r="P876" s="447"/>
    </row>
    <row r="877" spans="16:16" s="497" customFormat="1" ht="15">
      <c r="P877" s="447"/>
    </row>
    <row r="878" spans="16:16" s="497" customFormat="1" ht="15">
      <c r="P878" s="447"/>
    </row>
    <row r="879" spans="16:16" s="497" customFormat="1" ht="15">
      <c r="P879" s="447"/>
    </row>
    <row r="880" spans="16:16" s="497" customFormat="1" ht="15">
      <c r="P880" s="447"/>
    </row>
    <row r="881" spans="16:16" s="497" customFormat="1" ht="15">
      <c r="P881" s="447"/>
    </row>
    <row r="882" spans="16:16" s="497" customFormat="1" ht="15">
      <c r="P882" s="447"/>
    </row>
    <row r="883" spans="16:16" s="497" customFormat="1" ht="15">
      <c r="P883" s="447"/>
    </row>
    <row r="884" spans="16:16" s="497" customFormat="1" ht="15">
      <c r="P884" s="447"/>
    </row>
    <row r="885" spans="16:16" s="497" customFormat="1" ht="15">
      <c r="P885" s="447"/>
    </row>
    <row r="886" spans="16:16" s="497" customFormat="1" ht="15">
      <c r="P886" s="447"/>
    </row>
    <row r="887" spans="16:16" s="497" customFormat="1" ht="15">
      <c r="P887" s="447"/>
    </row>
    <row r="888" spans="16:16" s="497" customFormat="1" ht="15">
      <c r="P888" s="447"/>
    </row>
    <row r="889" spans="16:16" s="497" customFormat="1" ht="15">
      <c r="P889" s="447"/>
    </row>
    <row r="890" spans="16:16" s="497" customFormat="1" ht="15">
      <c r="P890" s="447"/>
    </row>
    <row r="891" spans="16:16" s="497" customFormat="1" ht="15">
      <c r="P891" s="447"/>
    </row>
    <row r="892" spans="16:16" s="497" customFormat="1" ht="15">
      <c r="P892" s="447"/>
    </row>
    <row r="893" spans="16:16" s="497" customFormat="1" ht="15">
      <c r="P893" s="447"/>
    </row>
    <row r="894" spans="16:16" s="497" customFormat="1" ht="15">
      <c r="P894" s="447"/>
    </row>
    <row r="895" spans="16:16" s="497" customFormat="1" ht="15">
      <c r="P895" s="447"/>
    </row>
    <row r="896" spans="16:16" s="497" customFormat="1" ht="15">
      <c r="P896" s="447"/>
    </row>
    <row r="897" spans="16:16" s="497" customFormat="1" ht="15">
      <c r="P897" s="447"/>
    </row>
    <row r="898" spans="16:16" s="497" customFormat="1" ht="15">
      <c r="P898" s="447"/>
    </row>
    <row r="899" spans="16:16" s="497" customFormat="1" ht="15">
      <c r="P899" s="447"/>
    </row>
    <row r="900" spans="16:16" s="497" customFormat="1" ht="15">
      <c r="P900" s="447"/>
    </row>
    <row r="901" spans="16:16" s="497" customFormat="1" ht="15">
      <c r="P901" s="447"/>
    </row>
    <row r="902" spans="16:16" s="497" customFormat="1" ht="15">
      <c r="P902" s="447"/>
    </row>
    <row r="903" spans="16:16" s="497" customFormat="1" ht="15">
      <c r="P903" s="447"/>
    </row>
    <row r="904" spans="16:16" s="497" customFormat="1" ht="15">
      <c r="P904" s="447"/>
    </row>
    <row r="905" spans="16:16" s="497" customFormat="1" ht="15">
      <c r="P905" s="447"/>
    </row>
    <row r="906" spans="16:16" s="497" customFormat="1" ht="15">
      <c r="P906" s="447"/>
    </row>
    <row r="907" spans="16:16" s="497" customFormat="1" ht="15">
      <c r="P907" s="447"/>
    </row>
    <row r="908" spans="16:16" s="497" customFormat="1" ht="15">
      <c r="P908" s="447"/>
    </row>
    <row r="909" spans="16:16" s="497" customFormat="1" ht="15">
      <c r="P909" s="447"/>
    </row>
    <row r="910" spans="16:16" s="497" customFormat="1" ht="15">
      <c r="P910" s="447"/>
    </row>
    <row r="911" spans="16:16" s="497" customFormat="1" ht="15">
      <c r="P911" s="447"/>
    </row>
    <row r="912" spans="16:16" s="497" customFormat="1" ht="15">
      <c r="P912" s="447"/>
    </row>
    <row r="913" spans="16:16" s="497" customFormat="1" ht="15">
      <c r="P913" s="447"/>
    </row>
    <row r="914" spans="16:16" s="497" customFormat="1" ht="15">
      <c r="P914" s="447"/>
    </row>
    <row r="915" spans="16:16" s="497" customFormat="1" ht="15">
      <c r="P915" s="447"/>
    </row>
    <row r="916" spans="16:16" s="497" customFormat="1" ht="15">
      <c r="P916" s="447"/>
    </row>
    <row r="917" spans="16:16" s="497" customFormat="1" ht="15">
      <c r="P917" s="447"/>
    </row>
    <row r="918" spans="16:16" s="497" customFormat="1" ht="15">
      <c r="P918" s="447"/>
    </row>
    <row r="919" spans="16:16" s="497" customFormat="1" ht="15">
      <c r="P919" s="447"/>
    </row>
    <row r="920" spans="16:16" s="497" customFormat="1" ht="15">
      <c r="P920" s="447"/>
    </row>
    <row r="921" spans="16:16" s="497" customFormat="1" ht="15">
      <c r="P921" s="447"/>
    </row>
    <row r="922" spans="16:16" s="497" customFormat="1" ht="15">
      <c r="P922" s="447"/>
    </row>
    <row r="923" spans="16:16" s="497" customFormat="1" ht="15">
      <c r="P923" s="447"/>
    </row>
    <row r="924" spans="16:16" s="497" customFormat="1" ht="15">
      <c r="P924" s="447"/>
    </row>
    <row r="925" spans="16:16" s="497" customFormat="1" ht="15">
      <c r="P925" s="447"/>
    </row>
    <row r="926" spans="16:16" s="497" customFormat="1" ht="15">
      <c r="P926" s="447"/>
    </row>
    <row r="927" spans="16:16" s="497" customFormat="1" ht="15">
      <c r="P927" s="447"/>
    </row>
    <row r="928" spans="16:16" s="497" customFormat="1" ht="15">
      <c r="P928" s="447"/>
    </row>
    <row r="929" spans="16:16" s="497" customFormat="1" ht="15">
      <c r="P929" s="447"/>
    </row>
    <row r="930" spans="16:16" s="497" customFormat="1" ht="15">
      <c r="P930" s="447"/>
    </row>
    <row r="931" spans="16:16" s="497" customFormat="1" ht="15">
      <c r="P931" s="447"/>
    </row>
    <row r="932" spans="16:16" s="497" customFormat="1" ht="15">
      <c r="P932" s="447"/>
    </row>
    <row r="933" spans="16:16" s="497" customFormat="1" ht="15">
      <c r="P933" s="447"/>
    </row>
    <row r="934" spans="16:16" s="497" customFormat="1" ht="15">
      <c r="P934" s="447"/>
    </row>
    <row r="935" spans="16:16" s="497" customFormat="1" ht="15">
      <c r="P935" s="447"/>
    </row>
    <row r="936" spans="16:16" s="497" customFormat="1" ht="15">
      <c r="P936" s="447"/>
    </row>
    <row r="937" spans="16:16" s="497" customFormat="1" ht="15">
      <c r="P937" s="447"/>
    </row>
    <row r="938" spans="16:16" s="497" customFormat="1" ht="15">
      <c r="P938" s="447"/>
    </row>
    <row r="939" spans="16:16" s="497" customFormat="1" ht="15">
      <c r="P939" s="447"/>
    </row>
    <row r="940" spans="16:16" s="497" customFormat="1" ht="15">
      <c r="P940" s="447"/>
    </row>
    <row r="941" spans="16:16" s="497" customFormat="1" ht="15">
      <c r="P941" s="447"/>
    </row>
    <row r="942" spans="16:16" s="497" customFormat="1" ht="15">
      <c r="P942" s="447"/>
    </row>
    <row r="943" spans="16:16" s="497" customFormat="1" ht="15">
      <c r="P943" s="447"/>
    </row>
    <row r="944" spans="16:16" s="497" customFormat="1" ht="15">
      <c r="P944" s="447"/>
    </row>
    <row r="945" spans="16:16" s="497" customFormat="1" ht="15">
      <c r="P945" s="447"/>
    </row>
    <row r="946" spans="16:16" s="497" customFormat="1" ht="15">
      <c r="P946" s="447"/>
    </row>
    <row r="947" spans="16:16" s="497" customFormat="1" ht="15">
      <c r="P947" s="447"/>
    </row>
    <row r="948" spans="16:16" s="497" customFormat="1" ht="15">
      <c r="P948" s="447"/>
    </row>
    <row r="949" spans="16:16" s="497" customFormat="1" ht="15">
      <c r="P949" s="447"/>
    </row>
    <row r="950" spans="16:16" s="497" customFormat="1" ht="15">
      <c r="P950" s="447"/>
    </row>
    <row r="951" spans="16:16" s="497" customFormat="1" ht="15">
      <c r="P951" s="447"/>
    </row>
    <row r="952" spans="16:16" s="497" customFormat="1" ht="15">
      <c r="P952" s="447"/>
    </row>
    <row r="953" spans="16:16" s="497" customFormat="1" ht="15">
      <c r="P953" s="447"/>
    </row>
    <row r="954" spans="16:16" s="497" customFormat="1" ht="15">
      <c r="P954" s="447"/>
    </row>
    <row r="955" spans="16:16" s="497" customFormat="1" ht="15">
      <c r="P955" s="447"/>
    </row>
    <row r="956" spans="16:16" s="497" customFormat="1" ht="15">
      <c r="P956" s="447"/>
    </row>
    <row r="957" spans="16:16" s="497" customFormat="1" ht="15">
      <c r="P957" s="447"/>
    </row>
    <row r="958" spans="16:16" s="497" customFormat="1" ht="15">
      <c r="P958" s="447"/>
    </row>
    <row r="959" spans="16:16" s="497" customFormat="1" ht="15">
      <c r="P959" s="447"/>
    </row>
    <row r="960" spans="16:16" s="497" customFormat="1" ht="15">
      <c r="P960" s="447"/>
    </row>
    <row r="961" spans="16:16" s="497" customFormat="1" ht="15">
      <c r="P961" s="447"/>
    </row>
    <row r="962" spans="16:16" s="497" customFormat="1" ht="15">
      <c r="P962" s="447"/>
    </row>
    <row r="963" spans="16:16" s="497" customFormat="1" ht="15">
      <c r="P963" s="447"/>
    </row>
    <row r="964" spans="16:16" s="497" customFormat="1" ht="15">
      <c r="P964" s="447"/>
    </row>
    <row r="965" spans="16:16" s="497" customFormat="1" ht="15">
      <c r="P965" s="447"/>
    </row>
    <row r="966" spans="16:16" s="497" customFormat="1" ht="15">
      <c r="P966" s="447"/>
    </row>
    <row r="967" spans="16:16" s="497" customFormat="1" ht="15">
      <c r="P967" s="447"/>
    </row>
    <row r="968" spans="16:16" s="497" customFormat="1" ht="15">
      <c r="P968" s="447"/>
    </row>
    <row r="969" spans="16:16" s="497" customFormat="1" ht="15">
      <c r="P969" s="447"/>
    </row>
    <row r="970" spans="16:16" s="497" customFormat="1" ht="15">
      <c r="P970" s="447"/>
    </row>
    <row r="971" spans="16:16" s="497" customFormat="1" ht="15">
      <c r="P971" s="447"/>
    </row>
    <row r="972" spans="16:16" s="497" customFormat="1" ht="15">
      <c r="P972" s="447"/>
    </row>
    <row r="973" spans="16:16" s="497" customFormat="1" ht="15">
      <c r="P973" s="447"/>
    </row>
    <row r="974" spans="16:16" s="497" customFormat="1" ht="15">
      <c r="P974" s="447"/>
    </row>
    <row r="975" spans="16:16" s="497" customFormat="1" ht="15">
      <c r="P975" s="447"/>
    </row>
    <row r="976" spans="16:16" s="497" customFormat="1" ht="15">
      <c r="P976" s="447"/>
    </row>
    <row r="977" spans="16:16" s="497" customFormat="1" ht="15">
      <c r="P977" s="447"/>
    </row>
    <row r="978" spans="16:16" s="497" customFormat="1" ht="15">
      <c r="P978" s="447"/>
    </row>
    <row r="979" spans="16:16" s="497" customFormat="1" ht="15">
      <c r="P979" s="447"/>
    </row>
    <row r="980" spans="16:16" s="497" customFormat="1" ht="15">
      <c r="P980" s="447"/>
    </row>
    <row r="981" spans="16:16" s="497" customFormat="1" ht="15">
      <c r="P981" s="447"/>
    </row>
    <row r="982" spans="16:16" s="497" customFormat="1" ht="15">
      <c r="P982" s="447"/>
    </row>
    <row r="983" spans="16:16" s="497" customFormat="1" ht="15">
      <c r="P983" s="447"/>
    </row>
    <row r="984" spans="16:16" s="497" customFormat="1" ht="15">
      <c r="P984" s="447"/>
    </row>
    <row r="985" spans="16:16" s="497" customFormat="1" ht="15">
      <c r="P985" s="447"/>
    </row>
    <row r="986" spans="16:16" s="497" customFormat="1" ht="15">
      <c r="P986" s="447"/>
    </row>
    <row r="987" spans="16:16" s="497" customFormat="1" ht="15">
      <c r="P987" s="447"/>
    </row>
    <row r="988" spans="16:16" s="497" customFormat="1" ht="15">
      <c r="P988" s="447"/>
    </row>
    <row r="989" spans="16:16" s="497" customFormat="1" ht="15">
      <c r="P989" s="447"/>
    </row>
    <row r="990" spans="16:16" s="497" customFormat="1" ht="15">
      <c r="P990" s="447"/>
    </row>
    <row r="991" spans="16:16" s="497" customFormat="1" ht="15">
      <c r="P991" s="447"/>
    </row>
    <row r="992" spans="16:16" s="497" customFormat="1" ht="15">
      <c r="P992" s="447"/>
    </row>
    <row r="993" spans="16:16" s="497" customFormat="1" ht="15">
      <c r="P993" s="447"/>
    </row>
    <row r="994" spans="16:16" s="497" customFormat="1" ht="15">
      <c r="P994" s="447"/>
    </row>
    <row r="995" spans="16:16" s="497" customFormat="1" ht="15">
      <c r="P995" s="447"/>
    </row>
    <row r="996" spans="16:16" s="497" customFormat="1" ht="15">
      <c r="P996" s="447"/>
    </row>
    <row r="997" spans="16:16" s="497" customFormat="1" ht="15">
      <c r="P997" s="447"/>
    </row>
    <row r="998" spans="16:16" s="497" customFormat="1" ht="15">
      <c r="P998" s="447"/>
    </row>
    <row r="999" spans="16:16" s="497" customFormat="1" ht="15">
      <c r="P999" s="447"/>
    </row>
    <row r="1000" spans="16:16" s="497" customFormat="1" ht="15">
      <c r="P1000" s="447"/>
    </row>
    <row r="1001" spans="16:16" s="497" customFormat="1" ht="15">
      <c r="P1001" s="447"/>
    </row>
    <row r="1002" spans="16:16" s="497" customFormat="1" ht="15">
      <c r="P1002" s="447"/>
    </row>
    <row r="1003" spans="16:16" s="497" customFormat="1" ht="15">
      <c r="P1003" s="447"/>
    </row>
    <row r="1004" spans="16:16" s="497" customFormat="1" ht="15">
      <c r="P1004" s="447"/>
    </row>
    <row r="1005" spans="16:16" s="497" customFormat="1" ht="15">
      <c r="P1005" s="447"/>
    </row>
    <row r="1006" spans="16:16" s="497" customFormat="1" ht="15">
      <c r="P1006" s="447"/>
    </row>
    <row r="1007" spans="16:16" s="497" customFormat="1" ht="15">
      <c r="P1007" s="447"/>
    </row>
    <row r="1008" spans="16:16" s="497" customFormat="1" ht="15">
      <c r="P1008" s="447"/>
    </row>
    <row r="1009" spans="16:16" s="497" customFormat="1" ht="15">
      <c r="P1009" s="447"/>
    </row>
    <row r="1010" spans="16:16" s="497" customFormat="1" ht="15">
      <c r="P1010" s="447"/>
    </row>
    <row r="1011" spans="16:16" s="497" customFormat="1" ht="15">
      <c r="P1011" s="447"/>
    </row>
    <row r="1012" spans="16:16" s="497" customFormat="1" ht="15">
      <c r="P1012" s="447"/>
    </row>
    <row r="1013" spans="16:16" s="497" customFormat="1" ht="15">
      <c r="P1013" s="447"/>
    </row>
    <row r="1014" spans="16:16" s="497" customFormat="1" ht="15">
      <c r="P1014" s="447"/>
    </row>
    <row r="1015" spans="16:16" s="497" customFormat="1" ht="15">
      <c r="P1015" s="447"/>
    </row>
    <row r="1016" spans="16:16" s="497" customFormat="1" ht="15">
      <c r="P1016" s="447"/>
    </row>
    <row r="1017" spans="16:16" s="497" customFormat="1" ht="15">
      <c r="P1017" s="447"/>
    </row>
    <row r="1018" spans="16:16" s="497" customFormat="1" ht="15">
      <c r="P1018" s="447"/>
    </row>
    <row r="1019" spans="16:16" s="497" customFormat="1" ht="15">
      <c r="P1019" s="447"/>
    </row>
    <row r="1020" spans="16:16" s="497" customFormat="1" ht="15">
      <c r="P1020" s="447"/>
    </row>
    <row r="1021" spans="16:16" s="497" customFormat="1" ht="15">
      <c r="P1021" s="447"/>
    </row>
    <row r="1022" spans="16:16" s="497" customFormat="1" ht="15">
      <c r="P1022" s="447"/>
    </row>
    <row r="1023" spans="16:16" s="497" customFormat="1" ht="15">
      <c r="P1023" s="447"/>
    </row>
    <row r="1024" spans="16:16" s="497" customFormat="1" ht="15">
      <c r="P1024" s="447"/>
    </row>
    <row r="1025" spans="16:16" s="497" customFormat="1" ht="15">
      <c r="P1025" s="447"/>
    </row>
    <row r="1026" spans="16:16" s="497" customFormat="1" ht="15">
      <c r="P1026" s="447"/>
    </row>
    <row r="1027" spans="16:16" s="497" customFormat="1" ht="15">
      <c r="P1027" s="447"/>
    </row>
    <row r="1028" spans="16:16" s="497" customFormat="1" ht="15">
      <c r="P1028" s="447"/>
    </row>
    <row r="1029" spans="16:16" s="497" customFormat="1" ht="15">
      <c r="P1029" s="447"/>
    </row>
    <row r="1030" spans="16:16" s="497" customFormat="1" ht="15">
      <c r="P1030" s="447"/>
    </row>
    <row r="1031" spans="16:16" s="497" customFormat="1" ht="15">
      <c r="P1031" s="447"/>
    </row>
    <row r="1032" spans="16:16" s="497" customFormat="1" ht="15">
      <c r="P1032" s="447"/>
    </row>
    <row r="1033" spans="16:16" s="497" customFormat="1" ht="15">
      <c r="P1033" s="447"/>
    </row>
    <row r="1034" spans="16:16" s="497" customFormat="1" ht="15">
      <c r="P1034" s="447"/>
    </row>
    <row r="1035" spans="16:16" s="497" customFormat="1" ht="15">
      <c r="P1035" s="447"/>
    </row>
    <row r="1036" spans="16:16" s="497" customFormat="1" ht="15">
      <c r="P1036" s="447"/>
    </row>
    <row r="1037" spans="16:16" s="497" customFormat="1" ht="15">
      <c r="P1037" s="447"/>
    </row>
    <row r="1038" spans="16:16" s="497" customFormat="1" ht="15">
      <c r="P1038" s="447"/>
    </row>
    <row r="1039" spans="16:16" s="497" customFormat="1" ht="15">
      <c r="P1039" s="447"/>
    </row>
    <row r="1040" spans="16:16" s="497" customFormat="1" ht="15">
      <c r="P1040" s="447"/>
    </row>
    <row r="1041" spans="16:16" s="497" customFormat="1" ht="15">
      <c r="P1041" s="447"/>
    </row>
    <row r="1042" spans="16:16" s="497" customFormat="1" ht="15">
      <c r="P1042" s="447"/>
    </row>
    <row r="1043" spans="16:16" s="497" customFormat="1" ht="15">
      <c r="P1043" s="447"/>
    </row>
    <row r="1044" spans="16:16" s="497" customFormat="1" ht="15">
      <c r="P1044" s="447"/>
    </row>
    <row r="1045" spans="16:16" s="497" customFormat="1" ht="15">
      <c r="P1045" s="447"/>
    </row>
    <row r="1046" spans="16:16" s="497" customFormat="1" ht="15">
      <c r="P1046" s="447"/>
    </row>
    <row r="1047" spans="16:16" s="497" customFormat="1" ht="15">
      <c r="P1047" s="447"/>
    </row>
    <row r="1048" spans="16:16" s="497" customFormat="1" ht="15">
      <c r="P1048" s="447"/>
    </row>
    <row r="1049" spans="16:16" s="497" customFormat="1" ht="15">
      <c r="P1049" s="447"/>
    </row>
    <row r="1050" spans="16:16" s="497" customFormat="1" ht="15">
      <c r="P1050" s="447"/>
    </row>
    <row r="1051" spans="16:16" s="497" customFormat="1" ht="15">
      <c r="P1051" s="447"/>
    </row>
    <row r="1052" spans="16:16" s="497" customFormat="1" ht="15">
      <c r="P1052" s="447"/>
    </row>
    <row r="1053" spans="16:16" s="497" customFormat="1" ht="15">
      <c r="P1053" s="447"/>
    </row>
    <row r="1054" spans="16:16" s="497" customFormat="1" ht="15">
      <c r="P1054" s="447"/>
    </row>
    <row r="1055" spans="16:16" s="497" customFormat="1" ht="15">
      <c r="P1055" s="447"/>
    </row>
    <row r="1056" spans="16:16" s="497" customFormat="1" ht="15">
      <c r="P1056" s="447"/>
    </row>
    <row r="1057" spans="16:16" s="497" customFormat="1" ht="15">
      <c r="P1057" s="447"/>
    </row>
    <row r="1058" spans="16:16" s="497" customFormat="1" ht="15">
      <c r="P1058" s="447"/>
    </row>
    <row r="1059" spans="16:16" s="497" customFormat="1" ht="15">
      <c r="P1059" s="447"/>
    </row>
    <row r="1060" spans="16:16" s="497" customFormat="1" ht="15">
      <c r="P1060" s="447"/>
    </row>
    <row r="1061" spans="16:16" s="497" customFormat="1" ht="15">
      <c r="P1061" s="447"/>
    </row>
    <row r="1062" spans="16:16" s="497" customFormat="1" ht="15">
      <c r="P1062" s="447"/>
    </row>
    <row r="1063" spans="16:16" s="497" customFormat="1" ht="15">
      <c r="P1063" s="447"/>
    </row>
    <row r="1064" spans="16:16" s="497" customFormat="1" ht="15">
      <c r="P1064" s="447"/>
    </row>
    <row r="1065" spans="16:16" s="497" customFormat="1" ht="15">
      <c r="P1065" s="447"/>
    </row>
    <row r="1066" spans="16:16" s="497" customFormat="1" ht="15">
      <c r="P1066" s="447"/>
    </row>
    <row r="1067" spans="16:16" s="497" customFormat="1" ht="15">
      <c r="P1067" s="447"/>
    </row>
    <row r="1068" spans="16:16" s="497" customFormat="1" ht="15">
      <c r="P1068" s="447"/>
    </row>
    <row r="1069" spans="16:16" s="497" customFormat="1" ht="15">
      <c r="P1069" s="447"/>
    </row>
    <row r="1070" spans="16:16" s="497" customFormat="1" ht="15">
      <c r="P1070" s="447"/>
    </row>
    <row r="1071" spans="16:16" s="497" customFormat="1" ht="15">
      <c r="P1071" s="447"/>
    </row>
    <row r="1072" spans="16:16" s="497" customFormat="1" ht="15">
      <c r="P1072" s="447"/>
    </row>
    <row r="1073" spans="16:16" s="497" customFormat="1" ht="15">
      <c r="P1073" s="447"/>
    </row>
    <row r="1074" spans="16:16" s="497" customFormat="1" ht="15">
      <c r="P1074" s="447"/>
    </row>
    <row r="1075" spans="16:16" s="497" customFormat="1" ht="15">
      <c r="P1075" s="447"/>
    </row>
    <row r="1076" spans="16:16" s="497" customFormat="1" ht="15">
      <c r="P1076" s="447"/>
    </row>
    <row r="1077" spans="16:16" s="497" customFormat="1" ht="15">
      <c r="P1077" s="447"/>
    </row>
    <row r="1078" spans="16:16" s="497" customFormat="1" ht="15">
      <c r="P1078" s="447"/>
    </row>
    <row r="1079" spans="16:16" s="497" customFormat="1" ht="15">
      <c r="P1079" s="447"/>
    </row>
    <row r="1080" spans="16:16" s="497" customFormat="1" ht="15">
      <c r="P1080" s="447"/>
    </row>
    <row r="1081" spans="16:16" s="497" customFormat="1" ht="15">
      <c r="P1081" s="447"/>
    </row>
    <row r="1082" spans="16:16" s="497" customFormat="1" ht="15">
      <c r="P1082" s="447"/>
    </row>
    <row r="1083" spans="16:16" s="497" customFormat="1" ht="15">
      <c r="P1083" s="447"/>
    </row>
    <row r="1084" spans="16:16" s="497" customFormat="1" ht="15">
      <c r="P1084" s="447"/>
    </row>
    <row r="1085" spans="16:16" s="497" customFormat="1" ht="15">
      <c r="P1085" s="447"/>
    </row>
    <row r="1086" spans="16:16" s="497" customFormat="1" ht="15">
      <c r="P1086" s="447"/>
    </row>
    <row r="1087" spans="16:16" s="497" customFormat="1" ht="15">
      <c r="P1087" s="447"/>
    </row>
    <row r="1088" spans="16:16" s="497" customFormat="1" ht="15">
      <c r="P1088" s="447"/>
    </row>
    <row r="1089" spans="16:16" s="497" customFormat="1" ht="15">
      <c r="P1089" s="447"/>
    </row>
    <row r="1090" spans="16:16" s="497" customFormat="1" ht="15">
      <c r="P1090" s="447"/>
    </row>
    <row r="1091" spans="16:16" s="497" customFormat="1" ht="15">
      <c r="P1091" s="447"/>
    </row>
    <row r="1092" spans="16:16" s="497" customFormat="1" ht="15">
      <c r="P1092" s="447"/>
    </row>
    <row r="1093" spans="16:16" s="497" customFormat="1" ht="15">
      <c r="P1093" s="447"/>
    </row>
    <row r="1094" spans="16:16" s="497" customFormat="1" ht="15">
      <c r="P1094" s="447"/>
    </row>
    <row r="1095" spans="16:16" s="497" customFormat="1" ht="15">
      <c r="P1095" s="447"/>
    </row>
    <row r="1096" spans="16:16" s="497" customFormat="1" ht="15">
      <c r="P1096" s="447"/>
    </row>
    <row r="1097" spans="16:16" s="497" customFormat="1" ht="15">
      <c r="P1097" s="447"/>
    </row>
    <row r="1098" spans="16:16" s="497" customFormat="1" ht="15">
      <c r="P1098" s="447"/>
    </row>
    <row r="1099" spans="16:16" s="497" customFormat="1" ht="15">
      <c r="P1099" s="447"/>
    </row>
    <row r="1100" spans="16:16" s="497" customFormat="1" ht="15">
      <c r="P1100" s="447"/>
    </row>
    <row r="1101" spans="16:16" s="497" customFormat="1" ht="15">
      <c r="P1101" s="447"/>
    </row>
    <row r="1102" spans="16:16" s="497" customFormat="1" ht="15">
      <c r="P1102" s="447"/>
    </row>
    <row r="1103" spans="16:16" s="497" customFormat="1" ht="15">
      <c r="P1103" s="447"/>
    </row>
    <row r="1104" spans="16:16" s="497" customFormat="1" ht="15">
      <c r="P1104" s="447"/>
    </row>
    <row r="1105" spans="16:16" s="497" customFormat="1" ht="15">
      <c r="P1105" s="447"/>
    </row>
    <row r="1106" spans="16:16" s="497" customFormat="1" ht="15">
      <c r="P1106" s="447"/>
    </row>
    <row r="1107" spans="16:16" s="497" customFormat="1" ht="15">
      <c r="P1107" s="447"/>
    </row>
    <row r="1108" spans="16:16" s="497" customFormat="1" ht="15">
      <c r="P1108" s="447"/>
    </row>
    <row r="1109" spans="16:16" s="497" customFormat="1" ht="15">
      <c r="P1109" s="447"/>
    </row>
    <row r="1110" spans="16:16" s="497" customFormat="1" ht="15">
      <c r="P1110" s="447"/>
    </row>
    <row r="1111" spans="16:16" s="497" customFormat="1" ht="15">
      <c r="P1111" s="447"/>
    </row>
    <row r="1112" spans="16:16" s="497" customFormat="1" ht="15">
      <c r="P1112" s="447"/>
    </row>
    <row r="1113" spans="16:16" s="497" customFormat="1" ht="15">
      <c r="P1113" s="447"/>
    </row>
    <row r="1114" spans="16:16" s="497" customFormat="1" ht="15">
      <c r="P1114" s="447"/>
    </row>
    <row r="1115" spans="16:16" s="497" customFormat="1" ht="15">
      <c r="P1115" s="447"/>
    </row>
    <row r="1116" spans="16:16" s="497" customFormat="1" ht="15">
      <c r="P1116" s="447"/>
    </row>
    <row r="1117" spans="16:16" s="497" customFormat="1" ht="15">
      <c r="P1117" s="447"/>
    </row>
    <row r="1118" spans="16:16" s="497" customFormat="1" ht="15">
      <c r="P1118" s="447"/>
    </row>
    <row r="1119" spans="16:16" s="497" customFormat="1" ht="15">
      <c r="P1119" s="447"/>
    </row>
    <row r="1120" spans="16:16" s="497" customFormat="1" ht="15">
      <c r="P1120" s="447"/>
    </row>
    <row r="1121" spans="16:16" s="497" customFormat="1" ht="15">
      <c r="P1121" s="447"/>
    </row>
    <row r="1122" spans="16:16" s="497" customFormat="1" ht="15">
      <c r="P1122" s="447"/>
    </row>
    <row r="1123" spans="16:16" s="497" customFormat="1" ht="15">
      <c r="P1123" s="447"/>
    </row>
    <row r="1124" spans="16:16" s="497" customFormat="1" ht="15">
      <c r="P1124" s="447"/>
    </row>
    <row r="1125" spans="16:16" s="497" customFormat="1" ht="15">
      <c r="P1125" s="447"/>
    </row>
    <row r="1126" spans="16:16" s="497" customFormat="1" ht="15">
      <c r="P1126" s="447"/>
    </row>
    <row r="1127" spans="16:16" s="497" customFormat="1" ht="15">
      <c r="P1127" s="447"/>
    </row>
    <row r="1128" spans="16:16" s="497" customFormat="1" ht="15">
      <c r="P1128" s="447"/>
    </row>
    <row r="1129" spans="16:16" s="497" customFormat="1" ht="15">
      <c r="P1129" s="447"/>
    </row>
    <row r="1130" spans="16:16" s="497" customFormat="1" ht="15">
      <c r="P1130" s="447"/>
    </row>
    <row r="1131" spans="16:16" s="497" customFormat="1" ht="15">
      <c r="P1131" s="447"/>
    </row>
    <row r="1132" spans="16:16" s="497" customFormat="1" ht="15">
      <c r="P1132" s="447"/>
    </row>
    <row r="1133" spans="16:16" s="497" customFormat="1" ht="15">
      <c r="P1133" s="447"/>
    </row>
    <row r="1134" spans="16:16" s="497" customFormat="1" ht="15">
      <c r="P1134" s="447"/>
    </row>
    <row r="1135" spans="16:16" s="497" customFormat="1" ht="15">
      <c r="P1135" s="447"/>
    </row>
    <row r="1136" spans="16:16" s="497" customFormat="1" ht="15">
      <c r="P1136" s="447"/>
    </row>
    <row r="1137" spans="16:16" s="497" customFormat="1" ht="15">
      <c r="P1137" s="447"/>
    </row>
    <row r="1138" spans="16:16" s="497" customFormat="1" ht="15">
      <c r="P1138" s="447"/>
    </row>
    <row r="1139" spans="16:16" s="497" customFormat="1" ht="15">
      <c r="P1139" s="447"/>
    </row>
    <row r="1140" spans="16:16" s="497" customFormat="1" ht="15">
      <c r="P1140" s="447"/>
    </row>
    <row r="1141" spans="16:16" s="497" customFormat="1" ht="15">
      <c r="P1141" s="447"/>
    </row>
    <row r="1142" spans="16:16" s="497" customFormat="1" ht="15">
      <c r="P1142" s="447"/>
    </row>
    <row r="1143" spans="16:16" s="497" customFormat="1" ht="15">
      <c r="P1143" s="447"/>
    </row>
    <row r="1144" spans="16:16" s="497" customFormat="1" ht="15">
      <c r="P1144" s="447"/>
    </row>
    <row r="1145" spans="16:16" s="497" customFormat="1" ht="15">
      <c r="P1145" s="447"/>
    </row>
    <row r="1146" spans="16:16" s="497" customFormat="1" ht="15">
      <c r="P1146" s="447"/>
    </row>
    <row r="1147" spans="16:16" s="497" customFormat="1" ht="15">
      <c r="P1147" s="447"/>
    </row>
    <row r="1148" spans="16:16" s="497" customFormat="1" ht="15">
      <c r="P1148" s="447"/>
    </row>
    <row r="1149" spans="16:16" s="497" customFormat="1" ht="15">
      <c r="P1149" s="447"/>
    </row>
    <row r="1150" spans="16:16" s="497" customFormat="1" ht="15">
      <c r="P1150" s="447"/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2060"/>
  </sheetPr>
  <dimension ref="A1:T1150"/>
  <sheetViews>
    <sheetView workbookViewId="0">
      <selection activeCell="A2" sqref="A2"/>
    </sheetView>
  </sheetViews>
  <sheetFormatPr defaultRowHeight="12.75"/>
  <cols>
    <col min="1" max="4" width="9.140625" style="443"/>
    <col min="5" max="6" width="5.140625" style="458" customWidth="1"/>
    <col min="7" max="7" width="6" style="458" customWidth="1"/>
    <col min="8" max="14" width="5.140625" style="458" customWidth="1"/>
    <col min="15" max="15" width="9.140625" style="443"/>
    <col min="16" max="16" width="9.140625" style="497"/>
    <col min="17" max="20" width="9.140625" style="473"/>
    <col min="21" max="16384" width="9.140625" style="497"/>
  </cols>
  <sheetData>
    <row r="1" spans="1:20" s="443" customFormat="1" ht="23.25">
      <c r="A1" s="495" t="s">
        <v>592</v>
      </c>
      <c r="E1" s="458"/>
      <c r="F1" s="458"/>
      <c r="G1" s="458"/>
      <c r="H1" s="458"/>
      <c r="I1" s="458"/>
      <c r="J1" s="458"/>
      <c r="K1" s="458"/>
      <c r="L1" s="458"/>
      <c r="M1" s="458"/>
      <c r="N1" s="458"/>
      <c r="Q1" s="496" t="s">
        <v>417</v>
      </c>
      <c r="R1" s="496" t="s">
        <v>524</v>
      </c>
      <c r="S1" s="496" t="s">
        <v>525</v>
      </c>
      <c r="T1" s="496" t="s">
        <v>534</v>
      </c>
    </row>
    <row r="2" spans="1:20" ht="15">
      <c r="B2" s="445" t="s">
        <v>421</v>
      </c>
      <c r="C2" s="445"/>
      <c r="D2" s="445"/>
      <c r="F2" s="446" t="s">
        <v>422</v>
      </c>
      <c r="G2" s="446" t="s">
        <v>423</v>
      </c>
      <c r="P2" s="447"/>
      <c r="Q2" s="447" t="s">
        <v>456</v>
      </c>
      <c r="R2" s="447" t="s">
        <v>457</v>
      </c>
      <c r="S2" s="447" t="s">
        <v>425</v>
      </c>
      <c r="T2" s="447" t="s">
        <v>460</v>
      </c>
    </row>
    <row r="3" spans="1:20" ht="15">
      <c r="B3" s="443" t="s">
        <v>426</v>
      </c>
      <c r="C3" s="448">
        <v>3.5008273438823068</v>
      </c>
      <c r="D3" s="449" t="s">
        <v>427</v>
      </c>
      <c r="F3" s="446">
        <f>MIN(XX_value)</f>
        <v>3</v>
      </c>
      <c r="G3" s="446">
        <f>MAX(XX_value)</f>
        <v>100</v>
      </c>
      <c r="P3" s="447"/>
      <c r="Q3" s="450">
        <v>3</v>
      </c>
      <c r="R3" s="450">
        <v>0</v>
      </c>
      <c r="S3" s="450">
        <v>0</v>
      </c>
      <c r="T3" s="450">
        <v>1.1000000000000001</v>
      </c>
    </row>
    <row r="4" spans="1:20" ht="15">
      <c r="B4" s="443" t="s">
        <v>430</v>
      </c>
      <c r="C4" s="448">
        <v>1.0629800000000103</v>
      </c>
      <c r="D4" s="449" t="s">
        <v>427</v>
      </c>
      <c r="F4" s="446">
        <f>MIN(YY_value)</f>
        <v>0</v>
      </c>
      <c r="G4" s="446">
        <f>MAX(YY_value)</f>
        <v>100</v>
      </c>
      <c r="P4" s="447"/>
      <c r="Q4" s="450">
        <v>3</v>
      </c>
      <c r="R4" s="450">
        <v>0</v>
      </c>
      <c r="S4" s="450">
        <v>300</v>
      </c>
      <c r="T4" s="450">
        <v>1.1000000000000001</v>
      </c>
    </row>
    <row r="5" spans="1:20" ht="15">
      <c r="B5" s="443" t="s">
        <v>390</v>
      </c>
      <c r="C5" s="448">
        <v>541.56762934883636</v>
      </c>
      <c r="D5" s="449" t="s">
        <v>427</v>
      </c>
      <c r="F5" s="446">
        <f>MIN(ZZ_value)</f>
        <v>0</v>
      </c>
      <c r="G5" s="446">
        <f>MAX(ZZ_value)</f>
        <v>10000</v>
      </c>
      <c r="P5" s="447"/>
      <c r="Q5" s="450">
        <v>3</v>
      </c>
      <c r="R5" s="450">
        <v>0</v>
      </c>
      <c r="S5" s="450">
        <v>300.01</v>
      </c>
      <c r="T5" s="450">
        <v>1</v>
      </c>
    </row>
    <row r="6" spans="1:20" ht="15">
      <c r="G6" s="446"/>
      <c r="P6" s="447"/>
      <c r="Q6" s="450">
        <v>3</v>
      </c>
      <c r="R6" s="450">
        <v>0</v>
      </c>
      <c r="S6" s="450">
        <v>600</v>
      </c>
      <c r="T6" s="450">
        <v>1</v>
      </c>
    </row>
    <row r="7" spans="1:20" ht="15">
      <c r="B7" s="445" t="s">
        <v>424</v>
      </c>
      <c r="C7" s="445"/>
      <c r="D7" s="445"/>
      <c r="P7" s="447"/>
      <c r="Q7" s="450">
        <v>3</v>
      </c>
      <c r="R7" s="450">
        <v>0</v>
      </c>
      <c r="S7" s="450">
        <v>600.01</v>
      </c>
      <c r="T7" s="450">
        <v>1</v>
      </c>
    </row>
    <row r="8" spans="1:20" ht="15">
      <c r="B8" s="443" t="s">
        <v>461</v>
      </c>
      <c r="C8" s="468">
        <f>SUMPRODUCT(D37:D44,D46:D53)</f>
        <v>0.9999999999999859</v>
      </c>
      <c r="D8" s="449" t="s">
        <v>427</v>
      </c>
      <c r="P8" s="447"/>
      <c r="Q8" s="450">
        <v>3</v>
      </c>
      <c r="R8" s="450">
        <v>0</v>
      </c>
      <c r="S8" s="450">
        <v>10000</v>
      </c>
      <c r="T8" s="450">
        <v>1</v>
      </c>
    </row>
    <row r="9" spans="1:20" ht="15">
      <c r="P9" s="447"/>
      <c r="Q9" s="450">
        <v>3</v>
      </c>
      <c r="R9" s="450">
        <v>0.4</v>
      </c>
      <c r="S9" s="450">
        <v>0</v>
      </c>
      <c r="T9" s="450">
        <v>1.1000000000000001</v>
      </c>
    </row>
    <row r="10" spans="1:20" ht="15">
      <c r="B10" s="445" t="s">
        <v>431</v>
      </c>
      <c r="C10" s="445"/>
      <c r="D10" s="445"/>
      <c r="F10" s="446"/>
      <c r="P10" s="447"/>
      <c r="Q10" s="450">
        <v>3</v>
      </c>
      <c r="R10" s="450">
        <v>0.4</v>
      </c>
      <c r="S10" s="450">
        <v>300</v>
      </c>
      <c r="T10" s="450">
        <v>1.1000000000000001</v>
      </c>
    </row>
    <row r="11" spans="1:20" ht="15">
      <c r="B11" s="443" t="s">
        <v>433</v>
      </c>
      <c r="C11" s="450">
        <f>INDEX(XX_value,MATCH(XX,XX_value,1))</f>
        <v>3.5</v>
      </c>
      <c r="D11" s="449" t="s">
        <v>427</v>
      </c>
      <c r="F11" s="446"/>
      <c r="P11" s="447"/>
      <c r="Q11" s="450">
        <v>3</v>
      </c>
      <c r="R11" s="450">
        <v>0.4</v>
      </c>
      <c r="S11" s="450">
        <v>300.01</v>
      </c>
      <c r="T11" s="450">
        <v>1</v>
      </c>
    </row>
    <row r="12" spans="1:20" ht="15">
      <c r="B12" s="443" t="s">
        <v>434</v>
      </c>
      <c r="C12" s="450">
        <f>INDEX(XX_value,MATCH(XX,XX_value,1)+1)</f>
        <v>4.49</v>
      </c>
      <c r="D12" s="449" t="s">
        <v>427</v>
      </c>
      <c r="F12" s="446"/>
      <c r="P12" s="447"/>
      <c r="Q12" s="450">
        <v>3</v>
      </c>
      <c r="R12" s="450">
        <v>0.4</v>
      </c>
      <c r="S12" s="450">
        <v>600</v>
      </c>
      <c r="T12" s="450">
        <v>1</v>
      </c>
    </row>
    <row r="13" spans="1:20" ht="15">
      <c r="B13" s="443" t="s">
        <v>435</v>
      </c>
      <c r="C13" s="450">
        <f>INDEX(YY_value,MATCH(YY,YY_value,1))</f>
        <v>0.8</v>
      </c>
      <c r="D13" s="449" t="s">
        <v>427</v>
      </c>
      <c r="F13" s="446"/>
      <c r="P13" s="447"/>
      <c r="Q13" s="450">
        <v>3</v>
      </c>
      <c r="R13" s="450">
        <v>0.4</v>
      </c>
      <c r="S13" s="450">
        <v>600.01</v>
      </c>
      <c r="T13" s="450">
        <v>1</v>
      </c>
    </row>
    <row r="14" spans="1:20" ht="15">
      <c r="B14" s="443" t="s">
        <v>436</v>
      </c>
      <c r="C14" s="450">
        <f>INDEX(YY_value,MATCH(YY,YY_value,1)+1)</f>
        <v>1.2</v>
      </c>
      <c r="D14" s="449" t="s">
        <v>427</v>
      </c>
      <c r="F14" s="446"/>
      <c r="P14" s="447"/>
      <c r="Q14" s="450">
        <v>3</v>
      </c>
      <c r="R14" s="450">
        <v>0.4</v>
      </c>
      <c r="S14" s="450">
        <v>10000</v>
      </c>
      <c r="T14" s="450">
        <v>1</v>
      </c>
    </row>
    <row r="15" spans="1:20" ht="15">
      <c r="B15" s="443" t="s">
        <v>462</v>
      </c>
      <c r="C15" s="450">
        <f>INDEX(ZZ_value,MATCH(ZZ,ZZ_value,1))</f>
        <v>300.01</v>
      </c>
      <c r="D15" s="449" t="s">
        <v>427</v>
      </c>
      <c r="P15" s="447"/>
      <c r="Q15" s="450">
        <v>3</v>
      </c>
      <c r="R15" s="450">
        <v>0.8</v>
      </c>
      <c r="S15" s="450">
        <v>0</v>
      </c>
      <c r="T15" s="450">
        <v>1.2</v>
      </c>
    </row>
    <row r="16" spans="1:20" ht="15">
      <c r="B16" s="443" t="s">
        <v>463</v>
      </c>
      <c r="C16" s="450">
        <f>INDEX(ZZ_value,MATCH(ZZ,ZZ_value,1)+1)</f>
        <v>600</v>
      </c>
      <c r="D16" s="449" t="s">
        <v>427</v>
      </c>
      <c r="F16" s="446" t="s">
        <v>432</v>
      </c>
      <c r="P16" s="447"/>
      <c r="Q16" s="450">
        <v>3</v>
      </c>
      <c r="R16" s="450">
        <v>0.8</v>
      </c>
      <c r="S16" s="450">
        <v>300</v>
      </c>
      <c r="T16" s="450">
        <v>1.2</v>
      </c>
    </row>
    <row r="17" spans="2:20" s="497" customFormat="1" ht="15">
      <c r="B17" s="443" t="s">
        <v>464</v>
      </c>
      <c r="C17" s="469">
        <f t="shared" ref="C17" si="0">INDEX(TT_value,F17,0)</f>
        <v>1</v>
      </c>
      <c r="D17" s="449" t="s">
        <v>427</v>
      </c>
      <c r="E17" s="458"/>
      <c r="F17" s="446">
        <f t="array" ref="F17">MATCH(1,(XX_value=xx_1)*(YY_value=yy_1)*(ZZ_value=zz_1),0)</f>
        <v>137</v>
      </c>
      <c r="G17" s="458"/>
      <c r="H17" s="458"/>
      <c r="I17" s="458"/>
      <c r="J17" s="458"/>
      <c r="K17" s="458"/>
      <c r="L17" s="458"/>
      <c r="M17" s="458"/>
      <c r="N17" s="458"/>
      <c r="O17" s="443"/>
      <c r="P17" s="447"/>
      <c r="Q17" s="450">
        <v>3</v>
      </c>
      <c r="R17" s="450">
        <v>0.8</v>
      </c>
      <c r="S17" s="450">
        <v>300.01</v>
      </c>
      <c r="T17" s="450">
        <v>1</v>
      </c>
    </row>
    <row r="18" spans="2:20" s="497" customFormat="1" ht="15">
      <c r="B18" s="443" t="s">
        <v>465</v>
      </c>
      <c r="C18" s="469">
        <f t="shared" ref="C18" si="1">INDEX(TT_value,F18,0)</f>
        <v>1</v>
      </c>
      <c r="D18" s="449" t="s">
        <v>427</v>
      </c>
      <c r="E18" s="458"/>
      <c r="F18" s="446">
        <f t="array" ref="F18">MATCH(1,(XX_value=xx_2)*(YY_value=yy_1)*(ZZ_value=zz_1),0)</f>
        <v>197</v>
      </c>
      <c r="G18" s="458"/>
      <c r="H18" s="458"/>
      <c r="I18" s="458"/>
      <c r="J18" s="458"/>
      <c r="K18" s="458"/>
      <c r="L18" s="458"/>
      <c r="M18" s="458"/>
      <c r="N18" s="458"/>
      <c r="O18" s="443"/>
      <c r="P18" s="447"/>
      <c r="Q18" s="450">
        <v>3</v>
      </c>
      <c r="R18" s="450">
        <v>0.8</v>
      </c>
      <c r="S18" s="450">
        <v>600</v>
      </c>
      <c r="T18" s="450">
        <v>1</v>
      </c>
    </row>
    <row r="19" spans="2:20" s="497" customFormat="1" ht="15">
      <c r="B19" s="443" t="s">
        <v>466</v>
      </c>
      <c r="C19" s="469">
        <f t="shared" ref="C19" si="2">INDEX(TT_value,F19,0)</f>
        <v>1</v>
      </c>
      <c r="D19" s="449" t="s">
        <v>427</v>
      </c>
      <c r="E19" s="458"/>
      <c r="F19" s="446">
        <f t="array" ref="F19">MATCH(1,(XX_value=xx_1)*(YY_value=yy_2)*(ZZ_value=zz_1),0)</f>
        <v>143</v>
      </c>
      <c r="G19" s="458"/>
      <c r="H19" s="458"/>
      <c r="I19" s="458"/>
      <c r="J19" s="458"/>
      <c r="K19" s="458"/>
      <c r="L19" s="458"/>
      <c r="M19" s="458"/>
      <c r="N19" s="458"/>
      <c r="O19" s="443"/>
      <c r="P19" s="447"/>
      <c r="Q19" s="450">
        <v>3</v>
      </c>
      <c r="R19" s="450">
        <v>0.8</v>
      </c>
      <c r="S19" s="450">
        <v>600.01</v>
      </c>
      <c r="T19" s="450">
        <v>1</v>
      </c>
    </row>
    <row r="20" spans="2:20" s="497" customFormat="1" ht="15">
      <c r="B20" s="443" t="s">
        <v>467</v>
      </c>
      <c r="C20" s="469">
        <f t="shared" ref="C20" si="3">INDEX(TT_value,F20,0)</f>
        <v>1</v>
      </c>
      <c r="D20" s="449" t="s">
        <v>427</v>
      </c>
      <c r="E20" s="458"/>
      <c r="F20" s="446">
        <f t="array" ref="F20">MATCH(1,(XX_value=xx_2)*(YY_value=yy_2)*(ZZ_value=zz_1),0)</f>
        <v>203</v>
      </c>
      <c r="G20" s="458"/>
      <c r="H20" s="458"/>
      <c r="I20" s="458"/>
      <c r="J20" s="458"/>
      <c r="K20" s="458"/>
      <c r="L20" s="458"/>
      <c r="M20" s="458"/>
      <c r="N20" s="458"/>
      <c r="O20" s="443"/>
      <c r="P20" s="447"/>
      <c r="Q20" s="450">
        <v>3</v>
      </c>
      <c r="R20" s="450">
        <v>0.8</v>
      </c>
      <c r="S20" s="450">
        <v>10000</v>
      </c>
      <c r="T20" s="450">
        <v>1</v>
      </c>
    </row>
    <row r="21" spans="2:20" s="497" customFormat="1" ht="15">
      <c r="B21" s="443" t="s">
        <v>468</v>
      </c>
      <c r="C21" s="469">
        <f t="shared" ref="C21" si="4">INDEX(TT_value,F21,0)</f>
        <v>1</v>
      </c>
      <c r="D21" s="449" t="s">
        <v>427</v>
      </c>
      <c r="E21" s="458"/>
      <c r="F21" s="446">
        <f t="array" ref="F21">MATCH(1,(XX_value=xx_1)*(YY_value=yy_1)*(ZZ_value=zz_2),0)</f>
        <v>138</v>
      </c>
      <c r="G21" s="458"/>
      <c r="H21" s="458"/>
      <c r="I21" s="458"/>
      <c r="J21" s="458"/>
      <c r="K21" s="458"/>
      <c r="L21" s="458"/>
      <c r="M21" s="458"/>
      <c r="N21" s="458"/>
      <c r="O21" s="443"/>
      <c r="P21" s="447"/>
      <c r="Q21" s="450">
        <v>3</v>
      </c>
      <c r="R21" s="450">
        <v>1.2</v>
      </c>
      <c r="S21" s="450">
        <v>0</v>
      </c>
      <c r="T21" s="450">
        <v>1.2</v>
      </c>
    </row>
    <row r="22" spans="2:20" s="497" customFormat="1" ht="15">
      <c r="B22" s="443" t="s">
        <v>469</v>
      </c>
      <c r="C22" s="469">
        <f t="shared" ref="C22" si="5">INDEX(TT_value,F22,0)</f>
        <v>1</v>
      </c>
      <c r="D22" s="449" t="s">
        <v>427</v>
      </c>
      <c r="E22" s="458"/>
      <c r="F22" s="446">
        <f t="array" ref="F22">MATCH(1,(XX_value=xx_2)*(YY_value=yy_1)*(ZZ_value=zz_2),0)</f>
        <v>198</v>
      </c>
      <c r="G22" s="458"/>
      <c r="H22" s="458"/>
      <c r="I22" s="458"/>
      <c r="J22" s="458"/>
      <c r="K22" s="458"/>
      <c r="L22" s="458"/>
      <c r="M22" s="458"/>
      <c r="N22" s="458"/>
      <c r="O22" s="443"/>
      <c r="P22" s="447"/>
      <c r="Q22" s="450">
        <v>3</v>
      </c>
      <c r="R22" s="450">
        <v>1.2</v>
      </c>
      <c r="S22" s="450">
        <v>300</v>
      </c>
      <c r="T22" s="450">
        <v>1.2</v>
      </c>
    </row>
    <row r="23" spans="2:20" s="497" customFormat="1" ht="15">
      <c r="B23" s="443" t="s">
        <v>470</v>
      </c>
      <c r="C23" s="469">
        <f t="shared" ref="C23" si="6">INDEX(TT_value,F23,0)</f>
        <v>1</v>
      </c>
      <c r="D23" s="449" t="s">
        <v>427</v>
      </c>
      <c r="E23" s="458"/>
      <c r="F23" s="446">
        <f t="array" ref="F23">MATCH(1,(XX_value=xx_1)*(YY_value=yy_2)*(ZZ_value=zz_2),0)</f>
        <v>144</v>
      </c>
      <c r="G23" s="458"/>
      <c r="H23" s="458"/>
      <c r="I23" s="458"/>
      <c r="J23" s="458"/>
      <c r="K23" s="458"/>
      <c r="L23" s="458"/>
      <c r="M23" s="458"/>
      <c r="N23" s="458"/>
      <c r="O23" s="443"/>
      <c r="P23" s="447"/>
      <c r="Q23" s="450">
        <v>3</v>
      </c>
      <c r="R23" s="450">
        <v>1.2</v>
      </c>
      <c r="S23" s="450">
        <v>300.01</v>
      </c>
      <c r="T23" s="450">
        <v>1</v>
      </c>
    </row>
    <row r="24" spans="2:20" s="497" customFormat="1" ht="15">
      <c r="B24" s="443" t="s">
        <v>471</v>
      </c>
      <c r="C24" s="469">
        <f t="shared" ref="C24" si="7">INDEX(TT_value,F24,0)</f>
        <v>1</v>
      </c>
      <c r="D24" s="449" t="s">
        <v>427</v>
      </c>
      <c r="E24" s="458"/>
      <c r="F24" s="446">
        <f t="array" ref="F24">MATCH(1,(XX_value=xx_2)*(YY_value=yy_2)*(ZZ_value=zz_2),0)</f>
        <v>204</v>
      </c>
      <c r="G24" s="458"/>
      <c r="H24" s="458"/>
      <c r="I24" s="458"/>
      <c r="J24" s="458"/>
      <c r="K24" s="458"/>
      <c r="L24" s="458"/>
      <c r="M24" s="458"/>
      <c r="N24" s="458"/>
      <c r="O24" s="443"/>
      <c r="P24" s="447"/>
      <c r="Q24" s="450">
        <v>3</v>
      </c>
      <c r="R24" s="450">
        <v>1.2</v>
      </c>
      <c r="S24" s="450">
        <v>600</v>
      </c>
      <c r="T24" s="450">
        <v>1</v>
      </c>
    </row>
    <row r="25" spans="2:20" s="497" customFormat="1" ht="15">
      <c r="B25" s="443"/>
      <c r="C25" s="443"/>
      <c r="D25" s="449"/>
      <c r="E25" s="458"/>
      <c r="F25" s="458"/>
      <c r="G25" s="458"/>
      <c r="H25" s="458"/>
      <c r="I25" s="458"/>
      <c r="J25" s="458"/>
      <c r="K25" s="458"/>
      <c r="L25" s="458"/>
      <c r="M25" s="458"/>
      <c r="N25" s="458"/>
      <c r="O25" s="443"/>
      <c r="P25" s="447"/>
      <c r="Q25" s="450">
        <v>3</v>
      </c>
      <c r="R25" s="450">
        <v>1.2</v>
      </c>
      <c r="S25" s="450">
        <v>600.01</v>
      </c>
      <c r="T25" s="450">
        <v>1</v>
      </c>
    </row>
    <row r="26" spans="2:20" s="497" customFormat="1" ht="15">
      <c r="B26" s="445" t="s">
        <v>441</v>
      </c>
      <c r="C26" s="445"/>
      <c r="D26" s="445"/>
      <c r="E26" s="445"/>
      <c r="F26" s="445"/>
      <c r="G26" s="445"/>
      <c r="H26" s="445"/>
      <c r="I26" s="445"/>
      <c r="J26" s="445"/>
      <c r="K26" s="445"/>
      <c r="L26" s="445"/>
      <c r="M26" s="445"/>
      <c r="N26" s="445"/>
      <c r="O26" s="443"/>
      <c r="P26" s="447"/>
      <c r="Q26" s="450">
        <v>3</v>
      </c>
      <c r="R26" s="450">
        <v>1.2</v>
      </c>
      <c r="S26" s="450">
        <v>10000</v>
      </c>
      <c r="T26" s="450">
        <v>1</v>
      </c>
    </row>
    <row r="27" spans="2:20" s="497" customFormat="1" ht="15">
      <c r="B27" s="443"/>
      <c r="C27" s="443"/>
      <c r="D27" s="443"/>
      <c r="E27" s="458"/>
      <c r="F27" s="458"/>
      <c r="G27" s="458"/>
      <c r="H27" s="458"/>
      <c r="I27" s="458"/>
      <c r="J27" s="458"/>
      <c r="K27" s="458"/>
      <c r="L27" s="458"/>
      <c r="M27" s="458"/>
      <c r="N27" s="458"/>
      <c r="O27" s="443"/>
      <c r="P27" s="447"/>
      <c r="Q27" s="450">
        <v>3</v>
      </c>
      <c r="R27" s="450">
        <v>1.6</v>
      </c>
      <c r="S27" s="450">
        <v>0</v>
      </c>
      <c r="T27" s="450">
        <v>1.3</v>
      </c>
    </row>
    <row r="28" spans="2:20" s="497" customFormat="1" ht="15">
      <c r="B28" s="453" t="s">
        <v>442</v>
      </c>
      <c r="C28" s="443"/>
      <c r="D28" s="443"/>
      <c r="E28" s="453">
        <v>1</v>
      </c>
      <c r="F28" s="458">
        <f>xx_1</f>
        <v>3.5</v>
      </c>
      <c r="G28" s="458">
        <f>yy_1</f>
        <v>0.8</v>
      </c>
      <c r="H28" s="458">
        <f>zz_1</f>
        <v>300.01</v>
      </c>
      <c r="I28" s="458">
        <f>F28*G28</f>
        <v>2.8000000000000003</v>
      </c>
      <c r="J28" s="458">
        <f>F28*H28</f>
        <v>1050.0349999999999</v>
      </c>
      <c r="K28" s="458">
        <f>G28*H28</f>
        <v>240.00800000000001</v>
      </c>
      <c r="L28" s="470">
        <f>F28*G28*H28</f>
        <v>840.02800000000002</v>
      </c>
      <c r="M28" s="471" t="s">
        <v>443</v>
      </c>
      <c r="N28" s="472">
        <f t="shared" ref="N28" si="8">f_111</f>
        <v>1</v>
      </c>
      <c r="O28" s="443"/>
      <c r="P28" s="447"/>
      <c r="Q28" s="450">
        <v>3</v>
      </c>
      <c r="R28" s="450">
        <v>1.6</v>
      </c>
      <c r="S28" s="450">
        <v>300</v>
      </c>
      <c r="T28" s="450">
        <v>1.3</v>
      </c>
    </row>
    <row r="29" spans="2:20" s="497" customFormat="1" ht="15">
      <c r="B29" s="453" t="s">
        <v>444</v>
      </c>
      <c r="C29" s="443"/>
      <c r="D29" s="443"/>
      <c r="E29" s="453">
        <v>1</v>
      </c>
      <c r="F29" s="458">
        <f>xx_2</f>
        <v>4.49</v>
      </c>
      <c r="G29" s="458">
        <f>yy_1</f>
        <v>0.8</v>
      </c>
      <c r="H29" s="458">
        <f>zz_1</f>
        <v>300.01</v>
      </c>
      <c r="I29" s="458">
        <f t="shared" ref="I29:I35" si="9">F29*G29</f>
        <v>3.5920000000000005</v>
      </c>
      <c r="J29" s="458">
        <f t="shared" ref="J29:J35" si="10">F29*H29</f>
        <v>1347.0449000000001</v>
      </c>
      <c r="K29" s="458">
        <f t="shared" ref="K29:K35" si="11">G29*H29</f>
        <v>240.00800000000001</v>
      </c>
      <c r="L29" s="470">
        <f t="shared" ref="L29:L35" si="12">F29*G29*H29</f>
        <v>1077.6359200000002</v>
      </c>
      <c r="M29" s="458"/>
      <c r="N29" s="472">
        <f>f_211</f>
        <v>1</v>
      </c>
      <c r="O29" s="443"/>
      <c r="P29" s="447"/>
      <c r="Q29" s="450">
        <v>3</v>
      </c>
      <c r="R29" s="450">
        <v>1.6</v>
      </c>
      <c r="S29" s="450">
        <v>300.01</v>
      </c>
      <c r="T29" s="450">
        <v>1</v>
      </c>
    </row>
    <row r="30" spans="2:20" s="497" customFormat="1" ht="15">
      <c r="B30" s="453" t="s">
        <v>445</v>
      </c>
      <c r="C30" s="443"/>
      <c r="D30" s="443"/>
      <c r="E30" s="453">
        <v>1</v>
      </c>
      <c r="F30" s="458">
        <f>xx_1</f>
        <v>3.5</v>
      </c>
      <c r="G30" s="458">
        <f>yy_2</f>
        <v>1.2</v>
      </c>
      <c r="H30" s="458">
        <f>zz_1</f>
        <v>300.01</v>
      </c>
      <c r="I30" s="458">
        <f t="shared" si="9"/>
        <v>4.2</v>
      </c>
      <c r="J30" s="458">
        <f t="shared" si="10"/>
        <v>1050.0349999999999</v>
      </c>
      <c r="K30" s="458">
        <f t="shared" si="11"/>
        <v>360.012</v>
      </c>
      <c r="L30" s="470">
        <f t="shared" si="12"/>
        <v>1260.0419999999999</v>
      </c>
      <c r="M30" s="458"/>
      <c r="N30" s="472">
        <f>f_121</f>
        <v>1</v>
      </c>
      <c r="O30" s="443"/>
      <c r="P30" s="447"/>
      <c r="Q30" s="450">
        <v>3</v>
      </c>
      <c r="R30" s="450">
        <v>1.6</v>
      </c>
      <c r="S30" s="450">
        <v>600</v>
      </c>
      <c r="T30" s="450">
        <v>1</v>
      </c>
    </row>
    <row r="31" spans="2:20" s="497" customFormat="1" ht="15">
      <c r="B31" s="453" t="s">
        <v>448</v>
      </c>
      <c r="C31" s="443" t="s">
        <v>446</v>
      </c>
      <c r="D31" s="443"/>
      <c r="E31" s="453">
        <v>1</v>
      </c>
      <c r="F31" s="458">
        <f>xx_2</f>
        <v>4.49</v>
      </c>
      <c r="G31" s="458">
        <f>yy_2</f>
        <v>1.2</v>
      </c>
      <c r="H31" s="458">
        <f>zz_1</f>
        <v>300.01</v>
      </c>
      <c r="I31" s="458">
        <f t="shared" si="9"/>
        <v>5.3879999999999999</v>
      </c>
      <c r="J31" s="458">
        <f t="shared" si="10"/>
        <v>1347.0449000000001</v>
      </c>
      <c r="K31" s="458">
        <f t="shared" si="11"/>
        <v>360.012</v>
      </c>
      <c r="L31" s="470">
        <f t="shared" si="12"/>
        <v>1616.45388</v>
      </c>
      <c r="M31" s="458" t="s">
        <v>447</v>
      </c>
      <c r="N31" s="472">
        <f>f_221</f>
        <v>1</v>
      </c>
      <c r="O31" s="443"/>
      <c r="P31" s="447"/>
      <c r="Q31" s="450">
        <v>3</v>
      </c>
      <c r="R31" s="450">
        <v>1.6</v>
      </c>
      <c r="S31" s="450">
        <v>600.01</v>
      </c>
      <c r="T31" s="450">
        <v>1</v>
      </c>
    </row>
    <row r="32" spans="2:20" s="497" customFormat="1" ht="15">
      <c r="B32" s="453" t="s">
        <v>472</v>
      </c>
      <c r="C32" s="443"/>
      <c r="D32" s="443"/>
      <c r="E32" s="453">
        <v>1</v>
      </c>
      <c r="F32" s="458">
        <f>xx_1</f>
        <v>3.5</v>
      </c>
      <c r="G32" s="458">
        <f>yy_1</f>
        <v>0.8</v>
      </c>
      <c r="H32" s="458">
        <f>zz_2</f>
        <v>600</v>
      </c>
      <c r="I32" s="458">
        <f t="shared" si="9"/>
        <v>2.8000000000000003</v>
      </c>
      <c r="J32" s="458">
        <f t="shared" si="10"/>
        <v>2100</v>
      </c>
      <c r="K32" s="458">
        <f t="shared" si="11"/>
        <v>480</v>
      </c>
      <c r="L32" s="470">
        <f t="shared" si="12"/>
        <v>1680.0000000000002</v>
      </c>
      <c r="M32" s="458"/>
      <c r="N32" s="472">
        <f>f_112</f>
        <v>1</v>
      </c>
      <c r="O32" s="443"/>
      <c r="P32" s="447"/>
      <c r="Q32" s="450">
        <v>3</v>
      </c>
      <c r="R32" s="450">
        <v>1.6</v>
      </c>
      <c r="S32" s="450">
        <v>10000</v>
      </c>
      <c r="T32" s="450">
        <v>1</v>
      </c>
    </row>
    <row r="33" spans="2:20" s="497" customFormat="1" ht="15">
      <c r="B33" s="453" t="s">
        <v>473</v>
      </c>
      <c r="C33" s="443"/>
      <c r="D33" s="443"/>
      <c r="E33" s="453">
        <v>1</v>
      </c>
      <c r="F33" s="458">
        <f>xx_2</f>
        <v>4.49</v>
      </c>
      <c r="G33" s="458">
        <f>yy_1</f>
        <v>0.8</v>
      </c>
      <c r="H33" s="458">
        <f>zz_2</f>
        <v>600</v>
      </c>
      <c r="I33" s="458">
        <f t="shared" si="9"/>
        <v>3.5920000000000005</v>
      </c>
      <c r="J33" s="458">
        <f t="shared" si="10"/>
        <v>2694</v>
      </c>
      <c r="K33" s="458">
        <f t="shared" si="11"/>
        <v>480</v>
      </c>
      <c r="L33" s="470">
        <f t="shared" si="12"/>
        <v>2155.2000000000003</v>
      </c>
      <c r="M33" s="458"/>
      <c r="N33" s="472">
        <f>f_212</f>
        <v>1</v>
      </c>
      <c r="O33" s="443"/>
      <c r="P33" s="447"/>
      <c r="Q33" s="450">
        <v>3</v>
      </c>
      <c r="R33" s="450">
        <v>2.4</v>
      </c>
      <c r="S33" s="450">
        <v>0</v>
      </c>
      <c r="T33" s="450">
        <v>1.4</v>
      </c>
    </row>
    <row r="34" spans="2:20" s="497" customFormat="1" ht="15">
      <c r="B34" s="453" t="s">
        <v>474</v>
      </c>
      <c r="C34" s="443"/>
      <c r="D34" s="443"/>
      <c r="E34" s="453">
        <v>1</v>
      </c>
      <c r="F34" s="458">
        <f>xx_1</f>
        <v>3.5</v>
      </c>
      <c r="G34" s="458">
        <f>yy_2</f>
        <v>1.2</v>
      </c>
      <c r="H34" s="458">
        <f>zz_2</f>
        <v>600</v>
      </c>
      <c r="I34" s="458">
        <f t="shared" si="9"/>
        <v>4.2</v>
      </c>
      <c r="J34" s="458">
        <f t="shared" si="10"/>
        <v>2100</v>
      </c>
      <c r="K34" s="458">
        <f t="shared" si="11"/>
        <v>720</v>
      </c>
      <c r="L34" s="470">
        <f t="shared" si="12"/>
        <v>2520</v>
      </c>
      <c r="M34" s="458"/>
      <c r="N34" s="472">
        <f>f_122</f>
        <v>1</v>
      </c>
      <c r="O34" s="443"/>
      <c r="P34" s="447"/>
      <c r="Q34" s="450">
        <v>3</v>
      </c>
      <c r="R34" s="450">
        <v>2.4</v>
      </c>
      <c r="S34" s="450">
        <v>300</v>
      </c>
      <c r="T34" s="450">
        <v>1.4</v>
      </c>
    </row>
    <row r="35" spans="2:20" s="497" customFormat="1" ht="15">
      <c r="B35" s="453" t="s">
        <v>475</v>
      </c>
      <c r="C35" s="443"/>
      <c r="D35" s="443"/>
      <c r="E35" s="453">
        <v>1</v>
      </c>
      <c r="F35" s="458">
        <f>xx_2</f>
        <v>4.49</v>
      </c>
      <c r="G35" s="458">
        <f>yy_2</f>
        <v>1.2</v>
      </c>
      <c r="H35" s="458">
        <f>zz_2</f>
        <v>600</v>
      </c>
      <c r="I35" s="458">
        <f t="shared" si="9"/>
        <v>5.3879999999999999</v>
      </c>
      <c r="J35" s="458">
        <f t="shared" si="10"/>
        <v>2694</v>
      </c>
      <c r="K35" s="458">
        <f t="shared" si="11"/>
        <v>720</v>
      </c>
      <c r="L35" s="470">
        <f t="shared" si="12"/>
        <v>3232.7999999999997</v>
      </c>
      <c r="M35" s="458"/>
      <c r="N35" s="472">
        <f>f_222</f>
        <v>1</v>
      </c>
      <c r="O35" s="443"/>
      <c r="P35" s="447"/>
      <c r="Q35" s="450">
        <v>3</v>
      </c>
      <c r="R35" s="450">
        <v>2.4</v>
      </c>
      <c r="S35" s="450">
        <v>300.01</v>
      </c>
      <c r="T35" s="450">
        <v>1</v>
      </c>
    </row>
    <row r="36" spans="2:20" s="497" customFormat="1" ht="15">
      <c r="B36" s="443"/>
      <c r="C36" s="443"/>
      <c r="D36" s="443"/>
      <c r="E36" s="458"/>
      <c r="F36" s="458"/>
      <c r="G36" s="458"/>
      <c r="H36" s="458"/>
      <c r="I36" s="458"/>
      <c r="J36" s="458"/>
      <c r="K36" s="458"/>
      <c r="L36" s="458"/>
      <c r="M36" s="458"/>
      <c r="N36" s="458"/>
      <c r="O36" s="443"/>
      <c r="P36" s="447"/>
      <c r="Q36" s="450">
        <v>3</v>
      </c>
      <c r="R36" s="450">
        <v>2.4</v>
      </c>
      <c r="S36" s="450">
        <v>600</v>
      </c>
      <c r="T36" s="450">
        <v>1</v>
      </c>
    </row>
    <row r="37" spans="2:20" s="497" customFormat="1" ht="15">
      <c r="B37" s="453" t="s">
        <v>442</v>
      </c>
      <c r="C37" s="443"/>
      <c r="D37" s="453">
        <f t="array" ref="D37:D44">MMULT(MINVERSE(E28:L35),N28:N35)</f>
        <v>0.99999999999998401</v>
      </c>
      <c r="E37" s="458"/>
      <c r="F37" s="458"/>
      <c r="G37" s="458"/>
      <c r="H37" s="458"/>
      <c r="I37" s="458"/>
      <c r="J37" s="458"/>
      <c r="K37" s="458"/>
      <c r="L37" s="458"/>
      <c r="M37" s="458"/>
      <c r="N37" s="458"/>
      <c r="O37" s="443"/>
      <c r="P37" s="447"/>
      <c r="Q37" s="450">
        <v>3</v>
      </c>
      <c r="R37" s="450">
        <v>2.4</v>
      </c>
      <c r="S37" s="450">
        <v>600.01</v>
      </c>
      <c r="T37" s="450">
        <v>1</v>
      </c>
    </row>
    <row r="38" spans="2:20" s="497" customFormat="1" ht="15">
      <c r="B38" s="453" t="s">
        <v>444</v>
      </c>
      <c r="C38" s="443"/>
      <c r="D38" s="453">
        <v>0</v>
      </c>
      <c r="E38" s="458"/>
      <c r="F38" s="458"/>
      <c r="G38" s="458"/>
      <c r="H38" s="458"/>
      <c r="I38" s="458"/>
      <c r="J38" s="458"/>
      <c r="K38" s="458"/>
      <c r="L38" s="458"/>
      <c r="M38" s="458"/>
      <c r="N38" s="458"/>
      <c r="O38" s="443"/>
      <c r="P38" s="447"/>
      <c r="Q38" s="450">
        <v>3</v>
      </c>
      <c r="R38" s="450">
        <v>2.4</v>
      </c>
      <c r="S38" s="450">
        <v>10000</v>
      </c>
      <c r="T38" s="450">
        <v>1</v>
      </c>
    </row>
    <row r="39" spans="2:20" s="497" customFormat="1" ht="15">
      <c r="B39" s="453" t="s">
        <v>445</v>
      </c>
      <c r="C39" s="443"/>
      <c r="D39" s="453">
        <v>0</v>
      </c>
      <c r="E39" s="458"/>
      <c r="F39" s="458"/>
      <c r="G39" s="458"/>
      <c r="H39" s="458"/>
      <c r="I39" s="458"/>
      <c r="J39" s="458"/>
      <c r="K39" s="458"/>
      <c r="L39" s="458"/>
      <c r="M39" s="458"/>
      <c r="N39" s="458"/>
      <c r="O39" s="443"/>
      <c r="P39" s="447"/>
      <c r="Q39" s="450">
        <v>3</v>
      </c>
      <c r="R39" s="450">
        <v>3.2</v>
      </c>
      <c r="S39" s="450">
        <v>0</v>
      </c>
      <c r="T39" s="450">
        <v>1.4</v>
      </c>
    </row>
    <row r="40" spans="2:20" s="497" customFormat="1" ht="15">
      <c r="B40" s="453" t="s">
        <v>448</v>
      </c>
      <c r="C40" s="443" t="s">
        <v>446</v>
      </c>
      <c r="D40" s="453">
        <v>3.4694469519536142E-18</v>
      </c>
      <c r="E40" s="458"/>
      <c r="F40" s="458"/>
      <c r="G40" s="458"/>
      <c r="H40" s="458"/>
      <c r="I40" s="458"/>
      <c r="J40" s="458"/>
      <c r="K40" s="458"/>
      <c r="L40" s="458"/>
      <c r="M40" s="458"/>
      <c r="N40" s="458"/>
      <c r="O40" s="443"/>
      <c r="P40" s="447"/>
      <c r="Q40" s="450">
        <v>3</v>
      </c>
      <c r="R40" s="450">
        <v>3.2</v>
      </c>
      <c r="S40" s="450">
        <v>300</v>
      </c>
      <c r="T40" s="450">
        <v>1.4</v>
      </c>
    </row>
    <row r="41" spans="2:20" s="497" customFormat="1" ht="15">
      <c r="B41" s="453" t="s">
        <v>472</v>
      </c>
      <c r="C41" s="443"/>
      <c r="D41" s="453">
        <v>0</v>
      </c>
      <c r="E41" s="458"/>
      <c r="F41" s="458"/>
      <c r="G41" s="458"/>
      <c r="H41" s="458"/>
      <c r="I41" s="458"/>
      <c r="J41" s="458"/>
      <c r="K41" s="458"/>
      <c r="L41" s="458"/>
      <c r="M41" s="458"/>
      <c r="N41" s="458"/>
      <c r="O41" s="443"/>
      <c r="P41" s="447"/>
      <c r="Q41" s="450">
        <v>3</v>
      </c>
      <c r="R41" s="450">
        <v>3.2</v>
      </c>
      <c r="S41" s="450">
        <v>300.01</v>
      </c>
      <c r="T41" s="450">
        <v>1</v>
      </c>
    </row>
    <row r="42" spans="2:20" s="497" customFormat="1" ht="15">
      <c r="B42" s="453" t="s">
        <v>473</v>
      </c>
      <c r="C42" s="443"/>
      <c r="D42" s="453">
        <v>0</v>
      </c>
      <c r="E42" s="458"/>
      <c r="F42" s="458"/>
      <c r="G42" s="458"/>
      <c r="H42" s="458"/>
      <c r="I42" s="458"/>
      <c r="J42" s="458"/>
      <c r="K42" s="458"/>
      <c r="L42" s="458"/>
      <c r="M42" s="458"/>
      <c r="N42" s="458"/>
      <c r="O42" s="443"/>
      <c r="P42" s="447"/>
      <c r="Q42" s="450">
        <v>3</v>
      </c>
      <c r="R42" s="450">
        <v>3.2</v>
      </c>
      <c r="S42" s="450">
        <v>600</v>
      </c>
      <c r="T42" s="450">
        <v>1</v>
      </c>
    </row>
    <row r="43" spans="2:20" s="497" customFormat="1" ht="15">
      <c r="B43" s="453" t="s">
        <v>474</v>
      </c>
      <c r="C43" s="443"/>
      <c r="D43" s="453">
        <v>0</v>
      </c>
      <c r="E43" s="458"/>
      <c r="F43" s="458"/>
      <c r="G43" s="458"/>
      <c r="H43" s="458"/>
      <c r="I43" s="458"/>
      <c r="J43" s="458"/>
      <c r="K43" s="458"/>
      <c r="L43" s="458"/>
      <c r="M43" s="458"/>
      <c r="N43" s="458"/>
      <c r="O43" s="443"/>
      <c r="P43" s="447"/>
      <c r="Q43" s="450">
        <v>3</v>
      </c>
      <c r="R43" s="450">
        <v>3.2</v>
      </c>
      <c r="S43" s="450">
        <v>600.01</v>
      </c>
      <c r="T43" s="450">
        <v>1</v>
      </c>
    </row>
    <row r="44" spans="2:20" s="497" customFormat="1" ht="15">
      <c r="B44" s="453" t="s">
        <v>475</v>
      </c>
      <c r="C44" s="443"/>
      <c r="D44" s="453">
        <v>0</v>
      </c>
      <c r="E44" s="458"/>
      <c r="F44" s="458"/>
      <c r="G44" s="458"/>
      <c r="H44" s="458"/>
      <c r="I44" s="458"/>
      <c r="J44" s="458"/>
      <c r="K44" s="458"/>
      <c r="L44" s="458"/>
      <c r="M44" s="458"/>
      <c r="N44" s="458"/>
      <c r="O44" s="443"/>
      <c r="P44" s="447"/>
      <c r="Q44" s="450">
        <v>3</v>
      </c>
      <c r="R44" s="450">
        <v>3.2</v>
      </c>
      <c r="S44" s="450">
        <v>10000</v>
      </c>
      <c r="T44" s="450">
        <v>1</v>
      </c>
    </row>
    <row r="45" spans="2:20" s="497" customFormat="1" ht="15">
      <c r="B45" s="443"/>
      <c r="C45" s="443"/>
      <c r="D45" s="443"/>
      <c r="E45" s="458"/>
      <c r="F45" s="458"/>
      <c r="G45" s="458"/>
      <c r="H45" s="458"/>
      <c r="I45" s="458"/>
      <c r="J45" s="458"/>
      <c r="K45" s="458"/>
      <c r="L45" s="458"/>
      <c r="M45" s="458"/>
      <c r="N45" s="458"/>
      <c r="O45" s="443"/>
      <c r="P45" s="447"/>
      <c r="Q45" s="450">
        <v>3</v>
      </c>
      <c r="R45" s="450">
        <v>4.8</v>
      </c>
      <c r="S45" s="450">
        <v>0</v>
      </c>
      <c r="T45" s="450">
        <v>1.5</v>
      </c>
    </row>
    <row r="46" spans="2:20" s="497" customFormat="1" ht="15">
      <c r="B46" s="453">
        <v>1</v>
      </c>
      <c r="C46" s="443"/>
      <c r="D46" s="453">
        <v>1</v>
      </c>
      <c r="E46" s="458"/>
      <c r="F46" s="458"/>
      <c r="G46" s="458"/>
      <c r="H46" s="458"/>
      <c r="I46" s="458"/>
      <c r="J46" s="458"/>
      <c r="K46" s="458"/>
      <c r="L46" s="458"/>
      <c r="M46" s="458"/>
      <c r="N46" s="458"/>
      <c r="O46" s="443"/>
      <c r="P46" s="447"/>
      <c r="Q46" s="450">
        <v>3</v>
      </c>
      <c r="R46" s="450">
        <v>4.8</v>
      </c>
      <c r="S46" s="450">
        <v>300</v>
      </c>
      <c r="T46" s="450">
        <v>1.5</v>
      </c>
    </row>
    <row r="47" spans="2:20" s="497" customFormat="1" ht="15">
      <c r="B47" s="453" t="s">
        <v>426</v>
      </c>
      <c r="C47" s="443"/>
      <c r="D47" s="453">
        <f>C3</f>
        <v>3.5008273438823068</v>
      </c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43"/>
      <c r="P47" s="447"/>
      <c r="Q47" s="450">
        <v>3</v>
      </c>
      <c r="R47" s="450">
        <v>4.8</v>
      </c>
      <c r="S47" s="450">
        <v>300.01</v>
      </c>
      <c r="T47" s="450">
        <v>1</v>
      </c>
    </row>
    <row r="48" spans="2:20" s="497" customFormat="1" ht="15">
      <c r="B48" s="453" t="s">
        <v>430</v>
      </c>
      <c r="C48" s="443"/>
      <c r="D48" s="453">
        <f>C4</f>
        <v>1.0629800000000103</v>
      </c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43"/>
      <c r="P48" s="447"/>
      <c r="Q48" s="450">
        <v>3</v>
      </c>
      <c r="R48" s="450">
        <v>4.8</v>
      </c>
      <c r="S48" s="450">
        <v>600</v>
      </c>
      <c r="T48" s="450">
        <v>1</v>
      </c>
    </row>
    <row r="49" spans="2:20" s="497" customFormat="1" ht="15">
      <c r="B49" s="453" t="s">
        <v>390</v>
      </c>
      <c r="C49" s="443" t="s">
        <v>446</v>
      </c>
      <c r="D49" s="453">
        <f>C5</f>
        <v>541.56762934883636</v>
      </c>
      <c r="E49" s="458"/>
      <c r="F49" s="458"/>
      <c r="G49" s="458"/>
      <c r="H49" s="458"/>
      <c r="I49" s="458"/>
      <c r="J49" s="458"/>
      <c r="K49" s="458"/>
      <c r="L49" s="458"/>
      <c r="M49" s="458"/>
      <c r="N49" s="458"/>
      <c r="O49" s="443"/>
      <c r="P49" s="447"/>
      <c r="Q49" s="450">
        <v>3</v>
      </c>
      <c r="R49" s="450">
        <v>4.8</v>
      </c>
      <c r="S49" s="450">
        <v>600.01</v>
      </c>
      <c r="T49" s="450">
        <v>1</v>
      </c>
    </row>
    <row r="50" spans="2:20" s="497" customFormat="1" ht="15">
      <c r="B50" s="453" t="s">
        <v>449</v>
      </c>
      <c r="C50" s="443"/>
      <c r="D50" s="453">
        <f>D47*D48</f>
        <v>3.7213094500000503</v>
      </c>
      <c r="E50" s="458"/>
      <c r="F50" s="458"/>
      <c r="G50" s="458"/>
      <c r="H50" s="458"/>
      <c r="I50" s="458"/>
      <c r="J50" s="458"/>
      <c r="K50" s="458"/>
      <c r="L50" s="458"/>
      <c r="M50" s="458"/>
      <c r="N50" s="458"/>
      <c r="O50" s="443"/>
      <c r="P50" s="447"/>
      <c r="Q50" s="450">
        <v>3</v>
      </c>
      <c r="R50" s="450">
        <v>4.8</v>
      </c>
      <c r="S50" s="450">
        <v>10000</v>
      </c>
      <c r="T50" s="450">
        <v>1</v>
      </c>
    </row>
    <row r="51" spans="2:20" s="497" customFormat="1" ht="15">
      <c r="B51" s="453" t="s">
        <v>476</v>
      </c>
      <c r="C51" s="443"/>
      <c r="D51" s="453">
        <f>D47*D49</f>
        <v>1895.9347653859245</v>
      </c>
      <c r="E51" s="458"/>
      <c r="F51" s="458"/>
      <c r="G51" s="458"/>
      <c r="H51" s="458"/>
      <c r="I51" s="458"/>
      <c r="J51" s="458"/>
      <c r="K51" s="458"/>
      <c r="L51" s="458"/>
      <c r="M51" s="458"/>
      <c r="N51" s="458"/>
      <c r="O51" s="443"/>
      <c r="P51" s="447"/>
      <c r="Q51" s="450">
        <v>3</v>
      </c>
      <c r="R51" s="450">
        <v>6.4</v>
      </c>
      <c r="S51" s="450">
        <v>0</v>
      </c>
      <c r="T51" s="450">
        <v>1.5</v>
      </c>
    </row>
    <row r="52" spans="2:20" s="497" customFormat="1" ht="15">
      <c r="B52" s="453" t="s">
        <v>477</v>
      </c>
      <c r="C52" s="443"/>
      <c r="D52" s="453">
        <f>D48*D49</f>
        <v>575.6755586452316</v>
      </c>
      <c r="E52" s="458"/>
      <c r="F52" s="458"/>
      <c r="G52" s="458"/>
      <c r="H52" s="458"/>
      <c r="I52" s="458"/>
      <c r="J52" s="458"/>
      <c r="K52" s="458"/>
      <c r="L52" s="458"/>
      <c r="M52" s="458"/>
      <c r="N52" s="458"/>
      <c r="O52" s="443"/>
      <c r="P52" s="447"/>
      <c r="Q52" s="450">
        <v>3</v>
      </c>
      <c r="R52" s="450">
        <v>6.4</v>
      </c>
      <c r="S52" s="450">
        <v>300</v>
      </c>
      <c r="T52" s="450">
        <v>1.5</v>
      </c>
    </row>
    <row r="53" spans="2:20" s="497" customFormat="1" ht="15">
      <c r="B53" s="453" t="s">
        <v>478</v>
      </c>
      <c r="C53" s="443"/>
      <c r="D53" s="453">
        <f>D47*D48*D49</f>
        <v>2015.3407369099493</v>
      </c>
      <c r="E53" s="458"/>
      <c r="F53" s="458"/>
      <c r="G53" s="458"/>
      <c r="H53" s="458"/>
      <c r="I53" s="458"/>
      <c r="J53" s="458"/>
      <c r="K53" s="458"/>
      <c r="L53" s="458"/>
      <c r="M53" s="458"/>
      <c r="N53" s="458"/>
      <c r="O53" s="443"/>
      <c r="P53" s="447"/>
      <c r="Q53" s="450">
        <v>3</v>
      </c>
      <c r="R53" s="450">
        <v>6.4</v>
      </c>
      <c r="S53" s="450">
        <v>300.01</v>
      </c>
      <c r="T53" s="450">
        <v>1</v>
      </c>
    </row>
    <row r="54" spans="2:20" s="497" customFormat="1" ht="15">
      <c r="B54" s="443"/>
      <c r="C54" s="443"/>
      <c r="D54" s="443"/>
      <c r="E54" s="458"/>
      <c r="F54" s="458"/>
      <c r="G54" s="458"/>
      <c r="H54" s="458"/>
      <c r="I54" s="458"/>
      <c r="J54" s="458"/>
      <c r="K54" s="458"/>
      <c r="L54" s="458"/>
      <c r="M54" s="458"/>
      <c r="N54" s="458"/>
      <c r="O54" s="443"/>
      <c r="P54" s="447"/>
      <c r="Q54" s="450">
        <v>3</v>
      </c>
      <c r="R54" s="450">
        <v>6.4</v>
      </c>
      <c r="S54" s="450">
        <v>600</v>
      </c>
      <c r="T54" s="450">
        <v>1</v>
      </c>
    </row>
    <row r="55" spans="2:20" s="497" customFormat="1" ht="15">
      <c r="B55" s="445" t="s">
        <v>450</v>
      </c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  <c r="N55" s="445"/>
      <c r="O55" s="443"/>
      <c r="P55" s="447"/>
      <c r="Q55" s="450">
        <v>3</v>
      </c>
      <c r="R55" s="450">
        <v>6.4</v>
      </c>
      <c r="S55" s="450">
        <v>600.01</v>
      </c>
      <c r="T55" s="450">
        <v>1</v>
      </c>
    </row>
    <row r="56" spans="2:20" s="497" customFormat="1" ht="15">
      <c r="B56" s="443"/>
      <c r="C56" s="443"/>
      <c r="D56" s="443"/>
      <c r="E56" s="458"/>
      <c r="F56" s="458"/>
      <c r="G56" s="458"/>
      <c r="H56" s="458"/>
      <c r="I56" s="458"/>
      <c r="J56" s="458"/>
      <c r="K56" s="458"/>
      <c r="L56" s="458"/>
      <c r="M56" s="458"/>
      <c r="N56" s="458"/>
      <c r="O56" s="443"/>
      <c r="P56" s="447"/>
      <c r="Q56" s="450">
        <v>3</v>
      </c>
      <c r="R56" s="450">
        <v>6.4</v>
      </c>
      <c r="S56" s="450">
        <v>10000</v>
      </c>
      <c r="T56" s="450">
        <v>1</v>
      </c>
    </row>
    <row r="57" spans="2:20" s="497" customFormat="1" ht="15">
      <c r="B57" s="443"/>
      <c r="C57" s="443"/>
      <c r="D57" s="443"/>
      <c r="E57" s="458"/>
      <c r="F57" s="458"/>
      <c r="G57" s="458"/>
      <c r="H57" s="458"/>
      <c r="I57" s="458"/>
      <c r="J57" s="458"/>
      <c r="K57" s="458"/>
      <c r="L57" s="458"/>
      <c r="M57" s="458"/>
      <c r="N57" s="458"/>
      <c r="O57" s="443"/>
      <c r="P57" s="447"/>
      <c r="Q57" s="450">
        <v>3</v>
      </c>
      <c r="R57" s="450">
        <v>100</v>
      </c>
      <c r="S57" s="450">
        <v>0</v>
      </c>
      <c r="T57" s="450">
        <v>1.5</v>
      </c>
    </row>
    <row r="58" spans="2:20" s="497" customFormat="1" ht="15">
      <c r="B58" s="443"/>
      <c r="C58" s="443"/>
      <c r="D58" s="443"/>
      <c r="E58" s="458"/>
      <c r="F58" s="458"/>
      <c r="G58" s="458"/>
      <c r="H58" s="458"/>
      <c r="I58" s="458"/>
      <c r="J58" s="458"/>
      <c r="K58" s="458"/>
      <c r="L58" s="458"/>
      <c r="M58" s="458"/>
      <c r="N58" s="458"/>
      <c r="O58" s="443"/>
      <c r="P58" s="447"/>
      <c r="Q58" s="450">
        <v>3</v>
      </c>
      <c r="R58" s="450">
        <v>100</v>
      </c>
      <c r="S58" s="450">
        <v>300</v>
      </c>
      <c r="T58" s="450">
        <v>1.5</v>
      </c>
    </row>
    <row r="59" spans="2:20" s="497" customFormat="1" ht="15">
      <c r="B59" s="443"/>
      <c r="C59" s="443"/>
      <c r="D59" s="443"/>
      <c r="E59" s="458"/>
      <c r="F59" s="458"/>
      <c r="G59" s="458"/>
      <c r="H59" s="458"/>
      <c r="I59" s="458"/>
      <c r="J59" s="458"/>
      <c r="K59" s="458"/>
      <c r="L59" s="458"/>
      <c r="M59" s="458"/>
      <c r="N59" s="458"/>
      <c r="O59" s="443"/>
      <c r="P59" s="447"/>
      <c r="Q59" s="450">
        <v>3</v>
      </c>
      <c r="R59" s="450">
        <v>100</v>
      </c>
      <c r="S59" s="450">
        <v>300.01</v>
      </c>
      <c r="T59" s="450">
        <v>1</v>
      </c>
    </row>
    <row r="60" spans="2:20" s="497" customFormat="1" ht="15">
      <c r="B60" s="443"/>
      <c r="C60" s="443"/>
      <c r="D60" s="443"/>
      <c r="E60" s="458"/>
      <c r="F60" s="458"/>
      <c r="G60" s="458"/>
      <c r="H60" s="458"/>
      <c r="I60" s="458"/>
      <c r="J60" s="458"/>
      <c r="K60" s="458"/>
      <c r="L60" s="458"/>
      <c r="M60" s="458"/>
      <c r="N60" s="458"/>
      <c r="O60" s="443"/>
      <c r="P60" s="447"/>
      <c r="Q60" s="450">
        <v>3</v>
      </c>
      <c r="R60" s="450">
        <v>100</v>
      </c>
      <c r="S60" s="450">
        <v>600</v>
      </c>
      <c r="T60" s="450">
        <v>1</v>
      </c>
    </row>
    <row r="61" spans="2:20" s="497" customFormat="1" ht="15">
      <c r="B61" s="443"/>
      <c r="C61" s="443"/>
      <c r="D61" s="443"/>
      <c r="E61" s="458"/>
      <c r="F61" s="458"/>
      <c r="G61" s="458"/>
      <c r="H61" s="458"/>
      <c r="I61" s="458"/>
      <c r="J61" s="458"/>
      <c r="K61" s="458"/>
      <c r="L61" s="458"/>
      <c r="M61" s="458"/>
      <c r="N61" s="458"/>
      <c r="O61" s="443"/>
      <c r="P61" s="447"/>
      <c r="Q61" s="450">
        <v>3</v>
      </c>
      <c r="R61" s="450">
        <v>100</v>
      </c>
      <c r="S61" s="450">
        <v>600.01</v>
      </c>
      <c r="T61" s="450">
        <v>1</v>
      </c>
    </row>
    <row r="62" spans="2:20" s="497" customFormat="1" ht="15">
      <c r="B62" s="443"/>
      <c r="C62" s="443"/>
      <c r="D62" s="443"/>
      <c r="E62" s="458"/>
      <c r="F62" s="458"/>
      <c r="G62" s="458"/>
      <c r="H62" s="458"/>
      <c r="I62" s="458"/>
      <c r="J62" s="458"/>
      <c r="K62" s="458"/>
      <c r="L62" s="458"/>
      <c r="M62" s="458"/>
      <c r="N62" s="458"/>
      <c r="O62" s="443"/>
      <c r="P62" s="447"/>
      <c r="Q62" s="450">
        <v>3</v>
      </c>
      <c r="R62" s="450">
        <v>100</v>
      </c>
      <c r="S62" s="450">
        <v>10000</v>
      </c>
      <c r="T62" s="450">
        <v>1</v>
      </c>
    </row>
    <row r="63" spans="2:20" s="497" customFormat="1" ht="15">
      <c r="B63" s="443"/>
      <c r="C63" s="443"/>
      <c r="D63" s="443"/>
      <c r="E63" s="458"/>
      <c r="F63" s="458"/>
      <c r="G63" s="458"/>
      <c r="H63" s="458"/>
      <c r="I63" s="458"/>
      <c r="J63" s="458"/>
      <c r="K63" s="458"/>
      <c r="L63" s="458"/>
      <c r="M63" s="458"/>
      <c r="N63" s="458"/>
      <c r="O63" s="443"/>
      <c r="P63" s="447"/>
      <c r="Q63" s="450">
        <v>3.49</v>
      </c>
      <c r="R63" s="450">
        <v>0</v>
      </c>
      <c r="S63" s="450">
        <v>0</v>
      </c>
      <c r="T63" s="450">
        <v>1.1000000000000001</v>
      </c>
    </row>
    <row r="64" spans="2:20" s="497" customFormat="1" ht="15">
      <c r="B64" s="443"/>
      <c r="C64" s="443"/>
      <c r="D64" s="443"/>
      <c r="E64" s="458"/>
      <c r="F64" s="458"/>
      <c r="G64" s="458"/>
      <c r="H64" s="458"/>
      <c r="I64" s="458"/>
      <c r="J64" s="458"/>
      <c r="K64" s="458"/>
      <c r="L64" s="458"/>
      <c r="M64" s="458"/>
      <c r="N64" s="458"/>
      <c r="O64" s="443"/>
      <c r="P64" s="447"/>
      <c r="Q64" s="450">
        <v>3.49</v>
      </c>
      <c r="R64" s="450">
        <v>0</v>
      </c>
      <c r="S64" s="450">
        <v>300</v>
      </c>
      <c r="T64" s="450">
        <v>1.1000000000000001</v>
      </c>
    </row>
    <row r="65" spans="16:20" s="497" customFormat="1" ht="15">
      <c r="P65" s="447"/>
      <c r="Q65" s="450">
        <v>3.49</v>
      </c>
      <c r="R65" s="450">
        <v>0</v>
      </c>
      <c r="S65" s="450">
        <v>300.01</v>
      </c>
      <c r="T65" s="450">
        <v>1</v>
      </c>
    </row>
    <row r="66" spans="16:20" s="497" customFormat="1" ht="15">
      <c r="P66" s="447"/>
      <c r="Q66" s="450">
        <v>3.49</v>
      </c>
      <c r="R66" s="450">
        <v>0</v>
      </c>
      <c r="S66" s="450">
        <v>600</v>
      </c>
      <c r="T66" s="450">
        <v>1</v>
      </c>
    </row>
    <row r="67" spans="16:20" s="497" customFormat="1" ht="15">
      <c r="P67" s="447"/>
      <c r="Q67" s="450">
        <v>3.49</v>
      </c>
      <c r="R67" s="450">
        <v>0</v>
      </c>
      <c r="S67" s="450">
        <v>600.01</v>
      </c>
      <c r="T67" s="450">
        <v>1</v>
      </c>
    </row>
    <row r="68" spans="16:20" s="497" customFormat="1" ht="15">
      <c r="P68" s="447"/>
      <c r="Q68" s="450">
        <v>3.49</v>
      </c>
      <c r="R68" s="450">
        <v>0</v>
      </c>
      <c r="S68" s="450">
        <v>10000</v>
      </c>
      <c r="T68" s="450">
        <v>1</v>
      </c>
    </row>
    <row r="69" spans="16:20" s="497" customFormat="1" ht="15">
      <c r="P69" s="447"/>
      <c r="Q69" s="450">
        <v>3.49</v>
      </c>
      <c r="R69" s="450">
        <v>0.4</v>
      </c>
      <c r="S69" s="450">
        <v>0</v>
      </c>
      <c r="T69" s="450">
        <v>1.1000000000000001</v>
      </c>
    </row>
    <row r="70" spans="16:20" s="497" customFormat="1" ht="15">
      <c r="P70" s="447"/>
      <c r="Q70" s="450">
        <v>3.49</v>
      </c>
      <c r="R70" s="450">
        <v>0.4</v>
      </c>
      <c r="S70" s="450">
        <v>300</v>
      </c>
      <c r="T70" s="450">
        <v>1.1000000000000001</v>
      </c>
    </row>
    <row r="71" spans="16:20" s="497" customFormat="1" ht="15">
      <c r="P71" s="447"/>
      <c r="Q71" s="450">
        <v>3.49</v>
      </c>
      <c r="R71" s="450">
        <v>0.4</v>
      </c>
      <c r="S71" s="450">
        <v>300.01</v>
      </c>
      <c r="T71" s="450">
        <v>1</v>
      </c>
    </row>
    <row r="72" spans="16:20" s="497" customFormat="1" ht="15">
      <c r="P72" s="447"/>
      <c r="Q72" s="450">
        <v>3.49</v>
      </c>
      <c r="R72" s="450">
        <v>0.4</v>
      </c>
      <c r="S72" s="450">
        <v>600</v>
      </c>
      <c r="T72" s="450">
        <v>1</v>
      </c>
    </row>
    <row r="73" spans="16:20" s="497" customFormat="1" ht="15">
      <c r="P73" s="447"/>
      <c r="Q73" s="450">
        <v>3.49</v>
      </c>
      <c r="R73" s="450">
        <v>0.4</v>
      </c>
      <c r="S73" s="450">
        <v>600.01</v>
      </c>
      <c r="T73" s="450">
        <v>1</v>
      </c>
    </row>
    <row r="74" spans="16:20" s="497" customFormat="1" ht="15">
      <c r="P74" s="447"/>
      <c r="Q74" s="450">
        <v>3.49</v>
      </c>
      <c r="R74" s="450">
        <v>0.4</v>
      </c>
      <c r="S74" s="450">
        <v>10000</v>
      </c>
      <c r="T74" s="450">
        <v>1</v>
      </c>
    </row>
    <row r="75" spans="16:20" s="497" customFormat="1" ht="15">
      <c r="P75" s="447"/>
      <c r="Q75" s="450">
        <v>3.49</v>
      </c>
      <c r="R75" s="450">
        <v>0.8</v>
      </c>
      <c r="S75" s="450">
        <v>0</v>
      </c>
      <c r="T75" s="450">
        <v>1.2</v>
      </c>
    </row>
    <row r="76" spans="16:20" s="497" customFormat="1" ht="15">
      <c r="P76" s="447"/>
      <c r="Q76" s="450">
        <v>3.49</v>
      </c>
      <c r="R76" s="450">
        <v>0.8</v>
      </c>
      <c r="S76" s="450">
        <v>300</v>
      </c>
      <c r="T76" s="450">
        <v>1.2</v>
      </c>
    </row>
    <row r="77" spans="16:20" s="497" customFormat="1" ht="15">
      <c r="P77" s="447"/>
      <c r="Q77" s="450">
        <v>3.49</v>
      </c>
      <c r="R77" s="450">
        <v>0.8</v>
      </c>
      <c r="S77" s="450">
        <v>300.01</v>
      </c>
      <c r="T77" s="450">
        <v>1</v>
      </c>
    </row>
    <row r="78" spans="16:20" s="497" customFormat="1" ht="15">
      <c r="P78" s="447"/>
      <c r="Q78" s="450">
        <v>3.49</v>
      </c>
      <c r="R78" s="450">
        <v>0.8</v>
      </c>
      <c r="S78" s="450">
        <v>600</v>
      </c>
      <c r="T78" s="450">
        <v>1</v>
      </c>
    </row>
    <row r="79" spans="16:20" s="497" customFormat="1" ht="15">
      <c r="P79" s="447"/>
      <c r="Q79" s="450">
        <v>3.49</v>
      </c>
      <c r="R79" s="450">
        <v>0.8</v>
      </c>
      <c r="S79" s="450">
        <v>600.01</v>
      </c>
      <c r="T79" s="450">
        <v>1</v>
      </c>
    </row>
    <row r="80" spans="16:20" s="497" customFormat="1" ht="15">
      <c r="P80" s="447"/>
      <c r="Q80" s="450">
        <v>3.49</v>
      </c>
      <c r="R80" s="450">
        <v>0.8</v>
      </c>
      <c r="S80" s="450">
        <v>10000</v>
      </c>
      <c r="T80" s="450">
        <v>1</v>
      </c>
    </row>
    <row r="81" spans="16:20" s="497" customFormat="1" ht="15">
      <c r="P81" s="447"/>
      <c r="Q81" s="450">
        <v>3.49</v>
      </c>
      <c r="R81" s="450">
        <v>1.2</v>
      </c>
      <c r="S81" s="450">
        <v>0</v>
      </c>
      <c r="T81" s="450">
        <v>1.2</v>
      </c>
    </row>
    <row r="82" spans="16:20" s="497" customFormat="1" ht="15">
      <c r="P82" s="447"/>
      <c r="Q82" s="450">
        <v>3.49</v>
      </c>
      <c r="R82" s="450">
        <v>1.2</v>
      </c>
      <c r="S82" s="450">
        <v>300</v>
      </c>
      <c r="T82" s="450">
        <v>1.2</v>
      </c>
    </row>
    <row r="83" spans="16:20" s="497" customFormat="1" ht="15">
      <c r="P83" s="447"/>
      <c r="Q83" s="450">
        <v>3.49</v>
      </c>
      <c r="R83" s="450">
        <v>1.2</v>
      </c>
      <c r="S83" s="450">
        <v>300.01</v>
      </c>
      <c r="T83" s="450">
        <v>1</v>
      </c>
    </row>
    <row r="84" spans="16:20" s="497" customFormat="1" ht="15">
      <c r="P84" s="447"/>
      <c r="Q84" s="450">
        <v>3.49</v>
      </c>
      <c r="R84" s="450">
        <v>1.2</v>
      </c>
      <c r="S84" s="450">
        <v>600</v>
      </c>
      <c r="T84" s="450">
        <v>1</v>
      </c>
    </row>
    <row r="85" spans="16:20" s="497" customFormat="1" ht="15">
      <c r="P85" s="447"/>
      <c r="Q85" s="450">
        <v>3.49</v>
      </c>
      <c r="R85" s="450">
        <v>1.2</v>
      </c>
      <c r="S85" s="450">
        <v>600.01</v>
      </c>
      <c r="T85" s="450">
        <v>1</v>
      </c>
    </row>
    <row r="86" spans="16:20" s="497" customFormat="1" ht="15">
      <c r="P86" s="447"/>
      <c r="Q86" s="450">
        <v>3.49</v>
      </c>
      <c r="R86" s="450">
        <v>1.2</v>
      </c>
      <c r="S86" s="450">
        <v>10000</v>
      </c>
      <c r="T86" s="450">
        <v>1</v>
      </c>
    </row>
    <row r="87" spans="16:20" s="497" customFormat="1" ht="15">
      <c r="P87" s="447"/>
      <c r="Q87" s="450">
        <v>3.49</v>
      </c>
      <c r="R87" s="450">
        <v>1.6</v>
      </c>
      <c r="S87" s="450">
        <v>0</v>
      </c>
      <c r="T87" s="450">
        <v>1.3</v>
      </c>
    </row>
    <row r="88" spans="16:20" s="497" customFormat="1" ht="15">
      <c r="P88" s="447"/>
      <c r="Q88" s="450">
        <v>3.49</v>
      </c>
      <c r="R88" s="450">
        <v>1.6</v>
      </c>
      <c r="S88" s="450">
        <v>300</v>
      </c>
      <c r="T88" s="450">
        <v>1.3</v>
      </c>
    </row>
    <row r="89" spans="16:20" s="497" customFormat="1" ht="15">
      <c r="P89" s="447"/>
      <c r="Q89" s="450">
        <v>3.49</v>
      </c>
      <c r="R89" s="450">
        <v>1.6</v>
      </c>
      <c r="S89" s="450">
        <v>300.01</v>
      </c>
      <c r="T89" s="450">
        <v>1</v>
      </c>
    </row>
    <row r="90" spans="16:20" s="497" customFormat="1" ht="15">
      <c r="P90" s="447"/>
      <c r="Q90" s="450">
        <v>3.49</v>
      </c>
      <c r="R90" s="450">
        <v>1.6</v>
      </c>
      <c r="S90" s="450">
        <v>600</v>
      </c>
      <c r="T90" s="450">
        <v>1</v>
      </c>
    </row>
    <row r="91" spans="16:20" s="497" customFormat="1" ht="15">
      <c r="P91" s="447"/>
      <c r="Q91" s="450">
        <v>3.49</v>
      </c>
      <c r="R91" s="450">
        <v>1.6</v>
      </c>
      <c r="S91" s="450">
        <v>600.01</v>
      </c>
      <c r="T91" s="450">
        <v>1</v>
      </c>
    </row>
    <row r="92" spans="16:20" s="497" customFormat="1" ht="15">
      <c r="P92" s="447"/>
      <c r="Q92" s="450">
        <v>3.49</v>
      </c>
      <c r="R92" s="450">
        <v>1.6</v>
      </c>
      <c r="S92" s="450">
        <v>10000</v>
      </c>
      <c r="T92" s="450">
        <v>1</v>
      </c>
    </row>
    <row r="93" spans="16:20" s="497" customFormat="1" ht="15">
      <c r="P93" s="447"/>
      <c r="Q93" s="450">
        <v>3.49</v>
      </c>
      <c r="R93" s="450">
        <v>2.4</v>
      </c>
      <c r="S93" s="450">
        <v>0</v>
      </c>
      <c r="T93" s="450">
        <v>1.4</v>
      </c>
    </row>
    <row r="94" spans="16:20" s="497" customFormat="1" ht="15">
      <c r="P94" s="447"/>
      <c r="Q94" s="450">
        <v>3.49</v>
      </c>
      <c r="R94" s="450">
        <v>2.4</v>
      </c>
      <c r="S94" s="450">
        <v>300</v>
      </c>
      <c r="T94" s="450">
        <v>1.4</v>
      </c>
    </row>
    <row r="95" spans="16:20" s="497" customFormat="1" ht="15">
      <c r="P95" s="447"/>
      <c r="Q95" s="450">
        <v>3.49</v>
      </c>
      <c r="R95" s="450">
        <v>2.4</v>
      </c>
      <c r="S95" s="450">
        <v>300.01</v>
      </c>
      <c r="T95" s="450">
        <v>1</v>
      </c>
    </row>
    <row r="96" spans="16:20" s="497" customFormat="1" ht="15">
      <c r="P96" s="447"/>
      <c r="Q96" s="450">
        <v>3.49</v>
      </c>
      <c r="R96" s="450">
        <v>2.4</v>
      </c>
      <c r="S96" s="450">
        <v>600</v>
      </c>
      <c r="T96" s="450">
        <v>1</v>
      </c>
    </row>
    <row r="97" spans="16:20" s="497" customFormat="1" ht="15">
      <c r="P97" s="447"/>
      <c r="Q97" s="450">
        <v>3.49</v>
      </c>
      <c r="R97" s="450">
        <v>2.4</v>
      </c>
      <c r="S97" s="450">
        <v>600.01</v>
      </c>
      <c r="T97" s="450">
        <v>1</v>
      </c>
    </row>
    <row r="98" spans="16:20" s="497" customFormat="1" ht="15">
      <c r="P98" s="447"/>
      <c r="Q98" s="450">
        <v>3.49</v>
      </c>
      <c r="R98" s="450">
        <v>2.4</v>
      </c>
      <c r="S98" s="450">
        <v>10000</v>
      </c>
      <c r="T98" s="450">
        <v>1</v>
      </c>
    </row>
    <row r="99" spans="16:20" s="497" customFormat="1" ht="15">
      <c r="P99" s="447"/>
      <c r="Q99" s="450">
        <v>3.49</v>
      </c>
      <c r="R99" s="450">
        <v>3.2</v>
      </c>
      <c r="S99" s="450">
        <v>0</v>
      </c>
      <c r="T99" s="450">
        <v>1.4</v>
      </c>
    </row>
    <row r="100" spans="16:20" s="497" customFormat="1" ht="15">
      <c r="P100" s="447"/>
      <c r="Q100" s="450">
        <v>3.49</v>
      </c>
      <c r="R100" s="450">
        <v>3.2</v>
      </c>
      <c r="S100" s="450">
        <v>300</v>
      </c>
      <c r="T100" s="450">
        <v>1.4</v>
      </c>
    </row>
    <row r="101" spans="16:20" s="497" customFormat="1" ht="15">
      <c r="P101" s="447"/>
      <c r="Q101" s="450">
        <v>3.49</v>
      </c>
      <c r="R101" s="450">
        <v>3.2</v>
      </c>
      <c r="S101" s="450">
        <v>300.01</v>
      </c>
      <c r="T101" s="450">
        <v>1</v>
      </c>
    </row>
    <row r="102" spans="16:20" s="497" customFormat="1" ht="15">
      <c r="P102" s="447"/>
      <c r="Q102" s="450">
        <v>3.49</v>
      </c>
      <c r="R102" s="450">
        <v>3.2</v>
      </c>
      <c r="S102" s="450">
        <v>600</v>
      </c>
      <c r="T102" s="450">
        <v>1</v>
      </c>
    </row>
    <row r="103" spans="16:20" s="497" customFormat="1" ht="15">
      <c r="P103" s="447"/>
      <c r="Q103" s="450">
        <v>3.49</v>
      </c>
      <c r="R103" s="450">
        <v>3.2</v>
      </c>
      <c r="S103" s="450">
        <v>600.01</v>
      </c>
      <c r="T103" s="450">
        <v>1</v>
      </c>
    </row>
    <row r="104" spans="16:20" s="497" customFormat="1" ht="15">
      <c r="P104" s="447"/>
      <c r="Q104" s="450">
        <v>3.49</v>
      </c>
      <c r="R104" s="450">
        <v>3.2</v>
      </c>
      <c r="S104" s="450">
        <v>10000</v>
      </c>
      <c r="T104" s="450">
        <v>1</v>
      </c>
    </row>
    <row r="105" spans="16:20" s="497" customFormat="1" ht="15">
      <c r="P105" s="447"/>
      <c r="Q105" s="450">
        <v>3.49</v>
      </c>
      <c r="R105" s="450">
        <v>4.8</v>
      </c>
      <c r="S105" s="450">
        <v>0</v>
      </c>
      <c r="T105" s="450">
        <v>1.5</v>
      </c>
    </row>
    <row r="106" spans="16:20" s="497" customFormat="1" ht="15">
      <c r="P106" s="447"/>
      <c r="Q106" s="450">
        <v>3.49</v>
      </c>
      <c r="R106" s="450">
        <v>4.8</v>
      </c>
      <c r="S106" s="450">
        <v>300</v>
      </c>
      <c r="T106" s="450">
        <v>1.5</v>
      </c>
    </row>
    <row r="107" spans="16:20" s="497" customFormat="1" ht="15">
      <c r="P107" s="447"/>
      <c r="Q107" s="450">
        <v>3.49</v>
      </c>
      <c r="R107" s="450">
        <v>4.8</v>
      </c>
      <c r="S107" s="450">
        <v>300.01</v>
      </c>
      <c r="T107" s="450">
        <v>1</v>
      </c>
    </row>
    <row r="108" spans="16:20" s="497" customFormat="1" ht="15">
      <c r="P108" s="447"/>
      <c r="Q108" s="450">
        <v>3.49</v>
      </c>
      <c r="R108" s="450">
        <v>4.8</v>
      </c>
      <c r="S108" s="450">
        <v>600</v>
      </c>
      <c r="T108" s="450">
        <v>1</v>
      </c>
    </row>
    <row r="109" spans="16:20" s="497" customFormat="1" ht="15">
      <c r="P109" s="447"/>
      <c r="Q109" s="450">
        <v>3.49</v>
      </c>
      <c r="R109" s="450">
        <v>4.8</v>
      </c>
      <c r="S109" s="450">
        <v>600.01</v>
      </c>
      <c r="T109" s="450">
        <v>1</v>
      </c>
    </row>
    <row r="110" spans="16:20" s="497" customFormat="1" ht="15">
      <c r="P110" s="447"/>
      <c r="Q110" s="450">
        <v>3.49</v>
      </c>
      <c r="R110" s="450">
        <v>4.8</v>
      </c>
      <c r="S110" s="450">
        <v>10000</v>
      </c>
      <c r="T110" s="450">
        <v>1</v>
      </c>
    </row>
    <row r="111" spans="16:20" s="497" customFormat="1" ht="15">
      <c r="P111" s="447"/>
      <c r="Q111" s="450">
        <v>3.49</v>
      </c>
      <c r="R111" s="450">
        <v>6.4</v>
      </c>
      <c r="S111" s="450">
        <v>0</v>
      </c>
      <c r="T111" s="450">
        <v>1.5</v>
      </c>
    </row>
    <row r="112" spans="16:20" s="497" customFormat="1" ht="15">
      <c r="P112" s="447"/>
      <c r="Q112" s="450">
        <v>3.49</v>
      </c>
      <c r="R112" s="450">
        <v>6.4</v>
      </c>
      <c r="S112" s="450">
        <v>300</v>
      </c>
      <c r="T112" s="450">
        <v>1.5</v>
      </c>
    </row>
    <row r="113" spans="16:20" s="497" customFormat="1" ht="15">
      <c r="P113" s="447"/>
      <c r="Q113" s="450">
        <v>3.49</v>
      </c>
      <c r="R113" s="450">
        <v>6.4</v>
      </c>
      <c r="S113" s="450">
        <v>300.01</v>
      </c>
      <c r="T113" s="450">
        <v>1</v>
      </c>
    </row>
    <row r="114" spans="16:20" s="497" customFormat="1" ht="15">
      <c r="P114" s="447"/>
      <c r="Q114" s="450">
        <v>3.49</v>
      </c>
      <c r="R114" s="450">
        <v>6.4</v>
      </c>
      <c r="S114" s="450">
        <v>600</v>
      </c>
      <c r="T114" s="450">
        <v>1</v>
      </c>
    </row>
    <row r="115" spans="16:20" s="497" customFormat="1" ht="15">
      <c r="P115" s="447"/>
      <c r="Q115" s="450">
        <v>3.49</v>
      </c>
      <c r="R115" s="450">
        <v>6.4</v>
      </c>
      <c r="S115" s="450">
        <v>600.01</v>
      </c>
      <c r="T115" s="450">
        <v>1</v>
      </c>
    </row>
    <row r="116" spans="16:20" s="497" customFormat="1" ht="15">
      <c r="P116" s="447"/>
      <c r="Q116" s="450">
        <v>3.49</v>
      </c>
      <c r="R116" s="450">
        <v>6.4</v>
      </c>
      <c r="S116" s="450">
        <v>10000</v>
      </c>
      <c r="T116" s="450">
        <v>1</v>
      </c>
    </row>
    <row r="117" spans="16:20" s="497" customFormat="1" ht="15">
      <c r="P117" s="447"/>
      <c r="Q117" s="450">
        <v>3.49</v>
      </c>
      <c r="R117" s="450">
        <v>100</v>
      </c>
      <c r="S117" s="450">
        <v>0</v>
      </c>
      <c r="T117" s="450">
        <v>1.5</v>
      </c>
    </row>
    <row r="118" spans="16:20" s="497" customFormat="1" ht="15">
      <c r="P118" s="447"/>
      <c r="Q118" s="450">
        <v>3.49</v>
      </c>
      <c r="R118" s="450">
        <v>100</v>
      </c>
      <c r="S118" s="450">
        <v>300</v>
      </c>
      <c r="T118" s="450">
        <v>1.5</v>
      </c>
    </row>
    <row r="119" spans="16:20" s="497" customFormat="1" ht="15">
      <c r="P119" s="447"/>
      <c r="Q119" s="450">
        <v>3.49</v>
      </c>
      <c r="R119" s="450">
        <v>100</v>
      </c>
      <c r="S119" s="450">
        <v>300.01</v>
      </c>
      <c r="T119" s="450">
        <v>1</v>
      </c>
    </row>
    <row r="120" spans="16:20" s="497" customFormat="1" ht="15">
      <c r="P120" s="447"/>
      <c r="Q120" s="450">
        <v>3.49</v>
      </c>
      <c r="R120" s="450">
        <v>100</v>
      </c>
      <c r="S120" s="450">
        <v>600</v>
      </c>
      <c r="T120" s="450">
        <v>1</v>
      </c>
    </row>
    <row r="121" spans="16:20" s="497" customFormat="1" ht="15">
      <c r="P121" s="447"/>
      <c r="Q121" s="450">
        <v>3.49</v>
      </c>
      <c r="R121" s="450">
        <v>100</v>
      </c>
      <c r="S121" s="450">
        <v>600.01</v>
      </c>
      <c r="T121" s="450">
        <v>1</v>
      </c>
    </row>
    <row r="122" spans="16:20" s="497" customFormat="1" ht="15">
      <c r="P122" s="447"/>
      <c r="Q122" s="450">
        <v>3.49</v>
      </c>
      <c r="R122" s="450">
        <v>100</v>
      </c>
      <c r="S122" s="450">
        <v>10000</v>
      </c>
      <c r="T122" s="450">
        <v>1</v>
      </c>
    </row>
    <row r="123" spans="16:20" s="497" customFormat="1" ht="15">
      <c r="P123" s="447"/>
      <c r="Q123" s="450">
        <v>3.5</v>
      </c>
      <c r="R123" s="450">
        <v>0</v>
      </c>
      <c r="S123" s="450">
        <v>0</v>
      </c>
      <c r="T123" s="450">
        <v>1.3</v>
      </c>
    </row>
    <row r="124" spans="16:20" s="497" customFormat="1" ht="15">
      <c r="P124" s="447"/>
      <c r="Q124" s="450">
        <v>3.5</v>
      </c>
      <c r="R124" s="450">
        <v>0</v>
      </c>
      <c r="S124" s="450">
        <v>300</v>
      </c>
      <c r="T124" s="450">
        <v>1.3</v>
      </c>
    </row>
    <row r="125" spans="16:20" s="497" customFormat="1" ht="15">
      <c r="P125" s="447"/>
      <c r="Q125" s="450">
        <v>3.5</v>
      </c>
      <c r="R125" s="450">
        <v>0</v>
      </c>
      <c r="S125" s="450">
        <v>300.01</v>
      </c>
      <c r="T125" s="450">
        <v>1</v>
      </c>
    </row>
    <row r="126" spans="16:20" s="497" customFormat="1" ht="15">
      <c r="P126" s="447"/>
      <c r="Q126" s="450">
        <v>3.5</v>
      </c>
      <c r="R126" s="450">
        <v>0</v>
      </c>
      <c r="S126" s="450">
        <v>600</v>
      </c>
      <c r="T126" s="450">
        <v>1</v>
      </c>
    </row>
    <row r="127" spans="16:20" s="497" customFormat="1" ht="15">
      <c r="P127" s="447"/>
      <c r="Q127" s="450">
        <v>3.5</v>
      </c>
      <c r="R127" s="450">
        <v>0</v>
      </c>
      <c r="S127" s="450">
        <v>600.01</v>
      </c>
      <c r="T127" s="450">
        <v>1</v>
      </c>
    </row>
    <row r="128" spans="16:20" s="497" customFormat="1" ht="15">
      <c r="P128" s="447"/>
      <c r="Q128" s="450">
        <v>3.5</v>
      </c>
      <c r="R128" s="450">
        <v>0</v>
      </c>
      <c r="S128" s="450">
        <v>10000</v>
      </c>
      <c r="T128" s="450">
        <v>1</v>
      </c>
    </row>
    <row r="129" spans="16:20" s="497" customFormat="1" ht="15">
      <c r="P129" s="447"/>
      <c r="Q129" s="450">
        <v>3.5</v>
      </c>
      <c r="R129" s="450">
        <v>0.4</v>
      </c>
      <c r="S129" s="450">
        <v>0</v>
      </c>
      <c r="T129" s="450">
        <v>1.3</v>
      </c>
    </row>
    <row r="130" spans="16:20" s="497" customFormat="1" ht="15">
      <c r="P130" s="447"/>
      <c r="Q130" s="450">
        <v>3.5</v>
      </c>
      <c r="R130" s="450">
        <v>0.4</v>
      </c>
      <c r="S130" s="450">
        <v>300</v>
      </c>
      <c r="T130" s="450">
        <v>1.3</v>
      </c>
    </row>
    <row r="131" spans="16:20" s="497" customFormat="1" ht="15">
      <c r="P131" s="447"/>
      <c r="Q131" s="450">
        <v>3.5</v>
      </c>
      <c r="R131" s="450">
        <v>0.4</v>
      </c>
      <c r="S131" s="450">
        <v>300.01</v>
      </c>
      <c r="T131" s="450">
        <v>1</v>
      </c>
    </row>
    <row r="132" spans="16:20" s="497" customFormat="1" ht="15">
      <c r="P132" s="447"/>
      <c r="Q132" s="450">
        <v>3.5</v>
      </c>
      <c r="R132" s="450">
        <v>0.4</v>
      </c>
      <c r="S132" s="450">
        <v>600</v>
      </c>
      <c r="T132" s="450">
        <v>1</v>
      </c>
    </row>
    <row r="133" spans="16:20" s="497" customFormat="1" ht="15">
      <c r="P133" s="447"/>
      <c r="Q133" s="450">
        <v>3.5</v>
      </c>
      <c r="R133" s="450">
        <v>0.4</v>
      </c>
      <c r="S133" s="450">
        <v>600.01</v>
      </c>
      <c r="T133" s="450">
        <v>1</v>
      </c>
    </row>
    <row r="134" spans="16:20" s="497" customFormat="1" ht="15">
      <c r="P134" s="447"/>
      <c r="Q134" s="450">
        <v>3.5</v>
      </c>
      <c r="R134" s="450">
        <v>0.4</v>
      </c>
      <c r="S134" s="450">
        <v>10000</v>
      </c>
      <c r="T134" s="450">
        <v>1</v>
      </c>
    </row>
    <row r="135" spans="16:20" s="497" customFormat="1" ht="15">
      <c r="P135" s="447"/>
      <c r="Q135" s="450">
        <v>3.5</v>
      </c>
      <c r="R135" s="450">
        <v>0.8</v>
      </c>
      <c r="S135" s="450">
        <v>0</v>
      </c>
      <c r="T135" s="450">
        <v>1.3</v>
      </c>
    </row>
    <row r="136" spans="16:20" s="497" customFormat="1" ht="15">
      <c r="P136" s="447"/>
      <c r="Q136" s="450">
        <v>3.5</v>
      </c>
      <c r="R136" s="450">
        <v>0.8</v>
      </c>
      <c r="S136" s="450">
        <v>300</v>
      </c>
      <c r="T136" s="450">
        <v>1.3</v>
      </c>
    </row>
    <row r="137" spans="16:20" s="497" customFormat="1" ht="15">
      <c r="P137" s="447"/>
      <c r="Q137" s="450">
        <v>3.5</v>
      </c>
      <c r="R137" s="450">
        <v>0.8</v>
      </c>
      <c r="S137" s="450">
        <v>300.01</v>
      </c>
      <c r="T137" s="450">
        <v>1</v>
      </c>
    </row>
    <row r="138" spans="16:20" s="497" customFormat="1" ht="15">
      <c r="P138" s="447"/>
      <c r="Q138" s="450">
        <v>3.5</v>
      </c>
      <c r="R138" s="450">
        <v>0.8</v>
      </c>
      <c r="S138" s="450">
        <v>600</v>
      </c>
      <c r="T138" s="450">
        <v>1</v>
      </c>
    </row>
    <row r="139" spans="16:20" s="497" customFormat="1" ht="15">
      <c r="P139" s="447"/>
      <c r="Q139" s="450">
        <v>3.5</v>
      </c>
      <c r="R139" s="450">
        <v>0.8</v>
      </c>
      <c r="S139" s="450">
        <v>600.01</v>
      </c>
      <c r="T139" s="450">
        <v>1</v>
      </c>
    </row>
    <row r="140" spans="16:20" s="497" customFormat="1" ht="15">
      <c r="P140" s="447"/>
      <c r="Q140" s="450">
        <v>3.5</v>
      </c>
      <c r="R140" s="450">
        <v>0.8</v>
      </c>
      <c r="S140" s="450">
        <v>10000</v>
      </c>
      <c r="T140" s="450">
        <v>1</v>
      </c>
    </row>
    <row r="141" spans="16:20" s="497" customFormat="1" ht="15">
      <c r="P141" s="447"/>
      <c r="Q141" s="450">
        <v>3.5</v>
      </c>
      <c r="R141" s="450">
        <v>1.2</v>
      </c>
      <c r="S141" s="450">
        <v>0</v>
      </c>
      <c r="T141" s="450">
        <v>1.3</v>
      </c>
    </row>
    <row r="142" spans="16:20" s="497" customFormat="1" ht="15">
      <c r="P142" s="447"/>
      <c r="Q142" s="450">
        <v>3.5</v>
      </c>
      <c r="R142" s="450">
        <v>1.2</v>
      </c>
      <c r="S142" s="450">
        <v>300</v>
      </c>
      <c r="T142" s="450">
        <v>1.3</v>
      </c>
    </row>
    <row r="143" spans="16:20" s="497" customFormat="1" ht="15">
      <c r="P143" s="447"/>
      <c r="Q143" s="450">
        <v>3.5</v>
      </c>
      <c r="R143" s="450">
        <v>1.2</v>
      </c>
      <c r="S143" s="450">
        <v>300.01</v>
      </c>
      <c r="T143" s="450">
        <v>1</v>
      </c>
    </row>
    <row r="144" spans="16:20" s="497" customFormat="1" ht="15">
      <c r="P144" s="447"/>
      <c r="Q144" s="450">
        <v>3.5</v>
      </c>
      <c r="R144" s="450">
        <v>1.2</v>
      </c>
      <c r="S144" s="450">
        <v>600</v>
      </c>
      <c r="T144" s="450">
        <v>1</v>
      </c>
    </row>
    <row r="145" spans="16:20" s="497" customFormat="1" ht="15">
      <c r="P145" s="447"/>
      <c r="Q145" s="450">
        <v>3.5</v>
      </c>
      <c r="R145" s="450">
        <v>1.2</v>
      </c>
      <c r="S145" s="450">
        <v>600.01</v>
      </c>
      <c r="T145" s="450">
        <v>1</v>
      </c>
    </row>
    <row r="146" spans="16:20" s="497" customFormat="1" ht="15">
      <c r="P146" s="447"/>
      <c r="Q146" s="450">
        <v>3.5</v>
      </c>
      <c r="R146" s="450">
        <v>1.2</v>
      </c>
      <c r="S146" s="450">
        <v>10000</v>
      </c>
      <c r="T146" s="450">
        <v>1</v>
      </c>
    </row>
    <row r="147" spans="16:20" s="497" customFormat="1" ht="15">
      <c r="P147" s="447"/>
      <c r="Q147" s="450">
        <v>3.5</v>
      </c>
      <c r="R147" s="450">
        <v>1.6</v>
      </c>
      <c r="S147" s="450">
        <v>0</v>
      </c>
      <c r="T147" s="450">
        <v>1.4</v>
      </c>
    </row>
    <row r="148" spans="16:20" s="497" customFormat="1" ht="15">
      <c r="P148" s="447"/>
      <c r="Q148" s="450">
        <v>3.5</v>
      </c>
      <c r="R148" s="450">
        <v>1.6</v>
      </c>
      <c r="S148" s="450">
        <v>300</v>
      </c>
      <c r="T148" s="450">
        <v>1.4</v>
      </c>
    </row>
    <row r="149" spans="16:20" s="497" customFormat="1" ht="15">
      <c r="P149" s="447"/>
      <c r="Q149" s="450">
        <v>3.5</v>
      </c>
      <c r="R149" s="450">
        <v>1.6</v>
      </c>
      <c r="S149" s="450">
        <v>300.01</v>
      </c>
      <c r="T149" s="450">
        <v>1</v>
      </c>
    </row>
    <row r="150" spans="16:20" s="497" customFormat="1" ht="15">
      <c r="P150" s="447"/>
      <c r="Q150" s="450">
        <v>3.5</v>
      </c>
      <c r="R150" s="450">
        <v>1.6</v>
      </c>
      <c r="S150" s="450">
        <v>600</v>
      </c>
      <c r="T150" s="450">
        <v>1</v>
      </c>
    </row>
    <row r="151" spans="16:20" s="497" customFormat="1" ht="15">
      <c r="P151" s="447"/>
      <c r="Q151" s="450">
        <v>3.5</v>
      </c>
      <c r="R151" s="450">
        <v>1.6</v>
      </c>
      <c r="S151" s="450">
        <v>600.01</v>
      </c>
      <c r="T151" s="450">
        <v>1</v>
      </c>
    </row>
    <row r="152" spans="16:20" s="497" customFormat="1" ht="15">
      <c r="P152" s="447"/>
      <c r="Q152" s="450">
        <v>3.5</v>
      </c>
      <c r="R152" s="450">
        <v>1.6</v>
      </c>
      <c r="S152" s="450">
        <v>10000</v>
      </c>
      <c r="T152" s="450">
        <v>1</v>
      </c>
    </row>
    <row r="153" spans="16:20" s="497" customFormat="1" ht="15">
      <c r="P153" s="447"/>
      <c r="Q153" s="450">
        <v>3.5</v>
      </c>
      <c r="R153" s="450">
        <v>2.4</v>
      </c>
      <c r="S153" s="450">
        <v>0</v>
      </c>
      <c r="T153" s="450">
        <v>1.4</v>
      </c>
    </row>
    <row r="154" spans="16:20" s="497" customFormat="1" ht="15">
      <c r="P154" s="447"/>
      <c r="Q154" s="450">
        <v>3.5</v>
      </c>
      <c r="R154" s="450">
        <v>2.4</v>
      </c>
      <c r="S154" s="450">
        <v>300</v>
      </c>
      <c r="T154" s="450">
        <v>1.4</v>
      </c>
    </row>
    <row r="155" spans="16:20" s="497" customFormat="1" ht="15">
      <c r="P155" s="447"/>
      <c r="Q155" s="450">
        <v>3.5</v>
      </c>
      <c r="R155" s="450">
        <v>2.4</v>
      </c>
      <c r="S155" s="450">
        <v>300.01</v>
      </c>
      <c r="T155" s="450">
        <v>1</v>
      </c>
    </row>
    <row r="156" spans="16:20" s="497" customFormat="1" ht="15">
      <c r="P156" s="447"/>
      <c r="Q156" s="450">
        <v>3.5</v>
      </c>
      <c r="R156" s="450">
        <v>2.4</v>
      </c>
      <c r="S156" s="450">
        <v>600</v>
      </c>
      <c r="T156" s="450">
        <v>1</v>
      </c>
    </row>
    <row r="157" spans="16:20" s="497" customFormat="1" ht="15">
      <c r="P157" s="447"/>
      <c r="Q157" s="450">
        <v>3.5</v>
      </c>
      <c r="R157" s="450">
        <v>2.4</v>
      </c>
      <c r="S157" s="450">
        <v>600.01</v>
      </c>
      <c r="T157" s="450">
        <v>1</v>
      </c>
    </row>
    <row r="158" spans="16:20" s="497" customFormat="1" ht="15">
      <c r="P158" s="447"/>
      <c r="Q158" s="450">
        <v>3.5</v>
      </c>
      <c r="R158" s="450">
        <v>2.4</v>
      </c>
      <c r="S158" s="450">
        <v>10000</v>
      </c>
      <c r="T158" s="450">
        <v>1</v>
      </c>
    </row>
    <row r="159" spans="16:20" s="497" customFormat="1" ht="15">
      <c r="P159" s="447"/>
      <c r="Q159" s="450">
        <v>3.5</v>
      </c>
      <c r="R159" s="450">
        <v>3.2</v>
      </c>
      <c r="S159" s="450">
        <v>0</v>
      </c>
      <c r="T159" s="450">
        <v>1.4</v>
      </c>
    </row>
    <row r="160" spans="16:20" s="497" customFormat="1" ht="15">
      <c r="P160" s="447"/>
      <c r="Q160" s="450">
        <v>3.5</v>
      </c>
      <c r="R160" s="450">
        <v>3.2</v>
      </c>
      <c r="S160" s="450">
        <v>300</v>
      </c>
      <c r="T160" s="450">
        <v>1.4</v>
      </c>
    </row>
    <row r="161" spans="16:20" s="497" customFormat="1" ht="15">
      <c r="P161" s="447"/>
      <c r="Q161" s="450">
        <v>3.5</v>
      </c>
      <c r="R161" s="450">
        <v>3.2</v>
      </c>
      <c r="S161" s="450">
        <v>300.01</v>
      </c>
      <c r="T161" s="450">
        <v>1</v>
      </c>
    </row>
    <row r="162" spans="16:20" s="497" customFormat="1" ht="15">
      <c r="P162" s="447"/>
      <c r="Q162" s="450">
        <v>3.5</v>
      </c>
      <c r="R162" s="450">
        <v>3.2</v>
      </c>
      <c r="S162" s="450">
        <v>600</v>
      </c>
      <c r="T162" s="450">
        <v>1</v>
      </c>
    </row>
    <row r="163" spans="16:20" s="497" customFormat="1" ht="15">
      <c r="P163" s="447"/>
      <c r="Q163" s="450">
        <v>3.5</v>
      </c>
      <c r="R163" s="450">
        <v>3.2</v>
      </c>
      <c r="S163" s="450">
        <v>600.01</v>
      </c>
      <c r="T163" s="450">
        <v>1</v>
      </c>
    </row>
    <row r="164" spans="16:20" s="497" customFormat="1" ht="15">
      <c r="P164" s="447"/>
      <c r="Q164" s="450">
        <v>3.5</v>
      </c>
      <c r="R164" s="450">
        <v>3.2</v>
      </c>
      <c r="S164" s="450">
        <v>10000</v>
      </c>
      <c r="T164" s="450">
        <v>1</v>
      </c>
    </row>
    <row r="165" spans="16:20" s="497" customFormat="1" ht="15">
      <c r="P165" s="447"/>
      <c r="Q165" s="450">
        <v>3.5</v>
      </c>
      <c r="R165" s="450">
        <v>4.8</v>
      </c>
      <c r="S165" s="450">
        <v>0</v>
      </c>
      <c r="T165" s="450">
        <v>1.4</v>
      </c>
    </row>
    <row r="166" spans="16:20" s="497" customFormat="1" ht="15">
      <c r="P166" s="447"/>
      <c r="Q166" s="450">
        <v>3.5</v>
      </c>
      <c r="R166" s="450">
        <v>4.8</v>
      </c>
      <c r="S166" s="450">
        <v>300</v>
      </c>
      <c r="T166" s="450">
        <v>1.4</v>
      </c>
    </row>
    <row r="167" spans="16:20" s="497" customFormat="1" ht="15">
      <c r="P167" s="447"/>
      <c r="Q167" s="450">
        <v>3.5</v>
      </c>
      <c r="R167" s="450">
        <v>4.8</v>
      </c>
      <c r="S167" s="450">
        <v>300.01</v>
      </c>
      <c r="T167" s="450">
        <v>1</v>
      </c>
    </row>
    <row r="168" spans="16:20" s="497" customFormat="1" ht="15">
      <c r="P168" s="447"/>
      <c r="Q168" s="450">
        <v>3.5</v>
      </c>
      <c r="R168" s="450">
        <v>4.8</v>
      </c>
      <c r="S168" s="450">
        <v>600</v>
      </c>
      <c r="T168" s="450">
        <v>1</v>
      </c>
    </row>
    <row r="169" spans="16:20" s="497" customFormat="1" ht="15">
      <c r="P169" s="447"/>
      <c r="Q169" s="450">
        <v>3.5</v>
      </c>
      <c r="R169" s="450">
        <v>4.8</v>
      </c>
      <c r="S169" s="450">
        <v>600.01</v>
      </c>
      <c r="T169" s="450">
        <v>1</v>
      </c>
    </row>
    <row r="170" spans="16:20" s="497" customFormat="1" ht="15">
      <c r="P170" s="447"/>
      <c r="Q170" s="450">
        <v>3.5</v>
      </c>
      <c r="R170" s="450">
        <v>4.8</v>
      </c>
      <c r="S170" s="450">
        <v>10000</v>
      </c>
      <c r="T170" s="450">
        <v>1</v>
      </c>
    </row>
    <row r="171" spans="16:20" s="497" customFormat="1" ht="15">
      <c r="P171" s="447"/>
      <c r="Q171" s="450">
        <v>3.5</v>
      </c>
      <c r="R171" s="450">
        <v>6.4</v>
      </c>
      <c r="S171" s="450">
        <v>0</v>
      </c>
      <c r="T171" s="450">
        <v>1.5</v>
      </c>
    </row>
    <row r="172" spans="16:20" s="497" customFormat="1" ht="15">
      <c r="P172" s="447"/>
      <c r="Q172" s="450">
        <v>3.5</v>
      </c>
      <c r="R172" s="450">
        <v>6.4</v>
      </c>
      <c r="S172" s="450">
        <v>300</v>
      </c>
      <c r="T172" s="450">
        <v>1.5</v>
      </c>
    </row>
    <row r="173" spans="16:20" s="497" customFormat="1" ht="15">
      <c r="P173" s="447"/>
      <c r="Q173" s="450">
        <v>3.5</v>
      </c>
      <c r="R173" s="450">
        <v>6.4</v>
      </c>
      <c r="S173" s="450">
        <v>300.01</v>
      </c>
      <c r="T173" s="450">
        <v>1</v>
      </c>
    </row>
    <row r="174" spans="16:20" s="497" customFormat="1" ht="15">
      <c r="P174" s="447"/>
      <c r="Q174" s="450">
        <v>3.5</v>
      </c>
      <c r="R174" s="450">
        <v>6.4</v>
      </c>
      <c r="S174" s="450">
        <v>600</v>
      </c>
      <c r="T174" s="450">
        <v>1</v>
      </c>
    </row>
    <row r="175" spans="16:20" s="497" customFormat="1" ht="15">
      <c r="P175" s="447"/>
      <c r="Q175" s="450">
        <v>3.5</v>
      </c>
      <c r="R175" s="450">
        <v>6.4</v>
      </c>
      <c r="S175" s="450">
        <v>600.01</v>
      </c>
      <c r="T175" s="450">
        <v>1</v>
      </c>
    </row>
    <row r="176" spans="16:20" s="497" customFormat="1" ht="15">
      <c r="P176" s="447"/>
      <c r="Q176" s="450">
        <v>3.5</v>
      </c>
      <c r="R176" s="450">
        <v>6.4</v>
      </c>
      <c r="S176" s="450">
        <v>10000</v>
      </c>
      <c r="T176" s="450">
        <v>1</v>
      </c>
    </row>
    <row r="177" spans="16:20" s="497" customFormat="1" ht="15">
      <c r="P177" s="447"/>
      <c r="Q177" s="450">
        <v>3.5</v>
      </c>
      <c r="R177" s="450">
        <v>100</v>
      </c>
      <c r="S177" s="450">
        <v>0</v>
      </c>
      <c r="T177" s="450">
        <v>1.5</v>
      </c>
    </row>
    <row r="178" spans="16:20" s="497" customFormat="1" ht="15">
      <c r="P178" s="447"/>
      <c r="Q178" s="450">
        <v>3.5</v>
      </c>
      <c r="R178" s="450">
        <v>100</v>
      </c>
      <c r="S178" s="450">
        <v>300</v>
      </c>
      <c r="T178" s="450">
        <v>1.5</v>
      </c>
    </row>
    <row r="179" spans="16:20" s="497" customFormat="1" ht="15">
      <c r="P179" s="447"/>
      <c r="Q179" s="450">
        <v>3.5</v>
      </c>
      <c r="R179" s="450">
        <v>100</v>
      </c>
      <c r="S179" s="450">
        <v>300.01</v>
      </c>
      <c r="T179" s="450">
        <v>1</v>
      </c>
    </row>
    <row r="180" spans="16:20" s="497" customFormat="1" ht="15">
      <c r="P180" s="447"/>
      <c r="Q180" s="450">
        <v>3.5</v>
      </c>
      <c r="R180" s="450">
        <v>100</v>
      </c>
      <c r="S180" s="450">
        <v>600</v>
      </c>
      <c r="T180" s="450">
        <v>1</v>
      </c>
    </row>
    <row r="181" spans="16:20" s="497" customFormat="1" ht="15">
      <c r="P181" s="447"/>
      <c r="Q181" s="450">
        <v>3.5</v>
      </c>
      <c r="R181" s="450">
        <v>100</v>
      </c>
      <c r="S181" s="450">
        <v>600.01</v>
      </c>
      <c r="T181" s="450">
        <v>1</v>
      </c>
    </row>
    <row r="182" spans="16:20" s="497" customFormat="1" ht="15">
      <c r="P182" s="447"/>
      <c r="Q182" s="450">
        <v>3.5</v>
      </c>
      <c r="R182" s="450">
        <v>100</v>
      </c>
      <c r="S182" s="450">
        <v>10000</v>
      </c>
      <c r="T182" s="450">
        <v>1</v>
      </c>
    </row>
    <row r="183" spans="16:20" s="497" customFormat="1" ht="15">
      <c r="P183" s="447"/>
      <c r="Q183" s="450">
        <v>4.49</v>
      </c>
      <c r="R183" s="450">
        <v>0</v>
      </c>
      <c r="S183" s="450">
        <v>0</v>
      </c>
      <c r="T183" s="450">
        <v>1.3</v>
      </c>
    </row>
    <row r="184" spans="16:20" s="497" customFormat="1" ht="15">
      <c r="P184" s="447"/>
      <c r="Q184" s="450">
        <v>4.49</v>
      </c>
      <c r="R184" s="450">
        <v>0</v>
      </c>
      <c r="S184" s="450">
        <v>300</v>
      </c>
      <c r="T184" s="450">
        <v>1.3</v>
      </c>
    </row>
    <row r="185" spans="16:20" s="497" customFormat="1" ht="15">
      <c r="P185" s="447"/>
      <c r="Q185" s="450">
        <v>4.49</v>
      </c>
      <c r="R185" s="450">
        <v>0</v>
      </c>
      <c r="S185" s="450">
        <v>300.01</v>
      </c>
      <c r="T185" s="450">
        <v>1</v>
      </c>
    </row>
    <row r="186" spans="16:20" s="497" customFormat="1" ht="15">
      <c r="P186" s="447"/>
      <c r="Q186" s="450">
        <v>4.49</v>
      </c>
      <c r="R186" s="450">
        <v>0</v>
      </c>
      <c r="S186" s="450">
        <v>600</v>
      </c>
      <c r="T186" s="450">
        <v>1</v>
      </c>
    </row>
    <row r="187" spans="16:20" s="497" customFormat="1" ht="15">
      <c r="P187" s="447"/>
      <c r="Q187" s="450">
        <v>4.49</v>
      </c>
      <c r="R187" s="450">
        <v>0</v>
      </c>
      <c r="S187" s="450">
        <v>600.01</v>
      </c>
      <c r="T187" s="450">
        <v>1</v>
      </c>
    </row>
    <row r="188" spans="16:20" s="497" customFormat="1" ht="15">
      <c r="P188" s="447"/>
      <c r="Q188" s="450">
        <v>4.49</v>
      </c>
      <c r="R188" s="450">
        <v>0</v>
      </c>
      <c r="S188" s="450">
        <v>10000</v>
      </c>
      <c r="T188" s="450">
        <v>1</v>
      </c>
    </row>
    <row r="189" spans="16:20" s="497" customFormat="1" ht="15">
      <c r="P189" s="447"/>
      <c r="Q189" s="450">
        <v>4.49</v>
      </c>
      <c r="R189" s="450">
        <v>0.4</v>
      </c>
      <c r="S189" s="450">
        <v>0</v>
      </c>
      <c r="T189" s="450">
        <v>1.3</v>
      </c>
    </row>
    <row r="190" spans="16:20" s="497" customFormat="1" ht="15">
      <c r="P190" s="447"/>
      <c r="Q190" s="450">
        <v>4.49</v>
      </c>
      <c r="R190" s="450">
        <v>0.4</v>
      </c>
      <c r="S190" s="450">
        <v>300</v>
      </c>
      <c r="T190" s="450">
        <v>1.3</v>
      </c>
    </row>
    <row r="191" spans="16:20" s="497" customFormat="1" ht="15">
      <c r="P191" s="447"/>
      <c r="Q191" s="450">
        <v>4.49</v>
      </c>
      <c r="R191" s="450">
        <v>0.4</v>
      </c>
      <c r="S191" s="450">
        <v>300.01</v>
      </c>
      <c r="T191" s="450">
        <v>1</v>
      </c>
    </row>
    <row r="192" spans="16:20" s="497" customFormat="1" ht="15">
      <c r="P192" s="447"/>
      <c r="Q192" s="450">
        <v>4.49</v>
      </c>
      <c r="R192" s="450">
        <v>0.4</v>
      </c>
      <c r="S192" s="450">
        <v>600</v>
      </c>
      <c r="T192" s="450">
        <v>1</v>
      </c>
    </row>
    <row r="193" spans="16:20" s="497" customFormat="1" ht="15">
      <c r="P193" s="447"/>
      <c r="Q193" s="450">
        <v>4.49</v>
      </c>
      <c r="R193" s="450">
        <v>0.4</v>
      </c>
      <c r="S193" s="450">
        <v>600.01</v>
      </c>
      <c r="T193" s="450">
        <v>1</v>
      </c>
    </row>
    <row r="194" spans="16:20" s="497" customFormat="1" ht="15">
      <c r="P194" s="447"/>
      <c r="Q194" s="450">
        <v>4.49</v>
      </c>
      <c r="R194" s="450">
        <v>0.4</v>
      </c>
      <c r="S194" s="450">
        <v>10000</v>
      </c>
      <c r="T194" s="450">
        <v>1</v>
      </c>
    </row>
    <row r="195" spans="16:20" s="497" customFormat="1" ht="15">
      <c r="P195" s="447"/>
      <c r="Q195" s="450">
        <v>4.49</v>
      </c>
      <c r="R195" s="450">
        <v>0.8</v>
      </c>
      <c r="S195" s="450">
        <v>0</v>
      </c>
      <c r="T195" s="450">
        <v>1.3</v>
      </c>
    </row>
    <row r="196" spans="16:20" s="497" customFormat="1" ht="15">
      <c r="P196" s="447"/>
      <c r="Q196" s="450">
        <v>4.49</v>
      </c>
      <c r="R196" s="450">
        <v>0.8</v>
      </c>
      <c r="S196" s="450">
        <v>300</v>
      </c>
      <c r="T196" s="450">
        <v>1.3</v>
      </c>
    </row>
    <row r="197" spans="16:20" s="497" customFormat="1" ht="15">
      <c r="P197" s="447"/>
      <c r="Q197" s="450">
        <v>4.49</v>
      </c>
      <c r="R197" s="450">
        <v>0.8</v>
      </c>
      <c r="S197" s="450">
        <v>300.01</v>
      </c>
      <c r="T197" s="450">
        <v>1</v>
      </c>
    </row>
    <row r="198" spans="16:20" s="497" customFormat="1" ht="15">
      <c r="P198" s="447"/>
      <c r="Q198" s="450">
        <v>4.49</v>
      </c>
      <c r="R198" s="450">
        <v>0.8</v>
      </c>
      <c r="S198" s="450">
        <v>600</v>
      </c>
      <c r="T198" s="450">
        <v>1</v>
      </c>
    </row>
    <row r="199" spans="16:20" s="497" customFormat="1" ht="15">
      <c r="P199" s="447"/>
      <c r="Q199" s="450">
        <v>4.49</v>
      </c>
      <c r="R199" s="450">
        <v>0.8</v>
      </c>
      <c r="S199" s="450">
        <v>600.01</v>
      </c>
      <c r="T199" s="450">
        <v>1</v>
      </c>
    </row>
    <row r="200" spans="16:20" s="497" customFormat="1" ht="15">
      <c r="P200" s="447"/>
      <c r="Q200" s="450">
        <v>4.49</v>
      </c>
      <c r="R200" s="450">
        <v>0.8</v>
      </c>
      <c r="S200" s="450">
        <v>10000</v>
      </c>
      <c r="T200" s="450">
        <v>1</v>
      </c>
    </row>
    <row r="201" spans="16:20" s="497" customFormat="1" ht="15">
      <c r="P201" s="447"/>
      <c r="Q201" s="450">
        <v>4.49</v>
      </c>
      <c r="R201" s="450">
        <v>1.2</v>
      </c>
      <c r="S201" s="450">
        <v>0</v>
      </c>
      <c r="T201" s="450">
        <v>1.3</v>
      </c>
    </row>
    <row r="202" spans="16:20" s="497" customFormat="1" ht="15">
      <c r="P202" s="447"/>
      <c r="Q202" s="450">
        <v>4.49</v>
      </c>
      <c r="R202" s="450">
        <v>1.2</v>
      </c>
      <c r="S202" s="450">
        <v>300</v>
      </c>
      <c r="T202" s="450">
        <v>1.3</v>
      </c>
    </row>
    <row r="203" spans="16:20" s="497" customFormat="1" ht="15">
      <c r="P203" s="447"/>
      <c r="Q203" s="450">
        <v>4.49</v>
      </c>
      <c r="R203" s="450">
        <v>1.2</v>
      </c>
      <c r="S203" s="450">
        <v>300.01</v>
      </c>
      <c r="T203" s="450">
        <v>1</v>
      </c>
    </row>
    <row r="204" spans="16:20" s="497" customFormat="1" ht="15">
      <c r="P204" s="447"/>
      <c r="Q204" s="450">
        <v>4.49</v>
      </c>
      <c r="R204" s="450">
        <v>1.2</v>
      </c>
      <c r="S204" s="450">
        <v>600</v>
      </c>
      <c r="T204" s="450">
        <v>1</v>
      </c>
    </row>
    <row r="205" spans="16:20" s="497" customFormat="1" ht="15">
      <c r="P205" s="447"/>
      <c r="Q205" s="450">
        <v>4.49</v>
      </c>
      <c r="R205" s="450">
        <v>1.2</v>
      </c>
      <c r="S205" s="450">
        <v>600.01</v>
      </c>
      <c r="T205" s="450">
        <v>1</v>
      </c>
    </row>
    <row r="206" spans="16:20" s="497" customFormat="1" ht="15">
      <c r="P206" s="447"/>
      <c r="Q206" s="450">
        <v>4.49</v>
      </c>
      <c r="R206" s="450">
        <v>1.2</v>
      </c>
      <c r="S206" s="450">
        <v>10000</v>
      </c>
      <c r="T206" s="450">
        <v>1</v>
      </c>
    </row>
    <row r="207" spans="16:20" s="497" customFormat="1" ht="15">
      <c r="P207" s="447"/>
      <c r="Q207" s="450">
        <v>4.49</v>
      </c>
      <c r="R207" s="450">
        <v>1.6</v>
      </c>
      <c r="S207" s="450">
        <v>0</v>
      </c>
      <c r="T207" s="450">
        <v>1.4</v>
      </c>
    </row>
    <row r="208" spans="16:20" s="497" customFormat="1" ht="15">
      <c r="P208" s="447"/>
      <c r="Q208" s="450">
        <v>4.49</v>
      </c>
      <c r="R208" s="450">
        <v>1.6</v>
      </c>
      <c r="S208" s="450">
        <v>300</v>
      </c>
      <c r="T208" s="450">
        <v>1.4</v>
      </c>
    </row>
    <row r="209" spans="16:20" s="497" customFormat="1" ht="15">
      <c r="P209" s="447"/>
      <c r="Q209" s="450">
        <v>4.49</v>
      </c>
      <c r="R209" s="450">
        <v>1.6</v>
      </c>
      <c r="S209" s="450">
        <v>300.01</v>
      </c>
      <c r="T209" s="450">
        <v>1</v>
      </c>
    </row>
    <row r="210" spans="16:20" s="497" customFormat="1" ht="15">
      <c r="P210" s="447"/>
      <c r="Q210" s="450">
        <v>4.49</v>
      </c>
      <c r="R210" s="450">
        <v>1.6</v>
      </c>
      <c r="S210" s="450">
        <v>600</v>
      </c>
      <c r="T210" s="450">
        <v>1</v>
      </c>
    </row>
    <row r="211" spans="16:20" s="497" customFormat="1" ht="15">
      <c r="P211" s="447"/>
      <c r="Q211" s="450">
        <v>4.49</v>
      </c>
      <c r="R211" s="450">
        <v>1.6</v>
      </c>
      <c r="S211" s="450">
        <v>600.01</v>
      </c>
      <c r="T211" s="450">
        <v>1</v>
      </c>
    </row>
    <row r="212" spans="16:20" s="497" customFormat="1" ht="15">
      <c r="P212" s="447"/>
      <c r="Q212" s="450">
        <v>4.49</v>
      </c>
      <c r="R212" s="450">
        <v>1.6</v>
      </c>
      <c r="S212" s="450">
        <v>10000</v>
      </c>
      <c r="T212" s="450">
        <v>1</v>
      </c>
    </row>
    <row r="213" spans="16:20" s="497" customFormat="1" ht="15">
      <c r="P213" s="447"/>
      <c r="Q213" s="450">
        <v>4.49</v>
      </c>
      <c r="R213" s="450">
        <v>2.4</v>
      </c>
      <c r="S213" s="450">
        <v>0</v>
      </c>
      <c r="T213" s="450">
        <v>1.4</v>
      </c>
    </row>
    <row r="214" spans="16:20" s="497" customFormat="1" ht="15">
      <c r="P214" s="447"/>
      <c r="Q214" s="450">
        <v>4.49</v>
      </c>
      <c r="R214" s="450">
        <v>2.4</v>
      </c>
      <c r="S214" s="450">
        <v>300</v>
      </c>
      <c r="T214" s="450">
        <v>1.4</v>
      </c>
    </row>
    <row r="215" spans="16:20" s="497" customFormat="1" ht="15">
      <c r="P215" s="447"/>
      <c r="Q215" s="450">
        <v>4.49</v>
      </c>
      <c r="R215" s="450">
        <v>2.4</v>
      </c>
      <c r="S215" s="450">
        <v>300.01</v>
      </c>
      <c r="T215" s="450">
        <v>1</v>
      </c>
    </row>
    <row r="216" spans="16:20" s="497" customFormat="1" ht="15">
      <c r="P216" s="447"/>
      <c r="Q216" s="450">
        <v>4.49</v>
      </c>
      <c r="R216" s="450">
        <v>2.4</v>
      </c>
      <c r="S216" s="450">
        <v>600</v>
      </c>
      <c r="T216" s="450">
        <v>1</v>
      </c>
    </row>
    <row r="217" spans="16:20" s="497" customFormat="1" ht="15">
      <c r="P217" s="447"/>
      <c r="Q217" s="450">
        <v>4.49</v>
      </c>
      <c r="R217" s="450">
        <v>2.4</v>
      </c>
      <c r="S217" s="450">
        <v>600.01</v>
      </c>
      <c r="T217" s="450">
        <v>1</v>
      </c>
    </row>
    <row r="218" spans="16:20" s="497" customFormat="1" ht="15">
      <c r="P218" s="447"/>
      <c r="Q218" s="450">
        <v>4.49</v>
      </c>
      <c r="R218" s="450">
        <v>2.4</v>
      </c>
      <c r="S218" s="450">
        <v>10000</v>
      </c>
      <c r="T218" s="450">
        <v>1</v>
      </c>
    </row>
    <row r="219" spans="16:20" s="497" customFormat="1" ht="15">
      <c r="P219" s="447"/>
      <c r="Q219" s="450">
        <v>4.49</v>
      </c>
      <c r="R219" s="450">
        <v>3.2</v>
      </c>
      <c r="S219" s="450">
        <v>0</v>
      </c>
      <c r="T219" s="450">
        <v>1.4</v>
      </c>
    </row>
    <row r="220" spans="16:20" s="497" customFormat="1" ht="15">
      <c r="P220" s="447"/>
      <c r="Q220" s="450">
        <v>4.49</v>
      </c>
      <c r="R220" s="450">
        <v>3.2</v>
      </c>
      <c r="S220" s="450">
        <v>300</v>
      </c>
      <c r="T220" s="450">
        <v>1.4</v>
      </c>
    </row>
    <row r="221" spans="16:20" s="497" customFormat="1" ht="15">
      <c r="P221" s="447"/>
      <c r="Q221" s="450">
        <v>4.49</v>
      </c>
      <c r="R221" s="450">
        <v>3.2</v>
      </c>
      <c r="S221" s="450">
        <v>300.01</v>
      </c>
      <c r="T221" s="450">
        <v>1</v>
      </c>
    </row>
    <row r="222" spans="16:20" s="497" customFormat="1" ht="15">
      <c r="P222" s="447"/>
      <c r="Q222" s="450">
        <v>4.49</v>
      </c>
      <c r="R222" s="450">
        <v>3.2</v>
      </c>
      <c r="S222" s="450">
        <v>600</v>
      </c>
      <c r="T222" s="450">
        <v>1</v>
      </c>
    </row>
    <row r="223" spans="16:20" s="497" customFormat="1" ht="15">
      <c r="P223" s="447"/>
      <c r="Q223" s="450">
        <v>4.49</v>
      </c>
      <c r="R223" s="450">
        <v>3.2</v>
      </c>
      <c r="S223" s="450">
        <v>600.01</v>
      </c>
      <c r="T223" s="450">
        <v>1</v>
      </c>
    </row>
    <row r="224" spans="16:20" s="497" customFormat="1" ht="15">
      <c r="P224" s="447"/>
      <c r="Q224" s="450">
        <v>4.49</v>
      </c>
      <c r="R224" s="450">
        <v>3.2</v>
      </c>
      <c r="S224" s="450">
        <v>10000</v>
      </c>
      <c r="T224" s="450">
        <v>1</v>
      </c>
    </row>
    <row r="225" spans="16:20" s="497" customFormat="1" ht="15">
      <c r="P225" s="447"/>
      <c r="Q225" s="450">
        <v>4.49</v>
      </c>
      <c r="R225" s="450">
        <v>4.8</v>
      </c>
      <c r="S225" s="450">
        <v>0</v>
      </c>
      <c r="T225" s="450">
        <v>1.4</v>
      </c>
    </row>
    <row r="226" spans="16:20" s="497" customFormat="1" ht="15">
      <c r="P226" s="447"/>
      <c r="Q226" s="450">
        <v>4.49</v>
      </c>
      <c r="R226" s="450">
        <v>4.8</v>
      </c>
      <c r="S226" s="450">
        <v>300</v>
      </c>
      <c r="T226" s="450">
        <v>1.4</v>
      </c>
    </row>
    <row r="227" spans="16:20" s="497" customFormat="1" ht="15">
      <c r="P227" s="447"/>
      <c r="Q227" s="450">
        <v>4.49</v>
      </c>
      <c r="R227" s="450">
        <v>4.8</v>
      </c>
      <c r="S227" s="450">
        <v>300.01</v>
      </c>
      <c r="T227" s="450">
        <v>1</v>
      </c>
    </row>
    <row r="228" spans="16:20" s="497" customFormat="1" ht="15">
      <c r="P228" s="447"/>
      <c r="Q228" s="450">
        <v>4.49</v>
      </c>
      <c r="R228" s="450">
        <v>4.8</v>
      </c>
      <c r="S228" s="450">
        <v>600</v>
      </c>
      <c r="T228" s="450">
        <v>1</v>
      </c>
    </row>
    <row r="229" spans="16:20" s="497" customFormat="1" ht="15">
      <c r="P229" s="447"/>
      <c r="Q229" s="450">
        <v>4.49</v>
      </c>
      <c r="R229" s="450">
        <v>4.8</v>
      </c>
      <c r="S229" s="450">
        <v>600.01</v>
      </c>
      <c r="T229" s="450">
        <v>1</v>
      </c>
    </row>
    <row r="230" spans="16:20" s="497" customFormat="1" ht="15">
      <c r="P230" s="447"/>
      <c r="Q230" s="450">
        <v>4.49</v>
      </c>
      <c r="R230" s="450">
        <v>4.8</v>
      </c>
      <c r="S230" s="450">
        <v>10000</v>
      </c>
      <c r="T230" s="450">
        <v>1</v>
      </c>
    </row>
    <row r="231" spans="16:20" s="497" customFormat="1" ht="15">
      <c r="P231" s="447"/>
      <c r="Q231" s="450">
        <v>4.49</v>
      </c>
      <c r="R231" s="450">
        <v>6.4</v>
      </c>
      <c r="S231" s="450">
        <v>0</v>
      </c>
      <c r="T231" s="450">
        <v>1.5</v>
      </c>
    </row>
    <row r="232" spans="16:20" s="497" customFormat="1" ht="15">
      <c r="P232" s="447"/>
      <c r="Q232" s="450">
        <v>4.49</v>
      </c>
      <c r="R232" s="450">
        <v>6.4</v>
      </c>
      <c r="S232" s="450">
        <v>300</v>
      </c>
      <c r="T232" s="450">
        <v>1.5</v>
      </c>
    </row>
    <row r="233" spans="16:20" s="497" customFormat="1" ht="15">
      <c r="P233" s="447"/>
      <c r="Q233" s="450">
        <v>4.49</v>
      </c>
      <c r="R233" s="450">
        <v>6.4</v>
      </c>
      <c r="S233" s="450">
        <v>300.01</v>
      </c>
      <c r="T233" s="450">
        <v>1</v>
      </c>
    </row>
    <row r="234" spans="16:20" s="497" customFormat="1" ht="15">
      <c r="P234" s="447"/>
      <c r="Q234" s="450">
        <v>4.49</v>
      </c>
      <c r="R234" s="450">
        <v>6.4</v>
      </c>
      <c r="S234" s="450">
        <v>600</v>
      </c>
      <c r="T234" s="450">
        <v>1</v>
      </c>
    </row>
    <row r="235" spans="16:20" s="497" customFormat="1" ht="15">
      <c r="P235" s="447"/>
      <c r="Q235" s="450">
        <v>4.49</v>
      </c>
      <c r="R235" s="450">
        <v>6.4</v>
      </c>
      <c r="S235" s="450">
        <v>600.01</v>
      </c>
      <c r="T235" s="450">
        <v>1</v>
      </c>
    </row>
    <row r="236" spans="16:20" s="497" customFormat="1" ht="15">
      <c r="P236" s="447"/>
      <c r="Q236" s="450">
        <v>4.49</v>
      </c>
      <c r="R236" s="450">
        <v>6.4</v>
      </c>
      <c r="S236" s="450">
        <v>10000</v>
      </c>
      <c r="T236" s="450">
        <v>1</v>
      </c>
    </row>
    <row r="237" spans="16:20" s="497" customFormat="1" ht="15">
      <c r="P237" s="447"/>
      <c r="Q237" s="450">
        <v>4.49</v>
      </c>
      <c r="R237" s="450">
        <v>100</v>
      </c>
      <c r="S237" s="450">
        <v>0</v>
      </c>
      <c r="T237" s="450">
        <v>1.5</v>
      </c>
    </row>
    <row r="238" spans="16:20" s="497" customFormat="1" ht="15">
      <c r="P238" s="447"/>
      <c r="Q238" s="450">
        <v>4.49</v>
      </c>
      <c r="R238" s="450">
        <v>100</v>
      </c>
      <c r="S238" s="450">
        <v>300</v>
      </c>
      <c r="T238" s="450">
        <v>1.5</v>
      </c>
    </row>
    <row r="239" spans="16:20" s="497" customFormat="1" ht="15">
      <c r="P239" s="447"/>
      <c r="Q239" s="450">
        <v>4.49</v>
      </c>
      <c r="R239" s="450">
        <v>100</v>
      </c>
      <c r="S239" s="450">
        <v>300.01</v>
      </c>
      <c r="T239" s="450">
        <v>1</v>
      </c>
    </row>
    <row r="240" spans="16:20" s="497" customFormat="1" ht="15">
      <c r="P240" s="447"/>
      <c r="Q240" s="450">
        <v>4.49</v>
      </c>
      <c r="R240" s="450">
        <v>100</v>
      </c>
      <c r="S240" s="450">
        <v>600</v>
      </c>
      <c r="T240" s="450">
        <v>1</v>
      </c>
    </row>
    <row r="241" spans="16:20" s="497" customFormat="1" ht="15">
      <c r="P241" s="447"/>
      <c r="Q241" s="450">
        <v>4.49</v>
      </c>
      <c r="R241" s="450">
        <v>100</v>
      </c>
      <c r="S241" s="450">
        <v>600.01</v>
      </c>
      <c r="T241" s="450">
        <v>1</v>
      </c>
    </row>
    <row r="242" spans="16:20" s="497" customFormat="1" ht="15">
      <c r="P242" s="447"/>
      <c r="Q242" s="450">
        <v>4.49</v>
      </c>
      <c r="R242" s="450">
        <v>100</v>
      </c>
      <c r="S242" s="450">
        <v>10000</v>
      </c>
      <c r="T242" s="450">
        <v>1</v>
      </c>
    </row>
    <row r="243" spans="16:20" s="497" customFormat="1" ht="15">
      <c r="P243" s="447"/>
      <c r="Q243" s="450">
        <v>4.5</v>
      </c>
      <c r="R243" s="450">
        <v>0</v>
      </c>
      <c r="S243" s="450">
        <v>0</v>
      </c>
      <c r="T243" s="450">
        <v>1.5</v>
      </c>
    </row>
    <row r="244" spans="16:20" s="497" customFormat="1" ht="15">
      <c r="P244" s="447"/>
      <c r="Q244" s="450">
        <v>4.5</v>
      </c>
      <c r="R244" s="450">
        <v>0</v>
      </c>
      <c r="S244" s="450">
        <v>300</v>
      </c>
      <c r="T244" s="450">
        <v>1.5</v>
      </c>
    </row>
    <row r="245" spans="16:20" s="497" customFormat="1" ht="15">
      <c r="P245" s="447"/>
      <c r="Q245" s="450">
        <v>4.5</v>
      </c>
      <c r="R245" s="450">
        <v>0</v>
      </c>
      <c r="S245" s="450">
        <v>300.01</v>
      </c>
      <c r="T245" s="450">
        <v>1</v>
      </c>
    </row>
    <row r="246" spans="16:20" s="497" customFormat="1" ht="15">
      <c r="P246" s="447"/>
      <c r="Q246" s="450">
        <v>4.5</v>
      </c>
      <c r="R246" s="450">
        <v>0</v>
      </c>
      <c r="S246" s="450">
        <v>600</v>
      </c>
      <c r="T246" s="450">
        <v>1</v>
      </c>
    </row>
    <row r="247" spans="16:20" s="497" customFormat="1" ht="15">
      <c r="P247" s="447"/>
      <c r="Q247" s="450">
        <v>4.5</v>
      </c>
      <c r="R247" s="450">
        <v>0</v>
      </c>
      <c r="S247" s="450">
        <v>600.01</v>
      </c>
      <c r="T247" s="450">
        <v>1</v>
      </c>
    </row>
    <row r="248" spans="16:20" s="497" customFormat="1" ht="15">
      <c r="P248" s="447"/>
      <c r="Q248" s="450">
        <v>4.5</v>
      </c>
      <c r="R248" s="450">
        <v>0</v>
      </c>
      <c r="S248" s="450">
        <v>10000</v>
      </c>
      <c r="T248" s="450">
        <v>1</v>
      </c>
    </row>
    <row r="249" spans="16:20" s="497" customFormat="1" ht="15">
      <c r="P249" s="447"/>
      <c r="Q249" s="450">
        <v>4.5</v>
      </c>
      <c r="R249" s="450">
        <v>0.4</v>
      </c>
      <c r="S249" s="450">
        <v>0</v>
      </c>
      <c r="T249" s="450">
        <v>1.5</v>
      </c>
    </row>
    <row r="250" spans="16:20" s="497" customFormat="1" ht="15">
      <c r="P250" s="447"/>
      <c r="Q250" s="450">
        <v>4.5</v>
      </c>
      <c r="R250" s="450">
        <v>0.4</v>
      </c>
      <c r="S250" s="450">
        <v>300</v>
      </c>
      <c r="T250" s="450">
        <v>1.5</v>
      </c>
    </row>
    <row r="251" spans="16:20" s="497" customFormat="1" ht="15">
      <c r="P251" s="447"/>
      <c r="Q251" s="450">
        <v>4.5</v>
      </c>
      <c r="R251" s="450">
        <v>0.4</v>
      </c>
      <c r="S251" s="450">
        <v>300.01</v>
      </c>
      <c r="T251" s="450">
        <v>1</v>
      </c>
    </row>
    <row r="252" spans="16:20" s="497" customFormat="1" ht="15">
      <c r="P252" s="447"/>
      <c r="Q252" s="450">
        <v>4.5</v>
      </c>
      <c r="R252" s="450">
        <v>0.4</v>
      </c>
      <c r="S252" s="450">
        <v>600</v>
      </c>
      <c r="T252" s="450">
        <v>1</v>
      </c>
    </row>
    <row r="253" spans="16:20" s="497" customFormat="1" ht="15">
      <c r="P253" s="447"/>
      <c r="Q253" s="450">
        <v>4.5</v>
      </c>
      <c r="R253" s="450">
        <v>0.4</v>
      </c>
      <c r="S253" s="450">
        <v>600.01</v>
      </c>
      <c r="T253" s="450">
        <v>1</v>
      </c>
    </row>
    <row r="254" spans="16:20" s="497" customFormat="1" ht="15">
      <c r="P254" s="447"/>
      <c r="Q254" s="450">
        <v>4.5</v>
      </c>
      <c r="R254" s="450">
        <v>0.4</v>
      </c>
      <c r="S254" s="450">
        <v>10000</v>
      </c>
      <c r="T254" s="450">
        <v>1</v>
      </c>
    </row>
    <row r="255" spans="16:20" s="497" customFormat="1" ht="15">
      <c r="P255" s="447"/>
      <c r="Q255" s="450">
        <v>4.5</v>
      </c>
      <c r="R255" s="450">
        <v>0.8</v>
      </c>
      <c r="S255" s="450">
        <v>0</v>
      </c>
      <c r="T255" s="450">
        <v>1.5</v>
      </c>
    </row>
    <row r="256" spans="16:20" s="497" customFormat="1" ht="15">
      <c r="P256" s="447"/>
      <c r="Q256" s="450">
        <v>4.5</v>
      </c>
      <c r="R256" s="450">
        <v>0.8</v>
      </c>
      <c r="S256" s="450">
        <v>300</v>
      </c>
      <c r="T256" s="450">
        <v>1.5</v>
      </c>
    </row>
    <row r="257" spans="16:20" s="497" customFormat="1" ht="15">
      <c r="P257" s="447"/>
      <c r="Q257" s="450">
        <v>4.5</v>
      </c>
      <c r="R257" s="450">
        <v>0.8</v>
      </c>
      <c r="S257" s="450">
        <v>300.01</v>
      </c>
      <c r="T257" s="450">
        <v>1</v>
      </c>
    </row>
    <row r="258" spans="16:20" s="497" customFormat="1" ht="15">
      <c r="P258" s="447"/>
      <c r="Q258" s="450">
        <v>4.5</v>
      </c>
      <c r="R258" s="450">
        <v>0.8</v>
      </c>
      <c r="S258" s="450">
        <v>600</v>
      </c>
      <c r="T258" s="450">
        <v>1</v>
      </c>
    </row>
    <row r="259" spans="16:20" s="497" customFormat="1" ht="15">
      <c r="P259" s="447"/>
      <c r="Q259" s="450">
        <v>4.5</v>
      </c>
      <c r="R259" s="450">
        <v>0.8</v>
      </c>
      <c r="S259" s="450">
        <v>600.01</v>
      </c>
      <c r="T259" s="450">
        <v>1</v>
      </c>
    </row>
    <row r="260" spans="16:20" s="497" customFormat="1" ht="15">
      <c r="P260" s="447"/>
      <c r="Q260" s="450">
        <v>4.5</v>
      </c>
      <c r="R260" s="450">
        <v>0.8</v>
      </c>
      <c r="S260" s="450">
        <v>10000</v>
      </c>
      <c r="T260" s="450">
        <v>1</v>
      </c>
    </row>
    <row r="261" spans="16:20" s="497" customFormat="1" ht="15">
      <c r="P261" s="447"/>
      <c r="Q261" s="450">
        <v>4.5</v>
      </c>
      <c r="R261" s="450">
        <v>1.2</v>
      </c>
      <c r="S261" s="450">
        <v>0</v>
      </c>
      <c r="T261" s="450">
        <v>1.5</v>
      </c>
    </row>
    <row r="262" spans="16:20" s="497" customFormat="1" ht="15">
      <c r="P262" s="447"/>
      <c r="Q262" s="450">
        <v>4.5</v>
      </c>
      <c r="R262" s="450">
        <v>1.2</v>
      </c>
      <c r="S262" s="450">
        <v>300</v>
      </c>
      <c r="T262" s="450">
        <v>1.5</v>
      </c>
    </row>
    <row r="263" spans="16:20" s="497" customFormat="1" ht="15">
      <c r="P263" s="447"/>
      <c r="Q263" s="450">
        <v>4.5</v>
      </c>
      <c r="R263" s="450">
        <v>1.2</v>
      </c>
      <c r="S263" s="450">
        <v>300.01</v>
      </c>
      <c r="T263" s="450">
        <v>1</v>
      </c>
    </row>
    <row r="264" spans="16:20" s="497" customFormat="1" ht="15">
      <c r="P264" s="447"/>
      <c r="Q264" s="450">
        <v>4.5</v>
      </c>
      <c r="R264" s="450">
        <v>1.2</v>
      </c>
      <c r="S264" s="450">
        <v>600</v>
      </c>
      <c r="T264" s="450">
        <v>1</v>
      </c>
    </row>
    <row r="265" spans="16:20" s="497" customFormat="1" ht="15">
      <c r="P265" s="447"/>
      <c r="Q265" s="450">
        <v>4.5</v>
      </c>
      <c r="R265" s="450">
        <v>1.2</v>
      </c>
      <c r="S265" s="450">
        <v>600.01</v>
      </c>
      <c r="T265" s="450">
        <v>1</v>
      </c>
    </row>
    <row r="266" spans="16:20" s="497" customFormat="1" ht="15">
      <c r="P266" s="447"/>
      <c r="Q266" s="450">
        <v>4.5</v>
      </c>
      <c r="R266" s="450">
        <v>1.2</v>
      </c>
      <c r="S266" s="450">
        <v>10000</v>
      </c>
      <c r="T266" s="450">
        <v>1</v>
      </c>
    </row>
    <row r="267" spans="16:20" s="497" customFormat="1" ht="15">
      <c r="P267" s="447"/>
      <c r="Q267" s="450">
        <v>4.5</v>
      </c>
      <c r="R267" s="450">
        <v>1.6</v>
      </c>
      <c r="S267" s="450">
        <v>0</v>
      </c>
      <c r="T267" s="450">
        <v>1.5</v>
      </c>
    </row>
    <row r="268" spans="16:20" s="497" customFormat="1" ht="15">
      <c r="P268" s="447"/>
      <c r="Q268" s="450">
        <v>4.5</v>
      </c>
      <c r="R268" s="450">
        <v>1.6</v>
      </c>
      <c r="S268" s="450">
        <v>300</v>
      </c>
      <c r="T268" s="450">
        <v>1.5</v>
      </c>
    </row>
    <row r="269" spans="16:20" s="497" customFormat="1" ht="15">
      <c r="P269" s="447"/>
      <c r="Q269" s="450">
        <v>4.5</v>
      </c>
      <c r="R269" s="450">
        <v>1.6</v>
      </c>
      <c r="S269" s="450">
        <v>300.01</v>
      </c>
      <c r="T269" s="450">
        <v>1</v>
      </c>
    </row>
    <row r="270" spans="16:20" s="497" customFormat="1" ht="15">
      <c r="P270" s="447"/>
      <c r="Q270" s="450">
        <v>4.5</v>
      </c>
      <c r="R270" s="450">
        <v>1.6</v>
      </c>
      <c r="S270" s="450">
        <v>600</v>
      </c>
      <c r="T270" s="450">
        <v>1</v>
      </c>
    </row>
    <row r="271" spans="16:20" s="497" customFormat="1" ht="15">
      <c r="P271" s="447"/>
      <c r="Q271" s="450">
        <v>4.5</v>
      </c>
      <c r="R271" s="450">
        <v>1.6</v>
      </c>
      <c r="S271" s="450">
        <v>600.01</v>
      </c>
      <c r="T271" s="450">
        <v>1</v>
      </c>
    </row>
    <row r="272" spans="16:20" s="497" customFormat="1" ht="15">
      <c r="P272" s="447"/>
      <c r="Q272" s="450">
        <v>4.5</v>
      </c>
      <c r="R272" s="450">
        <v>1.6</v>
      </c>
      <c r="S272" s="450">
        <v>10000</v>
      </c>
      <c r="T272" s="450">
        <v>1</v>
      </c>
    </row>
    <row r="273" spans="16:20" s="497" customFormat="1" ht="15">
      <c r="P273" s="447"/>
      <c r="Q273" s="450">
        <v>4.5</v>
      </c>
      <c r="R273" s="450">
        <v>2.4</v>
      </c>
      <c r="S273" s="450">
        <v>0</v>
      </c>
      <c r="T273" s="450">
        <v>1.5</v>
      </c>
    </row>
    <row r="274" spans="16:20" s="497" customFormat="1" ht="15">
      <c r="P274" s="447"/>
      <c r="Q274" s="450">
        <v>4.5</v>
      </c>
      <c r="R274" s="450">
        <v>2.4</v>
      </c>
      <c r="S274" s="450">
        <v>300</v>
      </c>
      <c r="T274" s="450">
        <v>1.5</v>
      </c>
    </row>
    <row r="275" spans="16:20" s="497" customFormat="1" ht="15">
      <c r="P275" s="447"/>
      <c r="Q275" s="450">
        <v>4.5</v>
      </c>
      <c r="R275" s="450">
        <v>2.4</v>
      </c>
      <c r="S275" s="450">
        <v>300.01</v>
      </c>
      <c r="T275" s="450">
        <v>1</v>
      </c>
    </row>
    <row r="276" spans="16:20" s="497" customFormat="1" ht="15">
      <c r="P276" s="447"/>
      <c r="Q276" s="450">
        <v>4.5</v>
      </c>
      <c r="R276" s="450">
        <v>2.4</v>
      </c>
      <c r="S276" s="450">
        <v>600</v>
      </c>
      <c r="T276" s="450">
        <v>1</v>
      </c>
    </row>
    <row r="277" spans="16:20" s="497" customFormat="1" ht="15">
      <c r="P277" s="447"/>
      <c r="Q277" s="450">
        <v>4.5</v>
      </c>
      <c r="R277" s="450">
        <v>2.4</v>
      </c>
      <c r="S277" s="450">
        <v>600.01</v>
      </c>
      <c r="T277" s="450">
        <v>1</v>
      </c>
    </row>
    <row r="278" spans="16:20" s="497" customFormat="1" ht="15">
      <c r="P278" s="447"/>
      <c r="Q278" s="498">
        <v>4.5</v>
      </c>
      <c r="R278" s="498">
        <v>2.4</v>
      </c>
      <c r="S278" s="498">
        <v>10000</v>
      </c>
      <c r="T278" s="498">
        <v>1</v>
      </c>
    </row>
    <row r="279" spans="16:20" s="497" customFormat="1" ht="15">
      <c r="P279" s="447"/>
      <c r="Q279" s="498">
        <v>4.5</v>
      </c>
      <c r="R279" s="498">
        <v>3.2</v>
      </c>
      <c r="S279" s="498">
        <v>0</v>
      </c>
      <c r="T279" s="498">
        <v>1.5</v>
      </c>
    </row>
    <row r="280" spans="16:20" s="497" customFormat="1" ht="15">
      <c r="P280" s="447"/>
      <c r="Q280" s="498">
        <v>4.5</v>
      </c>
      <c r="R280" s="498">
        <v>3.2</v>
      </c>
      <c r="S280" s="498">
        <v>300</v>
      </c>
      <c r="T280" s="498">
        <v>1.5</v>
      </c>
    </row>
    <row r="281" spans="16:20" s="497" customFormat="1" ht="15">
      <c r="P281" s="447"/>
      <c r="Q281" s="498">
        <v>4.5</v>
      </c>
      <c r="R281" s="498">
        <v>3.2</v>
      </c>
      <c r="S281" s="498">
        <v>300.01</v>
      </c>
      <c r="T281" s="498">
        <v>1</v>
      </c>
    </row>
    <row r="282" spans="16:20" s="497" customFormat="1" ht="15">
      <c r="P282" s="447"/>
      <c r="Q282" s="498">
        <v>4.5</v>
      </c>
      <c r="R282" s="498">
        <v>3.2</v>
      </c>
      <c r="S282" s="498">
        <v>600</v>
      </c>
      <c r="T282" s="498">
        <v>1</v>
      </c>
    </row>
    <row r="283" spans="16:20" s="497" customFormat="1" ht="15">
      <c r="P283" s="447"/>
      <c r="Q283" s="498">
        <v>4.5</v>
      </c>
      <c r="R283" s="498">
        <v>3.2</v>
      </c>
      <c r="S283" s="498">
        <v>600.01</v>
      </c>
      <c r="T283" s="498">
        <v>1</v>
      </c>
    </row>
    <row r="284" spans="16:20" s="497" customFormat="1" ht="15">
      <c r="P284" s="447"/>
      <c r="Q284" s="498">
        <v>4.5</v>
      </c>
      <c r="R284" s="498">
        <v>3.2</v>
      </c>
      <c r="S284" s="498">
        <v>10000</v>
      </c>
      <c r="T284" s="498">
        <v>1</v>
      </c>
    </row>
    <row r="285" spans="16:20" s="497" customFormat="1" ht="15">
      <c r="P285" s="447"/>
      <c r="Q285" s="498">
        <v>4.5</v>
      </c>
      <c r="R285" s="498">
        <v>4.8</v>
      </c>
      <c r="S285" s="498">
        <v>0</v>
      </c>
      <c r="T285" s="498">
        <v>1.6</v>
      </c>
    </row>
    <row r="286" spans="16:20" s="497" customFormat="1" ht="15">
      <c r="P286" s="447"/>
      <c r="Q286" s="498">
        <v>4.5</v>
      </c>
      <c r="R286" s="498">
        <v>4.8</v>
      </c>
      <c r="S286" s="498">
        <v>300</v>
      </c>
      <c r="T286" s="498">
        <v>1.6</v>
      </c>
    </row>
    <row r="287" spans="16:20" s="497" customFormat="1" ht="15">
      <c r="P287" s="447"/>
      <c r="Q287" s="498">
        <v>4.5</v>
      </c>
      <c r="R287" s="498">
        <v>4.8</v>
      </c>
      <c r="S287" s="498">
        <v>300.01</v>
      </c>
      <c r="T287" s="498">
        <v>1</v>
      </c>
    </row>
    <row r="288" spans="16:20" s="497" customFormat="1" ht="15">
      <c r="P288" s="447"/>
      <c r="Q288" s="498">
        <v>4.5</v>
      </c>
      <c r="R288" s="498">
        <v>4.8</v>
      </c>
      <c r="S288" s="498">
        <v>600</v>
      </c>
      <c r="T288" s="498">
        <v>1</v>
      </c>
    </row>
    <row r="289" spans="16:20" s="497" customFormat="1" ht="15">
      <c r="P289" s="447"/>
      <c r="Q289" s="498">
        <v>4.5</v>
      </c>
      <c r="R289" s="498">
        <v>4.8</v>
      </c>
      <c r="S289" s="498">
        <v>600.01</v>
      </c>
      <c r="T289" s="498">
        <v>1</v>
      </c>
    </row>
    <row r="290" spans="16:20" s="497" customFormat="1" ht="15">
      <c r="P290" s="447"/>
      <c r="Q290" s="498">
        <v>4.5</v>
      </c>
      <c r="R290" s="498">
        <v>4.8</v>
      </c>
      <c r="S290" s="498">
        <v>10000</v>
      </c>
      <c r="T290" s="498">
        <v>1</v>
      </c>
    </row>
    <row r="291" spans="16:20" s="497" customFormat="1" ht="15">
      <c r="P291" s="447"/>
      <c r="Q291" s="498">
        <v>4.5</v>
      </c>
      <c r="R291" s="498">
        <v>6.4</v>
      </c>
      <c r="S291" s="498">
        <v>0</v>
      </c>
      <c r="T291" s="498">
        <v>1.6</v>
      </c>
    </row>
    <row r="292" spans="16:20" s="497" customFormat="1" ht="15">
      <c r="P292" s="447"/>
      <c r="Q292" s="498">
        <v>4.5</v>
      </c>
      <c r="R292" s="498">
        <v>6.4</v>
      </c>
      <c r="S292" s="498">
        <v>300</v>
      </c>
      <c r="T292" s="498">
        <v>1.6</v>
      </c>
    </row>
    <row r="293" spans="16:20" s="497" customFormat="1" ht="15">
      <c r="P293" s="447"/>
      <c r="Q293" s="498">
        <v>4.5</v>
      </c>
      <c r="R293" s="498">
        <v>6.4</v>
      </c>
      <c r="S293" s="498">
        <v>300.01</v>
      </c>
      <c r="T293" s="498">
        <v>1</v>
      </c>
    </row>
    <row r="294" spans="16:20" s="497" customFormat="1" ht="15">
      <c r="P294" s="447"/>
      <c r="Q294" s="498">
        <v>4.5</v>
      </c>
      <c r="R294" s="498">
        <v>6.4</v>
      </c>
      <c r="S294" s="498">
        <v>600</v>
      </c>
      <c r="T294" s="498">
        <v>1</v>
      </c>
    </row>
    <row r="295" spans="16:20" s="497" customFormat="1" ht="15">
      <c r="P295" s="447"/>
      <c r="Q295" s="498">
        <v>4.5</v>
      </c>
      <c r="R295" s="498">
        <v>6.4</v>
      </c>
      <c r="S295" s="498">
        <v>600.01</v>
      </c>
      <c r="T295" s="498">
        <v>1</v>
      </c>
    </row>
    <row r="296" spans="16:20" s="497" customFormat="1" ht="15">
      <c r="P296" s="447"/>
      <c r="Q296" s="498">
        <v>4.5</v>
      </c>
      <c r="R296" s="498">
        <v>6.4</v>
      </c>
      <c r="S296" s="498">
        <v>10000</v>
      </c>
      <c r="T296" s="498">
        <v>1</v>
      </c>
    </row>
    <row r="297" spans="16:20" s="497" customFormat="1" ht="15">
      <c r="P297" s="447"/>
      <c r="Q297" s="498">
        <v>4.5</v>
      </c>
      <c r="R297" s="498">
        <v>100</v>
      </c>
      <c r="S297" s="498">
        <v>0</v>
      </c>
      <c r="T297" s="498">
        <v>1.6</v>
      </c>
    </row>
    <row r="298" spans="16:20" s="497" customFormat="1" ht="15">
      <c r="P298" s="447"/>
      <c r="Q298" s="498">
        <v>4.5</v>
      </c>
      <c r="R298" s="498">
        <v>100</v>
      </c>
      <c r="S298" s="498">
        <v>300</v>
      </c>
      <c r="T298" s="498">
        <v>1.6</v>
      </c>
    </row>
    <row r="299" spans="16:20" s="497" customFormat="1" ht="15">
      <c r="P299" s="447"/>
      <c r="Q299" s="498">
        <v>4.5</v>
      </c>
      <c r="R299" s="498">
        <v>100</v>
      </c>
      <c r="S299" s="498">
        <v>300.01</v>
      </c>
      <c r="T299" s="498">
        <v>1</v>
      </c>
    </row>
    <row r="300" spans="16:20" s="497" customFormat="1" ht="15">
      <c r="P300" s="447"/>
      <c r="Q300" s="498">
        <v>4.5</v>
      </c>
      <c r="R300" s="498">
        <v>100</v>
      </c>
      <c r="S300" s="498">
        <v>600</v>
      </c>
      <c r="T300" s="498">
        <v>1</v>
      </c>
    </row>
    <row r="301" spans="16:20" s="497" customFormat="1" ht="15">
      <c r="P301" s="447"/>
      <c r="Q301" s="498">
        <v>4.5</v>
      </c>
      <c r="R301" s="498">
        <v>100</v>
      </c>
      <c r="S301" s="498">
        <v>600.01</v>
      </c>
      <c r="T301" s="498">
        <v>1</v>
      </c>
    </row>
    <row r="302" spans="16:20" s="497" customFormat="1" ht="15">
      <c r="P302" s="447"/>
      <c r="Q302" s="498">
        <v>4.5</v>
      </c>
      <c r="R302" s="498">
        <v>100</v>
      </c>
      <c r="S302" s="498">
        <v>10000</v>
      </c>
      <c r="T302" s="498">
        <v>1</v>
      </c>
    </row>
    <row r="303" spans="16:20" s="497" customFormat="1" ht="15">
      <c r="P303" s="447"/>
      <c r="Q303" s="498">
        <v>5.49</v>
      </c>
      <c r="R303" s="498">
        <v>0</v>
      </c>
      <c r="S303" s="498">
        <v>0</v>
      </c>
      <c r="T303" s="498">
        <v>1.5</v>
      </c>
    </row>
    <row r="304" spans="16:20" s="497" customFormat="1" ht="15">
      <c r="P304" s="447"/>
      <c r="Q304" s="498">
        <v>5.49</v>
      </c>
      <c r="R304" s="498">
        <v>0</v>
      </c>
      <c r="S304" s="498">
        <v>300</v>
      </c>
      <c r="T304" s="498">
        <v>1.5</v>
      </c>
    </row>
    <row r="305" spans="16:20" s="497" customFormat="1" ht="15">
      <c r="P305" s="447"/>
      <c r="Q305" s="498">
        <v>5.49</v>
      </c>
      <c r="R305" s="498">
        <v>0</v>
      </c>
      <c r="S305" s="498">
        <v>300.01</v>
      </c>
      <c r="T305" s="498">
        <v>1</v>
      </c>
    </row>
    <row r="306" spans="16:20" s="497" customFormat="1" ht="15">
      <c r="P306" s="447"/>
      <c r="Q306" s="498">
        <v>5.49</v>
      </c>
      <c r="R306" s="498">
        <v>0</v>
      </c>
      <c r="S306" s="498">
        <v>600</v>
      </c>
      <c r="T306" s="498">
        <v>1</v>
      </c>
    </row>
    <row r="307" spans="16:20" s="497" customFormat="1" ht="15">
      <c r="P307" s="447"/>
      <c r="Q307" s="498">
        <v>5.49</v>
      </c>
      <c r="R307" s="498">
        <v>0</v>
      </c>
      <c r="S307" s="498">
        <v>600.01</v>
      </c>
      <c r="T307" s="498">
        <v>1</v>
      </c>
    </row>
    <row r="308" spans="16:20" s="497" customFormat="1" ht="15">
      <c r="P308" s="447"/>
      <c r="Q308" s="498">
        <v>5.49</v>
      </c>
      <c r="R308" s="498">
        <v>0</v>
      </c>
      <c r="S308" s="498">
        <v>10000</v>
      </c>
      <c r="T308" s="498">
        <v>1</v>
      </c>
    </row>
    <row r="309" spans="16:20" s="497" customFormat="1" ht="15">
      <c r="P309" s="447"/>
      <c r="Q309" s="473">
        <v>5.49</v>
      </c>
      <c r="R309" s="473">
        <v>0.4</v>
      </c>
      <c r="S309" s="473">
        <v>0</v>
      </c>
      <c r="T309" s="473">
        <v>1.5</v>
      </c>
    </row>
    <row r="310" spans="16:20" s="497" customFormat="1" ht="15">
      <c r="P310" s="447"/>
      <c r="Q310" s="473">
        <v>5.49</v>
      </c>
      <c r="R310" s="473">
        <v>0.4</v>
      </c>
      <c r="S310" s="473">
        <v>300</v>
      </c>
      <c r="T310" s="473">
        <v>1.5</v>
      </c>
    </row>
    <row r="311" spans="16:20" s="497" customFormat="1" ht="15">
      <c r="P311" s="447"/>
      <c r="Q311" s="473">
        <v>5.49</v>
      </c>
      <c r="R311" s="473">
        <v>0.4</v>
      </c>
      <c r="S311" s="473">
        <v>300.01</v>
      </c>
      <c r="T311" s="473">
        <v>1</v>
      </c>
    </row>
    <row r="312" spans="16:20" s="497" customFormat="1" ht="15">
      <c r="P312" s="447"/>
      <c r="Q312" s="473">
        <v>5.49</v>
      </c>
      <c r="R312" s="473">
        <v>0.4</v>
      </c>
      <c r="S312" s="473">
        <v>600</v>
      </c>
      <c r="T312" s="473">
        <v>1</v>
      </c>
    </row>
    <row r="313" spans="16:20" s="497" customFormat="1" ht="15">
      <c r="P313" s="447"/>
      <c r="Q313" s="473">
        <v>5.49</v>
      </c>
      <c r="R313" s="473">
        <v>0.4</v>
      </c>
      <c r="S313" s="473">
        <v>600.01</v>
      </c>
      <c r="T313" s="473">
        <v>1</v>
      </c>
    </row>
    <row r="314" spans="16:20" s="497" customFormat="1" ht="15">
      <c r="P314" s="447"/>
      <c r="Q314" s="473">
        <v>5.49</v>
      </c>
      <c r="R314" s="473">
        <v>0.4</v>
      </c>
      <c r="S314" s="473">
        <v>10000</v>
      </c>
      <c r="T314" s="473">
        <v>1</v>
      </c>
    </row>
    <row r="315" spans="16:20" s="497" customFormat="1" ht="15">
      <c r="P315" s="447"/>
      <c r="Q315" s="473">
        <v>5.49</v>
      </c>
      <c r="R315" s="473">
        <v>0.8</v>
      </c>
      <c r="S315" s="473">
        <v>0</v>
      </c>
      <c r="T315" s="473">
        <v>1.5</v>
      </c>
    </row>
    <row r="316" spans="16:20" s="497" customFormat="1" ht="15">
      <c r="P316" s="447"/>
      <c r="Q316" s="473">
        <v>5.49</v>
      </c>
      <c r="R316" s="473">
        <v>0.8</v>
      </c>
      <c r="S316" s="473">
        <v>300</v>
      </c>
      <c r="T316" s="473">
        <v>1.5</v>
      </c>
    </row>
    <row r="317" spans="16:20" s="497" customFormat="1" ht="15">
      <c r="P317" s="447"/>
      <c r="Q317" s="473">
        <v>5.49</v>
      </c>
      <c r="R317" s="473">
        <v>0.8</v>
      </c>
      <c r="S317" s="473">
        <v>300.01</v>
      </c>
      <c r="T317" s="473">
        <v>1</v>
      </c>
    </row>
    <row r="318" spans="16:20" s="497" customFormat="1" ht="15">
      <c r="P318" s="447"/>
      <c r="Q318" s="473">
        <v>5.49</v>
      </c>
      <c r="R318" s="473">
        <v>0.8</v>
      </c>
      <c r="S318" s="473">
        <v>600</v>
      </c>
      <c r="T318" s="473">
        <v>1</v>
      </c>
    </row>
    <row r="319" spans="16:20" s="497" customFormat="1" ht="15">
      <c r="P319" s="447"/>
      <c r="Q319" s="473">
        <v>5.49</v>
      </c>
      <c r="R319" s="473">
        <v>0.8</v>
      </c>
      <c r="S319" s="473">
        <v>600.01</v>
      </c>
      <c r="T319" s="473">
        <v>1</v>
      </c>
    </row>
    <row r="320" spans="16:20" s="497" customFormat="1" ht="15">
      <c r="P320" s="447"/>
      <c r="Q320" s="473">
        <v>5.49</v>
      </c>
      <c r="R320" s="473">
        <v>0.8</v>
      </c>
      <c r="S320" s="473">
        <v>10000</v>
      </c>
      <c r="T320" s="473">
        <v>1</v>
      </c>
    </row>
    <row r="321" spans="16:20" ht="15">
      <c r="P321" s="447"/>
      <c r="Q321" s="473">
        <v>5.49</v>
      </c>
      <c r="R321" s="473">
        <v>1.2</v>
      </c>
      <c r="S321" s="473">
        <v>0</v>
      </c>
      <c r="T321" s="473">
        <v>1.5</v>
      </c>
    </row>
    <row r="322" spans="16:20" ht="15">
      <c r="P322" s="447"/>
      <c r="Q322" s="473">
        <v>5.49</v>
      </c>
      <c r="R322" s="473">
        <v>1.2</v>
      </c>
      <c r="S322" s="473">
        <v>300</v>
      </c>
      <c r="T322" s="473">
        <v>1.5</v>
      </c>
    </row>
    <row r="323" spans="16:20" ht="15">
      <c r="P323" s="447"/>
      <c r="Q323" s="473">
        <v>5.49</v>
      </c>
      <c r="R323" s="473">
        <v>1.2</v>
      </c>
      <c r="S323" s="473">
        <v>300.01</v>
      </c>
      <c r="T323" s="473">
        <v>1</v>
      </c>
    </row>
    <row r="324" spans="16:20" ht="15">
      <c r="P324" s="447"/>
      <c r="Q324" s="473">
        <v>5.49</v>
      </c>
      <c r="R324" s="473">
        <v>1.2</v>
      </c>
      <c r="S324" s="473">
        <v>600</v>
      </c>
      <c r="T324" s="473">
        <v>1</v>
      </c>
    </row>
    <row r="325" spans="16:20" ht="15">
      <c r="P325" s="447"/>
      <c r="Q325" s="473">
        <v>5.49</v>
      </c>
      <c r="R325" s="473">
        <v>1.2</v>
      </c>
      <c r="S325" s="473">
        <v>600.01</v>
      </c>
      <c r="T325" s="473">
        <v>1</v>
      </c>
    </row>
    <row r="326" spans="16:20" ht="15">
      <c r="P326" s="447"/>
      <c r="Q326" s="473">
        <v>5.49</v>
      </c>
      <c r="R326" s="473">
        <v>1.2</v>
      </c>
      <c r="S326" s="473">
        <v>10000</v>
      </c>
      <c r="T326" s="473">
        <v>1</v>
      </c>
    </row>
    <row r="327" spans="16:20" ht="15">
      <c r="P327" s="447"/>
      <c r="Q327" s="473">
        <v>5.49</v>
      </c>
      <c r="R327" s="473">
        <v>1.6</v>
      </c>
      <c r="S327" s="473">
        <v>0</v>
      </c>
      <c r="T327" s="473">
        <v>1.5</v>
      </c>
    </row>
    <row r="328" spans="16:20" ht="15">
      <c r="P328" s="447"/>
      <c r="Q328" s="473">
        <v>5.49</v>
      </c>
      <c r="R328" s="473">
        <v>1.6</v>
      </c>
      <c r="S328" s="473">
        <v>300</v>
      </c>
      <c r="T328" s="473">
        <v>1.5</v>
      </c>
    </row>
    <row r="329" spans="16:20" ht="15">
      <c r="P329" s="447"/>
      <c r="Q329" s="473">
        <v>5.49</v>
      </c>
      <c r="R329" s="473">
        <v>1.6</v>
      </c>
      <c r="S329" s="473">
        <v>300.01</v>
      </c>
      <c r="T329" s="473">
        <v>1</v>
      </c>
    </row>
    <row r="330" spans="16:20" ht="15">
      <c r="P330" s="447"/>
      <c r="Q330" s="473">
        <v>5.49</v>
      </c>
      <c r="R330" s="473">
        <v>1.6</v>
      </c>
      <c r="S330" s="473">
        <v>600</v>
      </c>
      <c r="T330" s="473">
        <v>1</v>
      </c>
    </row>
    <row r="331" spans="16:20" ht="15">
      <c r="P331" s="447"/>
      <c r="Q331" s="473">
        <v>5.49</v>
      </c>
      <c r="R331" s="473">
        <v>1.6</v>
      </c>
      <c r="S331" s="473">
        <v>600.01</v>
      </c>
      <c r="T331" s="473">
        <v>1</v>
      </c>
    </row>
    <row r="332" spans="16:20" ht="15">
      <c r="P332" s="447"/>
      <c r="Q332" s="473">
        <v>5.49</v>
      </c>
      <c r="R332" s="473">
        <v>1.6</v>
      </c>
      <c r="S332" s="473">
        <v>10000</v>
      </c>
      <c r="T332" s="473">
        <v>1</v>
      </c>
    </row>
    <row r="333" spans="16:20" ht="15">
      <c r="P333" s="447"/>
      <c r="Q333" s="473">
        <v>5.49</v>
      </c>
      <c r="R333" s="473">
        <v>2.4</v>
      </c>
      <c r="S333" s="473">
        <v>0</v>
      </c>
      <c r="T333" s="473">
        <v>1.5</v>
      </c>
    </row>
    <row r="334" spans="16:20" ht="15">
      <c r="P334" s="447"/>
      <c r="Q334" s="473">
        <v>5.49</v>
      </c>
      <c r="R334" s="473">
        <v>2.4</v>
      </c>
      <c r="S334" s="473">
        <v>300</v>
      </c>
      <c r="T334" s="473">
        <v>1.5</v>
      </c>
    </row>
    <row r="335" spans="16:20" ht="15">
      <c r="P335" s="447"/>
      <c r="Q335" s="473">
        <v>5.49</v>
      </c>
      <c r="R335" s="473">
        <v>2.4</v>
      </c>
      <c r="S335" s="473">
        <v>300.01</v>
      </c>
      <c r="T335" s="473">
        <v>1</v>
      </c>
    </row>
    <row r="336" spans="16:20" ht="15">
      <c r="P336" s="447"/>
      <c r="Q336" s="473">
        <v>5.49</v>
      </c>
      <c r="R336" s="473">
        <v>2.4</v>
      </c>
      <c r="S336" s="473">
        <v>600</v>
      </c>
      <c r="T336" s="473">
        <v>1</v>
      </c>
    </row>
    <row r="337" spans="16:20" ht="15">
      <c r="P337" s="447"/>
      <c r="Q337" s="473">
        <v>5.49</v>
      </c>
      <c r="R337" s="473">
        <v>2.4</v>
      </c>
      <c r="S337" s="473">
        <v>600.01</v>
      </c>
      <c r="T337" s="473">
        <v>1</v>
      </c>
    </row>
    <row r="338" spans="16:20" ht="15">
      <c r="P338" s="447"/>
      <c r="Q338" s="473">
        <v>5.49</v>
      </c>
      <c r="R338" s="473">
        <v>2.4</v>
      </c>
      <c r="S338" s="473">
        <v>10000</v>
      </c>
      <c r="T338" s="473">
        <v>1</v>
      </c>
    </row>
    <row r="339" spans="16:20" ht="15">
      <c r="P339" s="447"/>
      <c r="Q339" s="473">
        <v>5.49</v>
      </c>
      <c r="R339" s="473">
        <v>3.2</v>
      </c>
      <c r="S339" s="473">
        <v>0</v>
      </c>
      <c r="T339" s="473">
        <v>1.5</v>
      </c>
    </row>
    <row r="340" spans="16:20" ht="15">
      <c r="P340" s="447"/>
      <c r="Q340" s="473">
        <v>5.49</v>
      </c>
      <c r="R340" s="473">
        <v>3.2</v>
      </c>
      <c r="S340" s="473">
        <v>300</v>
      </c>
      <c r="T340" s="473">
        <v>1.5</v>
      </c>
    </row>
    <row r="341" spans="16:20" ht="15">
      <c r="P341" s="447"/>
      <c r="Q341" s="473">
        <v>5.49</v>
      </c>
      <c r="R341" s="473">
        <v>3.2</v>
      </c>
      <c r="S341" s="473">
        <v>300.01</v>
      </c>
      <c r="T341" s="473">
        <v>1</v>
      </c>
    </row>
    <row r="342" spans="16:20" ht="15">
      <c r="P342" s="447"/>
      <c r="Q342" s="473">
        <v>5.49</v>
      </c>
      <c r="R342" s="473">
        <v>3.2</v>
      </c>
      <c r="S342" s="473">
        <v>600</v>
      </c>
      <c r="T342" s="473">
        <v>1</v>
      </c>
    </row>
    <row r="343" spans="16:20" ht="15">
      <c r="P343" s="447"/>
      <c r="Q343" s="473">
        <v>5.49</v>
      </c>
      <c r="R343" s="473">
        <v>3.2</v>
      </c>
      <c r="S343" s="473">
        <v>600.01</v>
      </c>
      <c r="T343" s="473">
        <v>1</v>
      </c>
    </row>
    <row r="344" spans="16:20" ht="15">
      <c r="P344" s="447"/>
      <c r="Q344" s="473">
        <v>5.49</v>
      </c>
      <c r="R344" s="473">
        <v>3.2</v>
      </c>
      <c r="S344" s="473">
        <v>10000</v>
      </c>
      <c r="T344" s="473">
        <v>1</v>
      </c>
    </row>
    <row r="345" spans="16:20" ht="15">
      <c r="P345" s="447"/>
      <c r="Q345" s="473">
        <v>5.49</v>
      </c>
      <c r="R345" s="473">
        <v>4.8</v>
      </c>
      <c r="S345" s="473">
        <v>0</v>
      </c>
      <c r="T345" s="473">
        <v>1.6</v>
      </c>
    </row>
    <row r="346" spans="16:20" ht="15">
      <c r="P346" s="447"/>
      <c r="Q346" s="473">
        <v>5.49</v>
      </c>
      <c r="R346" s="473">
        <v>4.8</v>
      </c>
      <c r="S346" s="473">
        <v>300</v>
      </c>
      <c r="T346" s="473">
        <v>1.6</v>
      </c>
    </row>
    <row r="347" spans="16:20" ht="15">
      <c r="P347" s="447"/>
      <c r="Q347" s="473">
        <v>5.49</v>
      </c>
      <c r="R347" s="473">
        <v>4.8</v>
      </c>
      <c r="S347" s="473">
        <v>300.01</v>
      </c>
      <c r="T347" s="473">
        <v>1</v>
      </c>
    </row>
    <row r="348" spans="16:20" ht="15">
      <c r="P348" s="447"/>
      <c r="Q348" s="473">
        <v>5.49</v>
      </c>
      <c r="R348" s="473">
        <v>4.8</v>
      </c>
      <c r="S348" s="473">
        <v>600</v>
      </c>
      <c r="T348" s="473">
        <v>1</v>
      </c>
    </row>
    <row r="349" spans="16:20" ht="15">
      <c r="P349" s="447"/>
      <c r="Q349" s="473">
        <v>5.49</v>
      </c>
      <c r="R349" s="473">
        <v>4.8</v>
      </c>
      <c r="S349" s="473">
        <v>600.01</v>
      </c>
      <c r="T349" s="473">
        <v>1</v>
      </c>
    </row>
    <row r="350" spans="16:20" ht="15">
      <c r="P350" s="447"/>
      <c r="Q350" s="473">
        <v>5.49</v>
      </c>
      <c r="R350" s="473">
        <v>4.8</v>
      </c>
      <c r="S350" s="473">
        <v>10000</v>
      </c>
      <c r="T350" s="473">
        <v>1</v>
      </c>
    </row>
    <row r="351" spans="16:20" ht="15">
      <c r="P351" s="447"/>
      <c r="Q351" s="473">
        <v>5.49</v>
      </c>
      <c r="R351" s="473">
        <v>6.4</v>
      </c>
      <c r="S351" s="473">
        <v>0</v>
      </c>
      <c r="T351" s="473">
        <v>1.6</v>
      </c>
    </row>
    <row r="352" spans="16:20" ht="15">
      <c r="P352" s="447"/>
      <c r="Q352" s="473">
        <v>5.49</v>
      </c>
      <c r="R352" s="473">
        <v>6.4</v>
      </c>
      <c r="S352" s="473">
        <v>300</v>
      </c>
      <c r="T352" s="473">
        <v>1.6</v>
      </c>
    </row>
    <row r="353" spans="16:20" ht="15">
      <c r="P353" s="447"/>
      <c r="Q353" s="473">
        <v>5.49</v>
      </c>
      <c r="R353" s="473">
        <v>6.4</v>
      </c>
      <c r="S353" s="473">
        <v>300.01</v>
      </c>
      <c r="T353" s="473">
        <v>1</v>
      </c>
    </row>
    <row r="354" spans="16:20" ht="15">
      <c r="P354" s="447"/>
      <c r="Q354" s="473">
        <v>5.49</v>
      </c>
      <c r="R354" s="473">
        <v>6.4</v>
      </c>
      <c r="S354" s="473">
        <v>600</v>
      </c>
      <c r="T354" s="473">
        <v>1</v>
      </c>
    </row>
    <row r="355" spans="16:20" ht="15">
      <c r="P355" s="447"/>
      <c r="Q355" s="473">
        <v>5.49</v>
      </c>
      <c r="R355" s="473">
        <v>6.4</v>
      </c>
      <c r="S355" s="473">
        <v>600.01</v>
      </c>
      <c r="T355" s="473">
        <v>1</v>
      </c>
    </row>
    <row r="356" spans="16:20" ht="15">
      <c r="P356" s="447"/>
      <c r="Q356" s="473">
        <v>5.49</v>
      </c>
      <c r="R356" s="473">
        <v>6.4</v>
      </c>
      <c r="S356" s="473">
        <v>10000</v>
      </c>
      <c r="T356" s="473">
        <v>1</v>
      </c>
    </row>
    <row r="357" spans="16:20" ht="15">
      <c r="P357" s="447"/>
      <c r="Q357" s="473">
        <v>5.49</v>
      </c>
      <c r="R357" s="473">
        <v>100</v>
      </c>
      <c r="S357" s="473">
        <v>0</v>
      </c>
      <c r="T357" s="473">
        <v>1.6</v>
      </c>
    </row>
    <row r="358" spans="16:20" ht="15">
      <c r="P358" s="447"/>
      <c r="Q358" s="473">
        <v>5.49</v>
      </c>
      <c r="R358" s="473">
        <v>100</v>
      </c>
      <c r="S358" s="473">
        <v>300</v>
      </c>
      <c r="T358" s="473">
        <v>1.6</v>
      </c>
    </row>
    <row r="359" spans="16:20" ht="15">
      <c r="P359" s="447"/>
      <c r="Q359" s="473">
        <v>5.49</v>
      </c>
      <c r="R359" s="473">
        <v>100</v>
      </c>
      <c r="S359" s="473">
        <v>300.01</v>
      </c>
      <c r="T359" s="473">
        <v>1</v>
      </c>
    </row>
    <row r="360" spans="16:20" ht="15">
      <c r="P360" s="447"/>
      <c r="Q360" s="473">
        <v>5.49</v>
      </c>
      <c r="R360" s="473">
        <v>100</v>
      </c>
      <c r="S360" s="473">
        <v>600</v>
      </c>
      <c r="T360" s="473">
        <v>1</v>
      </c>
    </row>
    <row r="361" spans="16:20" ht="15">
      <c r="P361" s="447"/>
      <c r="Q361" s="473">
        <v>5.49</v>
      </c>
      <c r="R361" s="473">
        <v>100</v>
      </c>
      <c r="S361" s="473">
        <v>600.01</v>
      </c>
      <c r="T361" s="473">
        <v>1</v>
      </c>
    </row>
    <row r="362" spans="16:20" ht="15">
      <c r="P362" s="447"/>
      <c r="Q362" s="473">
        <v>5.49</v>
      </c>
      <c r="R362" s="473">
        <v>100</v>
      </c>
      <c r="S362" s="473">
        <v>10000</v>
      </c>
      <c r="T362" s="473">
        <v>1</v>
      </c>
    </row>
    <row r="363" spans="16:20" ht="15">
      <c r="P363" s="447"/>
      <c r="Q363" s="473">
        <v>5.5</v>
      </c>
      <c r="R363" s="473">
        <v>0</v>
      </c>
      <c r="S363" s="473">
        <v>0</v>
      </c>
      <c r="T363" s="473">
        <v>1.5</v>
      </c>
    </row>
    <row r="364" spans="16:20" ht="15">
      <c r="P364" s="447"/>
      <c r="Q364" s="473">
        <v>5.5</v>
      </c>
      <c r="R364" s="473">
        <v>0</v>
      </c>
      <c r="S364" s="473">
        <v>300</v>
      </c>
      <c r="T364" s="473">
        <v>1.5</v>
      </c>
    </row>
    <row r="365" spans="16:20" ht="15">
      <c r="P365" s="447"/>
      <c r="Q365" s="473">
        <v>5.5</v>
      </c>
      <c r="R365" s="473">
        <v>0</v>
      </c>
      <c r="S365" s="473">
        <v>300.01</v>
      </c>
      <c r="T365" s="473">
        <v>1</v>
      </c>
    </row>
    <row r="366" spans="16:20" ht="15">
      <c r="P366" s="447"/>
      <c r="Q366" s="473">
        <v>5.5</v>
      </c>
      <c r="R366" s="473">
        <v>0</v>
      </c>
      <c r="S366" s="473">
        <v>600</v>
      </c>
      <c r="T366" s="473">
        <v>1</v>
      </c>
    </row>
    <row r="367" spans="16:20" ht="15">
      <c r="P367" s="447"/>
      <c r="Q367" s="473">
        <v>5.5</v>
      </c>
      <c r="R367" s="473">
        <v>0</v>
      </c>
      <c r="S367" s="473">
        <v>600.01</v>
      </c>
      <c r="T367" s="473">
        <v>1</v>
      </c>
    </row>
    <row r="368" spans="16:20" ht="15">
      <c r="P368" s="447"/>
      <c r="Q368" s="473">
        <v>5.5</v>
      </c>
      <c r="R368" s="473">
        <v>0</v>
      </c>
      <c r="S368" s="473">
        <v>10000</v>
      </c>
      <c r="T368" s="473">
        <v>1</v>
      </c>
    </row>
    <row r="369" spans="16:20" ht="15">
      <c r="P369" s="447"/>
      <c r="Q369" s="473">
        <v>5.5</v>
      </c>
      <c r="R369" s="473">
        <v>0.4</v>
      </c>
      <c r="S369" s="473">
        <v>0</v>
      </c>
      <c r="T369" s="473">
        <v>1.5</v>
      </c>
    </row>
    <row r="370" spans="16:20" ht="15">
      <c r="P370" s="447"/>
      <c r="Q370" s="473">
        <v>5.5</v>
      </c>
      <c r="R370" s="473">
        <v>0.4</v>
      </c>
      <c r="S370" s="473">
        <v>300</v>
      </c>
      <c r="T370" s="473">
        <v>1.5</v>
      </c>
    </row>
    <row r="371" spans="16:20" ht="15">
      <c r="P371" s="447"/>
      <c r="Q371" s="473">
        <v>5.5</v>
      </c>
      <c r="R371" s="473">
        <v>0.4</v>
      </c>
      <c r="S371" s="473">
        <v>300.01</v>
      </c>
      <c r="T371" s="473">
        <v>1</v>
      </c>
    </row>
    <row r="372" spans="16:20" ht="15">
      <c r="P372" s="447"/>
      <c r="Q372" s="473">
        <v>5.5</v>
      </c>
      <c r="R372" s="473">
        <v>0.4</v>
      </c>
      <c r="S372" s="473">
        <v>600</v>
      </c>
      <c r="T372" s="473">
        <v>1</v>
      </c>
    </row>
    <row r="373" spans="16:20" ht="15">
      <c r="P373" s="447"/>
      <c r="Q373" s="473">
        <v>5.5</v>
      </c>
      <c r="R373" s="473">
        <v>0.4</v>
      </c>
      <c r="S373" s="473">
        <v>600.01</v>
      </c>
      <c r="T373" s="473">
        <v>1</v>
      </c>
    </row>
    <row r="374" spans="16:20" ht="15">
      <c r="P374" s="447"/>
      <c r="Q374" s="473">
        <v>5.5</v>
      </c>
      <c r="R374" s="473">
        <v>0.4</v>
      </c>
      <c r="S374" s="473">
        <v>10000</v>
      </c>
      <c r="T374" s="473">
        <v>1</v>
      </c>
    </row>
    <row r="375" spans="16:20" ht="15">
      <c r="P375" s="447"/>
      <c r="Q375" s="473">
        <v>5.5</v>
      </c>
      <c r="R375" s="473">
        <v>0.8</v>
      </c>
      <c r="S375" s="473">
        <v>0</v>
      </c>
      <c r="T375" s="473">
        <v>1.5</v>
      </c>
    </row>
    <row r="376" spans="16:20" ht="15">
      <c r="P376" s="447"/>
      <c r="Q376" s="473">
        <v>5.5</v>
      </c>
      <c r="R376" s="473">
        <v>0.8</v>
      </c>
      <c r="S376" s="473">
        <v>300</v>
      </c>
      <c r="T376" s="473">
        <v>1.5</v>
      </c>
    </row>
    <row r="377" spans="16:20" ht="15">
      <c r="P377" s="447"/>
      <c r="Q377" s="473">
        <v>5.5</v>
      </c>
      <c r="R377" s="473">
        <v>0.8</v>
      </c>
      <c r="S377" s="473">
        <v>300.01</v>
      </c>
      <c r="T377" s="473">
        <v>1</v>
      </c>
    </row>
    <row r="378" spans="16:20" ht="15">
      <c r="P378" s="447"/>
      <c r="Q378" s="473">
        <v>5.5</v>
      </c>
      <c r="R378" s="473">
        <v>0.8</v>
      </c>
      <c r="S378" s="473">
        <v>600</v>
      </c>
      <c r="T378" s="473">
        <v>1</v>
      </c>
    </row>
    <row r="379" spans="16:20" ht="15">
      <c r="P379" s="447"/>
      <c r="Q379" s="473">
        <v>5.5</v>
      </c>
      <c r="R379" s="473">
        <v>0.8</v>
      </c>
      <c r="S379" s="473">
        <v>600.01</v>
      </c>
      <c r="T379" s="473">
        <v>1</v>
      </c>
    </row>
    <row r="380" spans="16:20" ht="15">
      <c r="P380" s="447"/>
      <c r="Q380" s="473">
        <v>5.5</v>
      </c>
      <c r="R380" s="473">
        <v>0.8</v>
      </c>
      <c r="S380" s="473">
        <v>10000</v>
      </c>
      <c r="T380" s="473">
        <v>1</v>
      </c>
    </row>
    <row r="381" spans="16:20" ht="15">
      <c r="P381" s="447"/>
      <c r="Q381" s="473">
        <v>5.5</v>
      </c>
      <c r="R381" s="473">
        <v>1.2</v>
      </c>
      <c r="S381" s="473">
        <v>0</v>
      </c>
      <c r="T381" s="473">
        <v>1.5</v>
      </c>
    </row>
    <row r="382" spans="16:20" ht="15">
      <c r="P382" s="447"/>
      <c r="Q382" s="473">
        <v>5.5</v>
      </c>
      <c r="R382" s="473">
        <v>1.2</v>
      </c>
      <c r="S382" s="473">
        <v>300</v>
      </c>
      <c r="T382" s="473">
        <v>1.5</v>
      </c>
    </row>
    <row r="383" spans="16:20" ht="15">
      <c r="P383" s="447"/>
      <c r="Q383" s="473">
        <v>5.5</v>
      </c>
      <c r="R383" s="473">
        <v>1.2</v>
      </c>
      <c r="S383" s="473">
        <v>300.01</v>
      </c>
      <c r="T383" s="473">
        <v>1</v>
      </c>
    </row>
    <row r="384" spans="16:20" ht="15">
      <c r="P384" s="447"/>
      <c r="Q384" s="473">
        <v>5.5</v>
      </c>
      <c r="R384" s="473">
        <v>1.2</v>
      </c>
      <c r="S384" s="473">
        <v>600</v>
      </c>
      <c r="T384" s="473">
        <v>1</v>
      </c>
    </row>
    <row r="385" spans="16:20" ht="15">
      <c r="P385" s="447"/>
      <c r="Q385" s="473">
        <v>5.5</v>
      </c>
      <c r="R385" s="473">
        <v>1.2</v>
      </c>
      <c r="S385" s="473">
        <v>600.01</v>
      </c>
      <c r="T385" s="473">
        <v>1</v>
      </c>
    </row>
    <row r="386" spans="16:20" ht="15">
      <c r="P386" s="447"/>
      <c r="Q386" s="473">
        <v>5.5</v>
      </c>
      <c r="R386" s="473">
        <v>1.2</v>
      </c>
      <c r="S386" s="473">
        <v>10000</v>
      </c>
      <c r="T386" s="473">
        <v>1</v>
      </c>
    </row>
    <row r="387" spans="16:20" ht="15">
      <c r="P387" s="447"/>
      <c r="Q387" s="473">
        <v>5.5</v>
      </c>
      <c r="R387" s="473">
        <v>1.6</v>
      </c>
      <c r="S387" s="473">
        <v>0</v>
      </c>
      <c r="T387" s="473">
        <v>1.6</v>
      </c>
    </row>
    <row r="388" spans="16:20" ht="15">
      <c r="P388" s="447"/>
      <c r="Q388" s="473">
        <v>5.5</v>
      </c>
      <c r="R388" s="473">
        <v>1.6</v>
      </c>
      <c r="S388" s="473">
        <v>300</v>
      </c>
      <c r="T388" s="473">
        <v>1.6</v>
      </c>
    </row>
    <row r="389" spans="16:20" ht="15">
      <c r="P389" s="447"/>
      <c r="Q389" s="473">
        <v>5.5</v>
      </c>
      <c r="R389" s="473">
        <v>1.6</v>
      </c>
      <c r="S389" s="473">
        <v>300.01</v>
      </c>
      <c r="T389" s="473">
        <v>1</v>
      </c>
    </row>
    <row r="390" spans="16:20" ht="15">
      <c r="P390" s="447"/>
      <c r="Q390" s="473">
        <v>5.5</v>
      </c>
      <c r="R390" s="473">
        <v>1.6</v>
      </c>
      <c r="S390" s="473">
        <v>600</v>
      </c>
      <c r="T390" s="473">
        <v>1</v>
      </c>
    </row>
    <row r="391" spans="16:20" ht="15">
      <c r="P391" s="447"/>
      <c r="Q391" s="473">
        <v>5.5</v>
      </c>
      <c r="R391" s="473">
        <v>1.6</v>
      </c>
      <c r="S391" s="473">
        <v>600.01</v>
      </c>
      <c r="T391" s="473">
        <v>1</v>
      </c>
    </row>
    <row r="392" spans="16:20" ht="15">
      <c r="P392" s="447"/>
      <c r="Q392" s="473">
        <v>5.5</v>
      </c>
      <c r="R392" s="473">
        <v>1.6</v>
      </c>
      <c r="S392" s="473">
        <v>10000</v>
      </c>
      <c r="T392" s="473">
        <v>1</v>
      </c>
    </row>
    <row r="393" spans="16:20" ht="15">
      <c r="P393" s="447"/>
      <c r="Q393" s="473">
        <v>5.5</v>
      </c>
      <c r="R393" s="473">
        <v>2.4</v>
      </c>
      <c r="S393" s="473">
        <v>0</v>
      </c>
      <c r="T393" s="473">
        <v>1.6</v>
      </c>
    </row>
    <row r="394" spans="16:20" ht="15">
      <c r="P394" s="447"/>
      <c r="Q394" s="473">
        <v>5.5</v>
      </c>
      <c r="R394" s="473">
        <v>2.4</v>
      </c>
      <c r="S394" s="473">
        <v>300</v>
      </c>
      <c r="T394" s="473">
        <v>1.6</v>
      </c>
    </row>
    <row r="395" spans="16:20" ht="15">
      <c r="P395" s="447"/>
      <c r="Q395" s="473">
        <v>5.5</v>
      </c>
      <c r="R395" s="473">
        <v>2.4</v>
      </c>
      <c r="S395" s="473">
        <v>300.01</v>
      </c>
      <c r="T395" s="473">
        <v>1</v>
      </c>
    </row>
    <row r="396" spans="16:20" ht="15">
      <c r="P396" s="447"/>
      <c r="Q396" s="473">
        <v>5.5</v>
      </c>
      <c r="R396" s="473">
        <v>2.4</v>
      </c>
      <c r="S396" s="473">
        <v>600</v>
      </c>
      <c r="T396" s="473">
        <v>1</v>
      </c>
    </row>
    <row r="397" spans="16:20" ht="15">
      <c r="P397" s="447"/>
      <c r="Q397" s="473">
        <v>5.5</v>
      </c>
      <c r="R397" s="473">
        <v>2.4</v>
      </c>
      <c r="S397" s="473">
        <v>600.01</v>
      </c>
      <c r="T397" s="473">
        <v>1</v>
      </c>
    </row>
    <row r="398" spans="16:20" ht="15">
      <c r="P398" s="447"/>
      <c r="Q398" s="473">
        <v>5.5</v>
      </c>
      <c r="R398" s="473">
        <v>2.4</v>
      </c>
      <c r="S398" s="473">
        <v>10000</v>
      </c>
      <c r="T398" s="473">
        <v>1</v>
      </c>
    </row>
    <row r="399" spans="16:20" ht="15">
      <c r="P399" s="447"/>
      <c r="Q399" s="473">
        <v>5.5</v>
      </c>
      <c r="R399" s="473">
        <v>3.2</v>
      </c>
      <c r="S399" s="473">
        <v>0</v>
      </c>
      <c r="T399" s="473">
        <v>1.6</v>
      </c>
    </row>
    <row r="400" spans="16:20" ht="15">
      <c r="P400" s="447"/>
      <c r="Q400" s="473">
        <v>5.5</v>
      </c>
      <c r="R400" s="473">
        <v>3.2</v>
      </c>
      <c r="S400" s="473">
        <v>300</v>
      </c>
      <c r="T400" s="473">
        <v>1.6</v>
      </c>
    </row>
    <row r="401" spans="16:20" ht="15">
      <c r="P401" s="447"/>
      <c r="Q401" s="473">
        <v>5.5</v>
      </c>
      <c r="R401" s="473">
        <v>3.2</v>
      </c>
      <c r="S401" s="473">
        <v>300.01</v>
      </c>
      <c r="T401" s="473">
        <v>1</v>
      </c>
    </row>
    <row r="402" spans="16:20" ht="15">
      <c r="P402" s="447"/>
      <c r="Q402" s="473">
        <v>5.5</v>
      </c>
      <c r="R402" s="473">
        <v>3.2</v>
      </c>
      <c r="S402" s="473">
        <v>600</v>
      </c>
      <c r="T402" s="473">
        <v>1</v>
      </c>
    </row>
    <row r="403" spans="16:20" ht="15">
      <c r="P403" s="447"/>
      <c r="Q403" s="473">
        <v>5.5</v>
      </c>
      <c r="R403" s="473">
        <v>3.2</v>
      </c>
      <c r="S403" s="473">
        <v>600.01</v>
      </c>
      <c r="T403" s="473">
        <v>1</v>
      </c>
    </row>
    <row r="404" spans="16:20" ht="15">
      <c r="P404" s="447"/>
      <c r="Q404" s="473">
        <v>5.5</v>
      </c>
      <c r="R404" s="473">
        <v>3.2</v>
      </c>
      <c r="S404" s="473">
        <v>10000</v>
      </c>
      <c r="T404" s="473">
        <v>1</v>
      </c>
    </row>
    <row r="405" spans="16:20" ht="15">
      <c r="P405" s="447"/>
      <c r="Q405" s="473">
        <v>5.5</v>
      </c>
      <c r="R405" s="473">
        <v>4.8</v>
      </c>
      <c r="S405" s="473">
        <v>0</v>
      </c>
      <c r="T405" s="473">
        <v>1.6</v>
      </c>
    </row>
    <row r="406" spans="16:20" ht="15">
      <c r="P406" s="447"/>
      <c r="Q406" s="473">
        <v>5.5</v>
      </c>
      <c r="R406" s="473">
        <v>4.8</v>
      </c>
      <c r="S406" s="473">
        <v>300</v>
      </c>
      <c r="T406" s="473">
        <v>1.6</v>
      </c>
    </row>
    <row r="407" spans="16:20" ht="15">
      <c r="P407" s="447"/>
      <c r="Q407" s="473">
        <v>5.5</v>
      </c>
      <c r="R407" s="473">
        <v>4.8</v>
      </c>
      <c r="S407" s="473">
        <v>300.01</v>
      </c>
      <c r="T407" s="473">
        <v>1.2</v>
      </c>
    </row>
    <row r="408" spans="16:20" ht="15">
      <c r="P408" s="447"/>
      <c r="Q408" s="473">
        <v>5.5</v>
      </c>
      <c r="R408" s="473">
        <v>4.8</v>
      </c>
      <c r="S408" s="473">
        <v>600</v>
      </c>
      <c r="T408" s="473">
        <v>1.2</v>
      </c>
    </row>
    <row r="409" spans="16:20" ht="15">
      <c r="P409" s="447"/>
      <c r="Q409" s="473">
        <v>5.5</v>
      </c>
      <c r="R409" s="473">
        <v>4.8</v>
      </c>
      <c r="S409" s="473">
        <v>600.01</v>
      </c>
      <c r="T409" s="473">
        <v>1</v>
      </c>
    </row>
    <row r="410" spans="16:20" ht="15">
      <c r="P410" s="447"/>
      <c r="Q410" s="473">
        <v>5.5</v>
      </c>
      <c r="R410" s="473">
        <v>4.8</v>
      </c>
      <c r="S410" s="473">
        <v>10000</v>
      </c>
      <c r="T410" s="473">
        <v>1</v>
      </c>
    </row>
    <row r="411" spans="16:20" ht="15">
      <c r="P411" s="447"/>
      <c r="Q411" s="473">
        <v>5.5</v>
      </c>
      <c r="R411" s="473">
        <v>6.4</v>
      </c>
      <c r="S411" s="473">
        <v>0</v>
      </c>
      <c r="T411" s="473">
        <v>1.6</v>
      </c>
    </row>
    <row r="412" spans="16:20" ht="15">
      <c r="P412" s="447"/>
      <c r="Q412" s="473">
        <v>5.5</v>
      </c>
      <c r="R412" s="473">
        <v>6.4</v>
      </c>
      <c r="S412" s="473">
        <v>300</v>
      </c>
      <c r="T412" s="473">
        <v>1.6</v>
      </c>
    </row>
    <row r="413" spans="16:20" ht="15">
      <c r="P413" s="447"/>
      <c r="Q413" s="473">
        <v>5.5</v>
      </c>
      <c r="R413" s="473">
        <v>6.4</v>
      </c>
      <c r="S413" s="473">
        <v>300.01</v>
      </c>
      <c r="T413" s="473">
        <v>1.5</v>
      </c>
    </row>
    <row r="414" spans="16:20" ht="15">
      <c r="P414" s="447"/>
      <c r="Q414" s="473">
        <v>5.5</v>
      </c>
      <c r="R414" s="473">
        <v>6.4</v>
      </c>
      <c r="S414" s="473">
        <v>600</v>
      </c>
      <c r="T414" s="473">
        <v>1.5</v>
      </c>
    </row>
    <row r="415" spans="16:20" ht="15">
      <c r="P415" s="447"/>
      <c r="Q415" s="473">
        <v>5.5</v>
      </c>
      <c r="R415" s="473">
        <v>6.4</v>
      </c>
      <c r="S415" s="473">
        <v>600.01</v>
      </c>
      <c r="T415" s="473">
        <v>1.2</v>
      </c>
    </row>
    <row r="416" spans="16:20" ht="15">
      <c r="P416" s="447"/>
      <c r="Q416" s="473">
        <v>5.5</v>
      </c>
      <c r="R416" s="473">
        <v>6.4</v>
      </c>
      <c r="S416" s="473">
        <v>10000</v>
      </c>
      <c r="T416" s="473">
        <v>1.2</v>
      </c>
    </row>
    <row r="417" spans="16:20" ht="15">
      <c r="P417" s="447"/>
      <c r="Q417" s="473">
        <v>5.5</v>
      </c>
      <c r="R417" s="473">
        <v>100</v>
      </c>
      <c r="S417" s="473">
        <v>0</v>
      </c>
      <c r="T417" s="473">
        <v>1.6</v>
      </c>
    </row>
    <row r="418" spans="16:20" ht="15">
      <c r="P418" s="447"/>
      <c r="Q418" s="473">
        <v>5.5</v>
      </c>
      <c r="R418" s="473">
        <v>100</v>
      </c>
      <c r="S418" s="473">
        <v>300</v>
      </c>
      <c r="T418" s="473">
        <v>1.6</v>
      </c>
    </row>
    <row r="419" spans="16:20" ht="15">
      <c r="P419" s="447"/>
      <c r="Q419" s="473">
        <v>5.5</v>
      </c>
      <c r="R419" s="473">
        <v>100</v>
      </c>
      <c r="S419" s="473">
        <v>300.01</v>
      </c>
      <c r="T419" s="473">
        <v>1.5</v>
      </c>
    </row>
    <row r="420" spans="16:20" ht="15">
      <c r="P420" s="447"/>
      <c r="Q420" s="473">
        <v>5.5</v>
      </c>
      <c r="R420" s="473">
        <v>100</v>
      </c>
      <c r="S420" s="473">
        <v>600</v>
      </c>
      <c r="T420" s="473">
        <v>1.5</v>
      </c>
    </row>
    <row r="421" spans="16:20" ht="15">
      <c r="P421" s="447"/>
      <c r="Q421" s="473">
        <v>5.5</v>
      </c>
      <c r="R421" s="473">
        <v>100</v>
      </c>
      <c r="S421" s="473">
        <v>600.01</v>
      </c>
      <c r="T421" s="473">
        <v>1.2</v>
      </c>
    </row>
    <row r="422" spans="16:20" ht="15">
      <c r="P422" s="447"/>
      <c r="Q422" s="473">
        <v>5.5</v>
      </c>
      <c r="R422" s="473">
        <v>100</v>
      </c>
      <c r="S422" s="473">
        <v>10000</v>
      </c>
      <c r="T422" s="473">
        <v>1.2</v>
      </c>
    </row>
    <row r="423" spans="16:20" ht="15">
      <c r="P423" s="447"/>
      <c r="Q423" s="473">
        <v>6.49</v>
      </c>
      <c r="R423" s="473">
        <v>0</v>
      </c>
      <c r="S423" s="473">
        <v>0</v>
      </c>
      <c r="T423" s="473">
        <v>1.5</v>
      </c>
    </row>
    <row r="424" spans="16:20" ht="15">
      <c r="P424" s="447"/>
      <c r="Q424" s="473">
        <v>6.49</v>
      </c>
      <c r="R424" s="473">
        <v>0</v>
      </c>
      <c r="S424" s="473">
        <v>300</v>
      </c>
      <c r="T424" s="473">
        <v>1.5</v>
      </c>
    </row>
    <row r="425" spans="16:20" ht="15">
      <c r="P425" s="447"/>
      <c r="Q425" s="473">
        <v>6.49</v>
      </c>
      <c r="R425" s="473">
        <v>0</v>
      </c>
      <c r="S425" s="473">
        <v>300.01</v>
      </c>
      <c r="T425" s="473">
        <v>1</v>
      </c>
    </row>
    <row r="426" spans="16:20" ht="15">
      <c r="P426" s="447"/>
      <c r="Q426" s="473">
        <v>6.49</v>
      </c>
      <c r="R426" s="473">
        <v>0</v>
      </c>
      <c r="S426" s="473">
        <v>600</v>
      </c>
      <c r="T426" s="473">
        <v>1</v>
      </c>
    </row>
    <row r="427" spans="16:20" ht="15">
      <c r="P427" s="447"/>
      <c r="Q427" s="473">
        <v>6.49</v>
      </c>
      <c r="R427" s="473">
        <v>0</v>
      </c>
      <c r="S427" s="473">
        <v>600.01</v>
      </c>
      <c r="T427" s="473">
        <v>1</v>
      </c>
    </row>
    <row r="428" spans="16:20" ht="15">
      <c r="P428" s="447"/>
      <c r="Q428" s="473">
        <v>6.49</v>
      </c>
      <c r="R428" s="473">
        <v>0</v>
      </c>
      <c r="S428" s="473">
        <v>10000</v>
      </c>
      <c r="T428" s="473">
        <v>1</v>
      </c>
    </row>
    <row r="429" spans="16:20" ht="15">
      <c r="P429" s="447"/>
      <c r="Q429" s="473">
        <v>6.49</v>
      </c>
      <c r="R429" s="473">
        <v>0.4</v>
      </c>
      <c r="S429" s="473">
        <v>0</v>
      </c>
      <c r="T429" s="473">
        <v>1.5</v>
      </c>
    </row>
    <row r="430" spans="16:20" ht="15">
      <c r="P430" s="447"/>
      <c r="Q430" s="473">
        <v>6.49</v>
      </c>
      <c r="R430" s="473">
        <v>0.4</v>
      </c>
      <c r="S430" s="473">
        <v>300</v>
      </c>
      <c r="T430" s="473">
        <v>1.5</v>
      </c>
    </row>
    <row r="431" spans="16:20" ht="15">
      <c r="P431" s="447"/>
      <c r="Q431" s="473">
        <v>6.49</v>
      </c>
      <c r="R431" s="473">
        <v>0.4</v>
      </c>
      <c r="S431" s="473">
        <v>300.01</v>
      </c>
      <c r="T431" s="473">
        <v>1</v>
      </c>
    </row>
    <row r="432" spans="16:20" ht="15">
      <c r="P432" s="447"/>
      <c r="Q432" s="473">
        <v>6.49</v>
      </c>
      <c r="R432" s="473">
        <v>0.4</v>
      </c>
      <c r="S432" s="473">
        <v>600</v>
      </c>
      <c r="T432" s="473">
        <v>1</v>
      </c>
    </row>
    <row r="433" spans="16:20" ht="15">
      <c r="P433" s="447"/>
      <c r="Q433" s="473">
        <v>6.49</v>
      </c>
      <c r="R433" s="473">
        <v>0.4</v>
      </c>
      <c r="S433" s="473">
        <v>600.01</v>
      </c>
      <c r="T433" s="473">
        <v>1</v>
      </c>
    </row>
    <row r="434" spans="16:20" ht="15">
      <c r="P434" s="447"/>
      <c r="Q434" s="473">
        <v>6.49</v>
      </c>
      <c r="R434" s="473">
        <v>0.4</v>
      </c>
      <c r="S434" s="473">
        <v>10000</v>
      </c>
      <c r="T434" s="473">
        <v>1</v>
      </c>
    </row>
    <row r="435" spans="16:20" ht="15">
      <c r="P435" s="447"/>
      <c r="Q435" s="473">
        <v>6.49</v>
      </c>
      <c r="R435" s="473">
        <v>0.8</v>
      </c>
      <c r="S435" s="473">
        <v>0</v>
      </c>
      <c r="T435" s="473">
        <v>1.5</v>
      </c>
    </row>
    <row r="436" spans="16:20" ht="15">
      <c r="P436" s="447"/>
      <c r="Q436" s="473">
        <v>6.49</v>
      </c>
      <c r="R436" s="473">
        <v>0.8</v>
      </c>
      <c r="S436" s="473">
        <v>300</v>
      </c>
      <c r="T436" s="473">
        <v>1.5</v>
      </c>
    </row>
    <row r="437" spans="16:20" ht="15">
      <c r="P437" s="447"/>
      <c r="Q437" s="473">
        <v>6.49</v>
      </c>
      <c r="R437" s="473">
        <v>0.8</v>
      </c>
      <c r="S437" s="473">
        <v>300.01</v>
      </c>
      <c r="T437" s="473">
        <v>1</v>
      </c>
    </row>
    <row r="438" spans="16:20" ht="15">
      <c r="P438" s="447"/>
      <c r="Q438" s="473">
        <v>6.49</v>
      </c>
      <c r="R438" s="473">
        <v>0.8</v>
      </c>
      <c r="S438" s="473">
        <v>600</v>
      </c>
      <c r="T438" s="473">
        <v>1</v>
      </c>
    </row>
    <row r="439" spans="16:20" ht="15">
      <c r="P439" s="447"/>
      <c r="Q439" s="473">
        <v>6.49</v>
      </c>
      <c r="R439" s="473">
        <v>0.8</v>
      </c>
      <c r="S439" s="473">
        <v>600.01</v>
      </c>
      <c r="T439" s="473">
        <v>1</v>
      </c>
    </row>
    <row r="440" spans="16:20" ht="15">
      <c r="P440" s="447"/>
      <c r="Q440" s="473">
        <v>6.49</v>
      </c>
      <c r="R440" s="473">
        <v>0.8</v>
      </c>
      <c r="S440" s="473">
        <v>10000</v>
      </c>
      <c r="T440" s="473">
        <v>1</v>
      </c>
    </row>
    <row r="441" spans="16:20" ht="15">
      <c r="P441" s="447"/>
      <c r="Q441" s="473">
        <v>6.49</v>
      </c>
      <c r="R441" s="473">
        <v>1.2</v>
      </c>
      <c r="S441" s="473">
        <v>0</v>
      </c>
      <c r="T441" s="473">
        <v>1.5</v>
      </c>
    </row>
    <row r="442" spans="16:20" ht="15">
      <c r="P442" s="447"/>
      <c r="Q442" s="473">
        <v>6.49</v>
      </c>
      <c r="R442" s="473">
        <v>1.2</v>
      </c>
      <c r="S442" s="473">
        <v>300</v>
      </c>
      <c r="T442" s="473">
        <v>1.5</v>
      </c>
    </row>
    <row r="443" spans="16:20" ht="15">
      <c r="P443" s="447"/>
      <c r="Q443" s="473">
        <v>6.49</v>
      </c>
      <c r="R443" s="473">
        <v>1.2</v>
      </c>
      <c r="S443" s="473">
        <v>300.01</v>
      </c>
      <c r="T443" s="473">
        <v>1</v>
      </c>
    </row>
    <row r="444" spans="16:20" ht="15">
      <c r="P444" s="447"/>
      <c r="Q444" s="473">
        <v>6.49</v>
      </c>
      <c r="R444" s="473">
        <v>1.2</v>
      </c>
      <c r="S444" s="473">
        <v>600</v>
      </c>
      <c r="T444" s="473">
        <v>1</v>
      </c>
    </row>
    <row r="445" spans="16:20" ht="15">
      <c r="P445" s="447"/>
      <c r="Q445" s="473">
        <v>6.49</v>
      </c>
      <c r="R445" s="473">
        <v>1.2</v>
      </c>
      <c r="S445" s="473">
        <v>600.01</v>
      </c>
      <c r="T445" s="473">
        <v>1</v>
      </c>
    </row>
    <row r="446" spans="16:20" ht="15">
      <c r="P446" s="447"/>
      <c r="Q446" s="473">
        <v>6.49</v>
      </c>
      <c r="R446" s="473">
        <v>1.2</v>
      </c>
      <c r="S446" s="473">
        <v>10000</v>
      </c>
      <c r="T446" s="473">
        <v>1</v>
      </c>
    </row>
    <row r="447" spans="16:20" ht="15">
      <c r="P447" s="447"/>
      <c r="Q447" s="473">
        <v>6.49</v>
      </c>
      <c r="R447" s="473">
        <v>1.6</v>
      </c>
      <c r="S447" s="473">
        <v>0</v>
      </c>
      <c r="T447" s="473">
        <v>1.6</v>
      </c>
    </row>
    <row r="448" spans="16:20" ht="15">
      <c r="P448" s="447"/>
      <c r="Q448" s="473">
        <v>6.49</v>
      </c>
      <c r="R448" s="473">
        <v>1.6</v>
      </c>
      <c r="S448" s="473">
        <v>300</v>
      </c>
      <c r="T448" s="473">
        <v>1.6</v>
      </c>
    </row>
    <row r="449" spans="16:20" ht="15">
      <c r="P449" s="447"/>
      <c r="Q449" s="473">
        <v>6.49</v>
      </c>
      <c r="R449" s="473">
        <v>1.6</v>
      </c>
      <c r="S449" s="473">
        <v>300.01</v>
      </c>
      <c r="T449" s="473">
        <v>1</v>
      </c>
    </row>
    <row r="450" spans="16:20" ht="15">
      <c r="P450" s="447"/>
      <c r="Q450" s="473">
        <v>6.49</v>
      </c>
      <c r="R450" s="473">
        <v>1.6</v>
      </c>
      <c r="S450" s="473">
        <v>600</v>
      </c>
      <c r="T450" s="473">
        <v>1</v>
      </c>
    </row>
    <row r="451" spans="16:20" ht="15">
      <c r="P451" s="447"/>
      <c r="Q451" s="473">
        <v>6.49</v>
      </c>
      <c r="R451" s="473">
        <v>1.6</v>
      </c>
      <c r="S451" s="473">
        <v>600.01</v>
      </c>
      <c r="T451" s="473">
        <v>1</v>
      </c>
    </row>
    <row r="452" spans="16:20" ht="15">
      <c r="P452" s="447"/>
      <c r="Q452" s="473">
        <v>6.49</v>
      </c>
      <c r="R452" s="473">
        <v>1.6</v>
      </c>
      <c r="S452" s="473">
        <v>10000</v>
      </c>
      <c r="T452" s="473">
        <v>1</v>
      </c>
    </row>
    <row r="453" spans="16:20" ht="15">
      <c r="P453" s="447"/>
      <c r="Q453" s="473">
        <v>6.49</v>
      </c>
      <c r="R453" s="473">
        <v>2.4</v>
      </c>
      <c r="S453" s="473">
        <v>0</v>
      </c>
      <c r="T453" s="473">
        <v>1.6</v>
      </c>
    </row>
    <row r="454" spans="16:20" ht="15">
      <c r="P454" s="447"/>
      <c r="Q454" s="473">
        <v>6.49</v>
      </c>
      <c r="R454" s="473">
        <v>2.4</v>
      </c>
      <c r="S454" s="473">
        <v>300</v>
      </c>
      <c r="T454" s="473">
        <v>1.6</v>
      </c>
    </row>
    <row r="455" spans="16:20" ht="15">
      <c r="P455" s="447"/>
      <c r="Q455" s="473">
        <v>6.49</v>
      </c>
      <c r="R455" s="473">
        <v>2.4</v>
      </c>
      <c r="S455" s="473">
        <v>300.01</v>
      </c>
      <c r="T455" s="473">
        <v>1</v>
      </c>
    </row>
    <row r="456" spans="16:20" ht="15">
      <c r="P456" s="447"/>
      <c r="Q456" s="473">
        <v>6.49</v>
      </c>
      <c r="R456" s="473">
        <v>2.4</v>
      </c>
      <c r="S456" s="473">
        <v>600</v>
      </c>
      <c r="T456" s="473">
        <v>1</v>
      </c>
    </row>
    <row r="457" spans="16:20" ht="15">
      <c r="P457" s="447"/>
      <c r="Q457" s="473">
        <v>6.49</v>
      </c>
      <c r="R457" s="473">
        <v>2.4</v>
      </c>
      <c r="S457" s="473">
        <v>600.01</v>
      </c>
      <c r="T457" s="473">
        <v>1</v>
      </c>
    </row>
    <row r="458" spans="16:20" ht="15">
      <c r="P458" s="447"/>
      <c r="Q458" s="473">
        <v>6.49</v>
      </c>
      <c r="R458" s="473">
        <v>2.4</v>
      </c>
      <c r="S458" s="473">
        <v>10000</v>
      </c>
      <c r="T458" s="473">
        <v>1</v>
      </c>
    </row>
    <row r="459" spans="16:20" ht="15">
      <c r="P459" s="447"/>
      <c r="Q459" s="473">
        <v>6.49</v>
      </c>
      <c r="R459" s="473">
        <v>3.2</v>
      </c>
      <c r="S459" s="473">
        <v>0</v>
      </c>
      <c r="T459" s="473">
        <v>1.6</v>
      </c>
    </row>
    <row r="460" spans="16:20" ht="15">
      <c r="P460" s="447"/>
      <c r="Q460" s="473">
        <v>6.49</v>
      </c>
      <c r="R460" s="473">
        <v>3.2</v>
      </c>
      <c r="S460" s="473">
        <v>300</v>
      </c>
      <c r="T460" s="473">
        <v>1.6</v>
      </c>
    </row>
    <row r="461" spans="16:20" ht="15">
      <c r="P461" s="447"/>
      <c r="Q461" s="473">
        <v>6.49</v>
      </c>
      <c r="R461" s="473">
        <v>3.2</v>
      </c>
      <c r="S461" s="473">
        <v>300.01</v>
      </c>
      <c r="T461" s="473">
        <v>1</v>
      </c>
    </row>
    <row r="462" spans="16:20" ht="15">
      <c r="P462" s="447"/>
      <c r="Q462" s="473">
        <v>6.49</v>
      </c>
      <c r="R462" s="473">
        <v>3.2</v>
      </c>
      <c r="S462" s="473">
        <v>600</v>
      </c>
      <c r="T462" s="473">
        <v>1</v>
      </c>
    </row>
    <row r="463" spans="16:20" ht="15">
      <c r="P463" s="447"/>
      <c r="Q463" s="473">
        <v>6.49</v>
      </c>
      <c r="R463" s="473">
        <v>3.2</v>
      </c>
      <c r="S463" s="473">
        <v>600.01</v>
      </c>
      <c r="T463" s="473">
        <v>1</v>
      </c>
    </row>
    <row r="464" spans="16:20" ht="15">
      <c r="P464" s="447"/>
      <c r="Q464" s="473">
        <v>6.49</v>
      </c>
      <c r="R464" s="473">
        <v>3.2</v>
      </c>
      <c r="S464" s="473">
        <v>10000</v>
      </c>
      <c r="T464" s="473">
        <v>1</v>
      </c>
    </row>
    <row r="465" spans="16:20" ht="15">
      <c r="P465" s="447"/>
      <c r="Q465" s="473">
        <v>6.49</v>
      </c>
      <c r="R465" s="473">
        <v>4.8</v>
      </c>
      <c r="S465" s="473">
        <v>0</v>
      </c>
      <c r="T465" s="473">
        <v>1.6</v>
      </c>
    </row>
    <row r="466" spans="16:20" ht="15">
      <c r="P466" s="447"/>
      <c r="Q466" s="473">
        <v>6.49</v>
      </c>
      <c r="R466" s="473">
        <v>4.8</v>
      </c>
      <c r="S466" s="473">
        <v>300</v>
      </c>
      <c r="T466" s="473">
        <v>1.6</v>
      </c>
    </row>
    <row r="467" spans="16:20" ht="15">
      <c r="P467" s="447"/>
      <c r="Q467" s="473">
        <v>6.49</v>
      </c>
      <c r="R467" s="473">
        <v>4.8</v>
      </c>
      <c r="S467" s="473">
        <v>300.01</v>
      </c>
      <c r="T467" s="473">
        <v>1.2</v>
      </c>
    </row>
    <row r="468" spans="16:20" ht="15">
      <c r="P468" s="447"/>
      <c r="Q468" s="473">
        <v>6.49</v>
      </c>
      <c r="R468" s="473">
        <v>4.8</v>
      </c>
      <c r="S468" s="473">
        <v>600</v>
      </c>
      <c r="T468" s="473">
        <v>1.2</v>
      </c>
    </row>
    <row r="469" spans="16:20" ht="15">
      <c r="P469" s="447"/>
      <c r="Q469" s="473">
        <v>6.49</v>
      </c>
      <c r="R469" s="473">
        <v>4.8</v>
      </c>
      <c r="S469" s="473">
        <v>600.01</v>
      </c>
      <c r="T469" s="473">
        <v>1</v>
      </c>
    </row>
    <row r="470" spans="16:20" ht="15">
      <c r="P470" s="447"/>
      <c r="Q470" s="473">
        <v>6.49</v>
      </c>
      <c r="R470" s="473">
        <v>4.8</v>
      </c>
      <c r="S470" s="473">
        <v>10000</v>
      </c>
      <c r="T470" s="473">
        <v>1</v>
      </c>
    </row>
    <row r="471" spans="16:20" ht="15">
      <c r="P471" s="447"/>
      <c r="Q471" s="473">
        <v>6.49</v>
      </c>
      <c r="R471" s="473">
        <v>6.4</v>
      </c>
      <c r="S471" s="473">
        <v>0</v>
      </c>
      <c r="T471" s="473">
        <v>1.6</v>
      </c>
    </row>
    <row r="472" spans="16:20" ht="15">
      <c r="P472" s="447"/>
      <c r="Q472" s="473">
        <v>6.49</v>
      </c>
      <c r="R472" s="473">
        <v>6.4</v>
      </c>
      <c r="S472" s="473">
        <v>300</v>
      </c>
      <c r="T472" s="473">
        <v>1.6</v>
      </c>
    </row>
    <row r="473" spans="16:20" ht="15">
      <c r="P473" s="447"/>
      <c r="Q473" s="473">
        <v>6.49</v>
      </c>
      <c r="R473" s="473">
        <v>6.4</v>
      </c>
      <c r="S473" s="473">
        <v>300.01</v>
      </c>
      <c r="T473" s="473">
        <v>1.5</v>
      </c>
    </row>
    <row r="474" spans="16:20" ht="15">
      <c r="P474" s="447"/>
      <c r="Q474" s="473">
        <v>6.49</v>
      </c>
      <c r="R474" s="473">
        <v>6.4</v>
      </c>
      <c r="S474" s="473">
        <v>600</v>
      </c>
      <c r="T474" s="473">
        <v>1.5</v>
      </c>
    </row>
    <row r="475" spans="16:20" ht="15">
      <c r="P475" s="447"/>
      <c r="Q475" s="473">
        <v>6.49</v>
      </c>
      <c r="R475" s="473">
        <v>6.4</v>
      </c>
      <c r="S475" s="473">
        <v>600.01</v>
      </c>
      <c r="T475" s="473">
        <v>1.2</v>
      </c>
    </row>
    <row r="476" spans="16:20" ht="15">
      <c r="P476" s="447"/>
      <c r="Q476" s="473">
        <v>6.49</v>
      </c>
      <c r="R476" s="473">
        <v>6.4</v>
      </c>
      <c r="S476" s="473">
        <v>10000</v>
      </c>
      <c r="T476" s="473">
        <v>1.2</v>
      </c>
    </row>
    <row r="477" spans="16:20" ht="15">
      <c r="P477" s="447"/>
      <c r="Q477" s="473">
        <v>6.49</v>
      </c>
      <c r="R477" s="473">
        <v>100</v>
      </c>
      <c r="S477" s="473">
        <v>0</v>
      </c>
      <c r="T477" s="473">
        <v>1.6</v>
      </c>
    </row>
    <row r="478" spans="16:20" ht="15">
      <c r="P478" s="447"/>
      <c r="Q478" s="473">
        <v>6.49</v>
      </c>
      <c r="R478" s="473">
        <v>100</v>
      </c>
      <c r="S478" s="473">
        <v>300</v>
      </c>
      <c r="T478" s="473">
        <v>1.6</v>
      </c>
    </row>
    <row r="479" spans="16:20" ht="15">
      <c r="P479" s="447"/>
      <c r="Q479" s="473">
        <v>6.49</v>
      </c>
      <c r="R479" s="473">
        <v>100</v>
      </c>
      <c r="S479" s="473">
        <v>300.01</v>
      </c>
      <c r="T479" s="473">
        <v>1.5</v>
      </c>
    </row>
    <row r="480" spans="16:20" ht="15">
      <c r="P480" s="447"/>
      <c r="Q480" s="473">
        <v>6.49</v>
      </c>
      <c r="R480" s="473">
        <v>100</v>
      </c>
      <c r="S480" s="473">
        <v>600</v>
      </c>
      <c r="T480" s="473">
        <v>1.5</v>
      </c>
    </row>
    <row r="481" spans="16:20" ht="15">
      <c r="P481" s="447"/>
      <c r="Q481" s="473">
        <v>6.49</v>
      </c>
      <c r="R481" s="473">
        <v>100</v>
      </c>
      <c r="S481" s="473">
        <v>600.01</v>
      </c>
      <c r="T481" s="473">
        <v>1.2</v>
      </c>
    </row>
    <row r="482" spans="16:20" ht="15">
      <c r="P482" s="447"/>
      <c r="Q482" s="473">
        <v>6.49</v>
      </c>
      <c r="R482" s="473">
        <v>100</v>
      </c>
      <c r="S482" s="473">
        <v>10000</v>
      </c>
      <c r="T482" s="473">
        <v>1.2</v>
      </c>
    </row>
    <row r="483" spans="16:20" ht="15">
      <c r="P483" s="447"/>
      <c r="Q483" s="473">
        <v>6.5</v>
      </c>
      <c r="R483" s="473">
        <v>0</v>
      </c>
      <c r="S483" s="473">
        <v>0</v>
      </c>
      <c r="T483" s="473">
        <v>1.6</v>
      </c>
    </row>
    <row r="484" spans="16:20" ht="15">
      <c r="P484" s="447"/>
      <c r="Q484" s="473">
        <v>6.5</v>
      </c>
      <c r="R484" s="473">
        <v>0</v>
      </c>
      <c r="S484" s="473">
        <v>300</v>
      </c>
      <c r="T484" s="473">
        <v>1.6</v>
      </c>
    </row>
    <row r="485" spans="16:20" ht="15">
      <c r="P485" s="447"/>
      <c r="Q485" s="473">
        <v>6.5</v>
      </c>
      <c r="R485" s="473">
        <v>0</v>
      </c>
      <c r="S485" s="473">
        <v>300.01</v>
      </c>
      <c r="T485" s="473">
        <v>1</v>
      </c>
    </row>
    <row r="486" spans="16:20" ht="15">
      <c r="P486" s="447"/>
      <c r="Q486" s="473">
        <v>6.5</v>
      </c>
      <c r="R486" s="473">
        <v>0</v>
      </c>
      <c r="S486" s="473">
        <v>600</v>
      </c>
      <c r="T486" s="473">
        <v>1</v>
      </c>
    </row>
    <row r="487" spans="16:20" ht="15">
      <c r="P487" s="447"/>
      <c r="Q487" s="473">
        <v>6.5</v>
      </c>
      <c r="R487" s="473">
        <v>0</v>
      </c>
      <c r="S487" s="473">
        <v>600.01</v>
      </c>
      <c r="T487" s="473">
        <v>1</v>
      </c>
    </row>
    <row r="488" spans="16:20" ht="15">
      <c r="P488" s="447"/>
      <c r="Q488" s="473">
        <v>6.5</v>
      </c>
      <c r="R488" s="473">
        <v>0</v>
      </c>
      <c r="S488" s="473">
        <v>10000</v>
      </c>
      <c r="T488" s="473">
        <v>1</v>
      </c>
    </row>
    <row r="489" spans="16:20" ht="15">
      <c r="P489" s="447"/>
      <c r="Q489" s="473">
        <v>6.5</v>
      </c>
      <c r="R489" s="473">
        <v>0.4</v>
      </c>
      <c r="S489" s="473">
        <v>0</v>
      </c>
      <c r="T489" s="473">
        <v>1.6</v>
      </c>
    </row>
    <row r="490" spans="16:20" ht="15">
      <c r="P490" s="447"/>
      <c r="Q490" s="473">
        <v>6.5</v>
      </c>
      <c r="R490" s="473">
        <v>0.4</v>
      </c>
      <c r="S490" s="473">
        <v>300</v>
      </c>
      <c r="T490" s="473">
        <v>1.6</v>
      </c>
    </row>
    <row r="491" spans="16:20" ht="15">
      <c r="P491" s="447"/>
      <c r="Q491" s="473">
        <v>6.5</v>
      </c>
      <c r="R491" s="473">
        <v>0.4</v>
      </c>
      <c r="S491" s="473">
        <v>300.01</v>
      </c>
      <c r="T491" s="473">
        <v>1</v>
      </c>
    </row>
    <row r="492" spans="16:20" ht="15">
      <c r="P492" s="447"/>
      <c r="Q492" s="473">
        <v>6.5</v>
      </c>
      <c r="R492" s="473">
        <v>0.4</v>
      </c>
      <c r="S492" s="473">
        <v>600</v>
      </c>
      <c r="T492" s="473">
        <v>1</v>
      </c>
    </row>
    <row r="493" spans="16:20" ht="15">
      <c r="P493" s="447"/>
      <c r="Q493" s="473">
        <v>6.5</v>
      </c>
      <c r="R493" s="473">
        <v>0.4</v>
      </c>
      <c r="S493" s="473">
        <v>600.01</v>
      </c>
      <c r="T493" s="473">
        <v>1</v>
      </c>
    </row>
    <row r="494" spans="16:20" ht="15">
      <c r="P494" s="447"/>
      <c r="Q494" s="473">
        <v>6.5</v>
      </c>
      <c r="R494" s="473">
        <v>0.4</v>
      </c>
      <c r="S494" s="473">
        <v>10000</v>
      </c>
      <c r="T494" s="473">
        <v>1</v>
      </c>
    </row>
    <row r="495" spans="16:20" ht="15">
      <c r="P495" s="447"/>
      <c r="Q495" s="473">
        <v>6.5</v>
      </c>
      <c r="R495" s="473">
        <v>0.8</v>
      </c>
      <c r="S495" s="473">
        <v>0</v>
      </c>
      <c r="T495" s="473">
        <v>1.6</v>
      </c>
    </row>
    <row r="496" spans="16:20" ht="15">
      <c r="P496" s="447"/>
      <c r="Q496" s="473">
        <v>6.5</v>
      </c>
      <c r="R496" s="473">
        <v>0.8</v>
      </c>
      <c r="S496" s="473">
        <v>300</v>
      </c>
      <c r="T496" s="473">
        <v>1.6</v>
      </c>
    </row>
    <row r="497" spans="16:20" ht="15">
      <c r="P497" s="447"/>
      <c r="Q497" s="473">
        <v>6.5</v>
      </c>
      <c r="R497" s="473">
        <v>0.8</v>
      </c>
      <c r="S497" s="473">
        <v>300.01</v>
      </c>
      <c r="T497" s="473">
        <v>1</v>
      </c>
    </row>
    <row r="498" spans="16:20" ht="15">
      <c r="P498" s="447"/>
      <c r="Q498" s="473">
        <v>6.5</v>
      </c>
      <c r="R498" s="473">
        <v>0.8</v>
      </c>
      <c r="S498" s="473">
        <v>600</v>
      </c>
      <c r="T498" s="473">
        <v>1</v>
      </c>
    </row>
    <row r="499" spans="16:20" ht="15">
      <c r="P499" s="447"/>
      <c r="Q499" s="473">
        <v>6.5</v>
      </c>
      <c r="R499" s="473">
        <v>0.8</v>
      </c>
      <c r="S499" s="473">
        <v>600.01</v>
      </c>
      <c r="T499" s="473">
        <v>1</v>
      </c>
    </row>
    <row r="500" spans="16:20" ht="15">
      <c r="P500" s="447"/>
      <c r="Q500" s="473">
        <v>6.5</v>
      </c>
      <c r="R500" s="473">
        <v>0.8</v>
      </c>
      <c r="S500" s="473">
        <v>10000</v>
      </c>
      <c r="T500" s="473">
        <v>1</v>
      </c>
    </row>
    <row r="501" spans="16:20" ht="15">
      <c r="P501" s="447"/>
      <c r="Q501" s="473">
        <v>6.5</v>
      </c>
      <c r="R501" s="473">
        <v>1.2</v>
      </c>
      <c r="S501" s="473">
        <v>0</v>
      </c>
      <c r="T501" s="473">
        <v>1.6</v>
      </c>
    </row>
    <row r="502" spans="16:20" ht="15">
      <c r="P502" s="447"/>
      <c r="Q502" s="473">
        <v>6.5</v>
      </c>
      <c r="R502" s="473">
        <v>1.2</v>
      </c>
      <c r="S502" s="473">
        <v>300</v>
      </c>
      <c r="T502" s="473">
        <v>1.6</v>
      </c>
    </row>
    <row r="503" spans="16:20" ht="15">
      <c r="P503" s="447"/>
      <c r="Q503" s="473">
        <v>6.5</v>
      </c>
      <c r="R503" s="473">
        <v>1.2</v>
      </c>
      <c r="S503" s="473">
        <v>300.01</v>
      </c>
      <c r="T503" s="473">
        <v>1</v>
      </c>
    </row>
    <row r="504" spans="16:20" ht="15">
      <c r="P504" s="447"/>
      <c r="Q504" s="473">
        <v>6.5</v>
      </c>
      <c r="R504" s="473">
        <v>1.2</v>
      </c>
      <c r="S504" s="473">
        <v>600</v>
      </c>
      <c r="T504" s="473">
        <v>1</v>
      </c>
    </row>
    <row r="505" spans="16:20" ht="15">
      <c r="P505" s="447"/>
      <c r="Q505" s="473">
        <v>6.5</v>
      </c>
      <c r="R505" s="473">
        <v>1.2</v>
      </c>
      <c r="S505" s="473">
        <v>600.01</v>
      </c>
      <c r="T505" s="473">
        <v>1</v>
      </c>
    </row>
    <row r="506" spans="16:20" ht="15">
      <c r="P506" s="447"/>
      <c r="Q506" s="473">
        <v>6.5</v>
      </c>
      <c r="R506" s="473">
        <v>1.2</v>
      </c>
      <c r="S506" s="473">
        <v>10000</v>
      </c>
      <c r="T506" s="473">
        <v>1</v>
      </c>
    </row>
    <row r="507" spans="16:20" ht="15">
      <c r="P507" s="447"/>
      <c r="Q507" s="473">
        <v>6.5</v>
      </c>
      <c r="R507" s="473">
        <v>1.6</v>
      </c>
      <c r="S507" s="473">
        <v>0</v>
      </c>
      <c r="T507" s="473">
        <v>1.6</v>
      </c>
    </row>
    <row r="508" spans="16:20" ht="15">
      <c r="P508" s="447"/>
      <c r="Q508" s="473">
        <v>6.5</v>
      </c>
      <c r="R508" s="473">
        <v>1.6</v>
      </c>
      <c r="S508" s="473">
        <v>300</v>
      </c>
      <c r="T508" s="473">
        <v>1.6</v>
      </c>
    </row>
    <row r="509" spans="16:20" ht="15">
      <c r="P509" s="447"/>
      <c r="Q509" s="473">
        <v>6.5</v>
      </c>
      <c r="R509" s="473">
        <v>1.6</v>
      </c>
      <c r="S509" s="473">
        <v>300.01</v>
      </c>
      <c r="T509" s="473">
        <v>1</v>
      </c>
    </row>
    <row r="510" spans="16:20" ht="15">
      <c r="P510" s="447"/>
      <c r="Q510" s="473">
        <v>6.5</v>
      </c>
      <c r="R510" s="473">
        <v>1.6</v>
      </c>
      <c r="S510" s="473">
        <v>600</v>
      </c>
      <c r="T510" s="473">
        <v>1</v>
      </c>
    </row>
    <row r="511" spans="16:20" ht="15">
      <c r="P511" s="447"/>
      <c r="Q511" s="473">
        <v>6.5</v>
      </c>
      <c r="R511" s="473">
        <v>1.6</v>
      </c>
      <c r="S511" s="473">
        <v>600.01</v>
      </c>
      <c r="T511" s="473">
        <v>1</v>
      </c>
    </row>
    <row r="512" spans="16:20" ht="15">
      <c r="P512" s="447"/>
      <c r="Q512" s="473">
        <v>6.5</v>
      </c>
      <c r="R512" s="473">
        <v>1.6</v>
      </c>
      <c r="S512" s="473">
        <v>10000</v>
      </c>
      <c r="T512" s="473">
        <v>1</v>
      </c>
    </row>
    <row r="513" spans="16:20" ht="15">
      <c r="P513" s="447"/>
      <c r="Q513" s="473">
        <v>6.5</v>
      </c>
      <c r="R513" s="473">
        <v>2.4</v>
      </c>
      <c r="S513" s="473">
        <v>0</v>
      </c>
      <c r="T513" s="473">
        <v>1.6</v>
      </c>
    </row>
    <row r="514" spans="16:20" ht="15">
      <c r="P514" s="447"/>
      <c r="Q514" s="473">
        <v>6.5</v>
      </c>
      <c r="R514" s="473">
        <v>2.4</v>
      </c>
      <c r="S514" s="473">
        <v>300</v>
      </c>
      <c r="T514" s="473">
        <v>1.6</v>
      </c>
    </row>
    <row r="515" spans="16:20" ht="15">
      <c r="P515" s="447"/>
      <c r="Q515" s="473">
        <v>6.5</v>
      </c>
      <c r="R515" s="473">
        <v>2.4</v>
      </c>
      <c r="S515" s="473">
        <v>300.01</v>
      </c>
      <c r="T515" s="473">
        <v>1</v>
      </c>
    </row>
    <row r="516" spans="16:20" ht="15">
      <c r="P516" s="447"/>
      <c r="Q516" s="473">
        <v>6.5</v>
      </c>
      <c r="R516" s="473">
        <v>2.4</v>
      </c>
      <c r="S516" s="473">
        <v>600</v>
      </c>
      <c r="T516" s="473">
        <v>1</v>
      </c>
    </row>
    <row r="517" spans="16:20" ht="15">
      <c r="P517" s="447"/>
      <c r="Q517" s="473">
        <v>6.5</v>
      </c>
      <c r="R517" s="473">
        <v>2.4</v>
      </c>
      <c r="S517" s="473">
        <v>600.01</v>
      </c>
      <c r="T517" s="473">
        <v>1</v>
      </c>
    </row>
    <row r="518" spans="16:20" ht="15">
      <c r="P518" s="447"/>
      <c r="Q518" s="473">
        <v>6.5</v>
      </c>
      <c r="R518" s="473">
        <v>2.4</v>
      </c>
      <c r="S518" s="473">
        <v>10000</v>
      </c>
      <c r="T518" s="473">
        <v>1</v>
      </c>
    </row>
    <row r="519" spans="16:20" ht="15">
      <c r="P519" s="447"/>
      <c r="Q519" s="473">
        <v>6.5</v>
      </c>
      <c r="R519" s="473">
        <v>3.2</v>
      </c>
      <c r="S519" s="473">
        <v>0</v>
      </c>
      <c r="T519" s="473">
        <v>1.6</v>
      </c>
    </row>
    <row r="520" spans="16:20" ht="15">
      <c r="P520" s="447"/>
      <c r="Q520" s="473">
        <v>6.5</v>
      </c>
      <c r="R520" s="473">
        <v>3.2</v>
      </c>
      <c r="S520" s="473">
        <v>300</v>
      </c>
      <c r="T520" s="473">
        <v>1.6</v>
      </c>
    </row>
    <row r="521" spans="16:20" ht="15">
      <c r="P521" s="447"/>
      <c r="Q521" s="473">
        <v>6.5</v>
      </c>
      <c r="R521" s="473">
        <v>3.2</v>
      </c>
      <c r="S521" s="473">
        <v>300.01</v>
      </c>
      <c r="T521" s="473">
        <v>1</v>
      </c>
    </row>
    <row r="522" spans="16:20" ht="15">
      <c r="P522" s="447"/>
      <c r="Q522" s="473">
        <v>6.5</v>
      </c>
      <c r="R522" s="473">
        <v>3.2</v>
      </c>
      <c r="S522" s="473">
        <v>600</v>
      </c>
      <c r="T522" s="473">
        <v>1</v>
      </c>
    </row>
    <row r="523" spans="16:20" ht="15">
      <c r="P523" s="447"/>
      <c r="Q523" s="473">
        <v>6.5</v>
      </c>
      <c r="R523" s="473">
        <v>3.2</v>
      </c>
      <c r="S523" s="473">
        <v>600.01</v>
      </c>
      <c r="T523" s="473">
        <v>1</v>
      </c>
    </row>
    <row r="524" spans="16:20" ht="15">
      <c r="P524" s="447"/>
      <c r="Q524" s="473">
        <v>6.5</v>
      </c>
      <c r="R524" s="473">
        <v>3.2</v>
      </c>
      <c r="S524" s="473">
        <v>10000</v>
      </c>
      <c r="T524" s="473">
        <v>1</v>
      </c>
    </row>
    <row r="525" spans="16:20" ht="15">
      <c r="P525" s="447"/>
      <c r="Q525" s="473">
        <v>6.5</v>
      </c>
      <c r="R525" s="473">
        <v>4.8</v>
      </c>
      <c r="S525" s="473">
        <v>0</v>
      </c>
      <c r="T525" s="473">
        <v>1.6</v>
      </c>
    </row>
    <row r="526" spans="16:20" ht="15">
      <c r="P526" s="447"/>
      <c r="Q526" s="473">
        <v>6.5</v>
      </c>
      <c r="R526" s="473">
        <v>4.8</v>
      </c>
      <c r="S526" s="473">
        <v>300</v>
      </c>
      <c r="T526" s="473">
        <v>1.6</v>
      </c>
    </row>
    <row r="527" spans="16:20" ht="15">
      <c r="P527" s="447"/>
      <c r="Q527" s="473">
        <v>6.5</v>
      </c>
      <c r="R527" s="473">
        <v>4.8</v>
      </c>
      <c r="S527" s="473">
        <v>300.01</v>
      </c>
      <c r="T527" s="473">
        <v>1.3</v>
      </c>
    </row>
    <row r="528" spans="16:20" ht="15">
      <c r="P528" s="447"/>
      <c r="Q528" s="473">
        <v>6.5</v>
      </c>
      <c r="R528" s="473">
        <v>4.8</v>
      </c>
      <c r="S528" s="473">
        <v>600</v>
      </c>
      <c r="T528" s="473">
        <v>1.3</v>
      </c>
    </row>
    <row r="529" spans="16:20" ht="15">
      <c r="P529" s="447"/>
      <c r="Q529" s="473">
        <v>6.5</v>
      </c>
      <c r="R529" s="473">
        <v>4.8</v>
      </c>
      <c r="S529" s="473">
        <v>600.01</v>
      </c>
      <c r="T529" s="473">
        <v>1.3</v>
      </c>
    </row>
    <row r="530" spans="16:20" ht="15">
      <c r="P530" s="447"/>
      <c r="Q530" s="473">
        <v>6.5</v>
      </c>
      <c r="R530" s="473">
        <v>4.8</v>
      </c>
      <c r="S530" s="473">
        <v>10000</v>
      </c>
      <c r="T530" s="473">
        <v>1.3</v>
      </c>
    </row>
    <row r="531" spans="16:20" ht="15">
      <c r="P531" s="447"/>
      <c r="Q531" s="473">
        <v>6.5</v>
      </c>
      <c r="R531" s="473">
        <v>6.4</v>
      </c>
      <c r="S531" s="473">
        <v>0</v>
      </c>
      <c r="T531" s="473">
        <v>1.6</v>
      </c>
    </row>
    <row r="532" spans="16:20" ht="15">
      <c r="P532" s="447"/>
      <c r="Q532" s="473">
        <v>6.5</v>
      </c>
      <c r="R532" s="473">
        <v>6.4</v>
      </c>
      <c r="S532" s="473">
        <v>300</v>
      </c>
      <c r="T532" s="473">
        <v>1.6</v>
      </c>
    </row>
    <row r="533" spans="16:20" ht="15">
      <c r="P533" s="447"/>
      <c r="Q533" s="473">
        <v>6.5</v>
      </c>
      <c r="R533" s="473">
        <v>6.4</v>
      </c>
      <c r="S533" s="473">
        <v>300.01</v>
      </c>
      <c r="T533" s="473">
        <v>1.5</v>
      </c>
    </row>
    <row r="534" spans="16:20" ht="15">
      <c r="P534" s="447"/>
      <c r="Q534" s="473">
        <v>6.5</v>
      </c>
      <c r="R534" s="473">
        <v>6.4</v>
      </c>
      <c r="S534" s="473">
        <v>600</v>
      </c>
      <c r="T534" s="473">
        <v>1.5</v>
      </c>
    </row>
    <row r="535" spans="16:20" ht="15">
      <c r="P535" s="447"/>
      <c r="Q535" s="473">
        <v>6.5</v>
      </c>
      <c r="R535" s="473">
        <v>6.4</v>
      </c>
      <c r="S535" s="473">
        <v>600.01</v>
      </c>
      <c r="T535" s="473">
        <v>1.4</v>
      </c>
    </row>
    <row r="536" spans="16:20" ht="15">
      <c r="P536" s="447"/>
      <c r="Q536" s="473">
        <v>6.5</v>
      </c>
      <c r="R536" s="473">
        <v>6.4</v>
      </c>
      <c r="S536" s="473">
        <v>10000</v>
      </c>
      <c r="T536" s="473">
        <v>1.4</v>
      </c>
    </row>
    <row r="537" spans="16:20" ht="15">
      <c r="P537" s="447"/>
      <c r="Q537" s="473">
        <v>6.5</v>
      </c>
      <c r="R537" s="473">
        <v>100</v>
      </c>
      <c r="S537" s="473">
        <v>0</v>
      </c>
      <c r="T537" s="473">
        <v>1.6</v>
      </c>
    </row>
    <row r="538" spans="16:20" ht="15">
      <c r="P538" s="447"/>
      <c r="Q538" s="473">
        <v>6.5</v>
      </c>
      <c r="R538" s="473">
        <v>100</v>
      </c>
      <c r="S538" s="473">
        <v>300</v>
      </c>
      <c r="T538" s="473">
        <v>1.6</v>
      </c>
    </row>
    <row r="539" spans="16:20" ht="15">
      <c r="P539" s="447"/>
      <c r="Q539" s="473">
        <v>6.5</v>
      </c>
      <c r="R539" s="473">
        <v>100</v>
      </c>
      <c r="S539" s="473">
        <v>300.01</v>
      </c>
      <c r="T539" s="473">
        <v>1.5</v>
      </c>
    </row>
    <row r="540" spans="16:20" ht="15">
      <c r="P540" s="447"/>
      <c r="Q540" s="473">
        <v>6.5</v>
      </c>
      <c r="R540" s="473">
        <v>100</v>
      </c>
      <c r="S540" s="473">
        <v>600</v>
      </c>
      <c r="T540" s="473">
        <v>1.5</v>
      </c>
    </row>
    <row r="541" spans="16:20" ht="15">
      <c r="P541" s="447"/>
      <c r="Q541" s="473">
        <v>6.5</v>
      </c>
      <c r="R541" s="473">
        <v>100</v>
      </c>
      <c r="S541" s="473">
        <v>600.01</v>
      </c>
      <c r="T541" s="473">
        <v>1.4</v>
      </c>
    </row>
    <row r="542" spans="16:20" ht="15">
      <c r="P542" s="447"/>
      <c r="Q542" s="473">
        <v>6.5</v>
      </c>
      <c r="R542" s="473">
        <v>100</v>
      </c>
      <c r="S542" s="473">
        <v>10000</v>
      </c>
      <c r="T542" s="473">
        <v>1.4</v>
      </c>
    </row>
    <row r="543" spans="16:20" ht="15">
      <c r="P543" s="447"/>
      <c r="Q543" s="473">
        <v>100</v>
      </c>
      <c r="R543" s="473">
        <v>0</v>
      </c>
      <c r="S543" s="473">
        <v>0</v>
      </c>
      <c r="T543" s="473">
        <v>1.6</v>
      </c>
    </row>
    <row r="544" spans="16:20" ht="15">
      <c r="P544" s="447"/>
      <c r="Q544" s="473">
        <v>100</v>
      </c>
      <c r="R544" s="473">
        <v>0</v>
      </c>
      <c r="S544" s="473">
        <v>300</v>
      </c>
      <c r="T544" s="473">
        <v>1.6</v>
      </c>
    </row>
    <row r="545" spans="16:20" ht="15">
      <c r="P545" s="447"/>
      <c r="Q545" s="473">
        <v>100</v>
      </c>
      <c r="R545" s="473">
        <v>0</v>
      </c>
      <c r="S545" s="473">
        <v>300.01</v>
      </c>
      <c r="T545" s="473">
        <v>1</v>
      </c>
    </row>
    <row r="546" spans="16:20" ht="15">
      <c r="P546" s="447"/>
      <c r="Q546" s="473">
        <v>100</v>
      </c>
      <c r="R546" s="473">
        <v>0</v>
      </c>
      <c r="S546" s="473">
        <v>600</v>
      </c>
      <c r="T546" s="473">
        <v>1</v>
      </c>
    </row>
    <row r="547" spans="16:20" ht="15">
      <c r="P547" s="447"/>
      <c r="Q547" s="473">
        <v>100</v>
      </c>
      <c r="R547" s="473">
        <v>0</v>
      </c>
      <c r="S547" s="473">
        <v>600.01</v>
      </c>
      <c r="T547" s="473">
        <v>1</v>
      </c>
    </row>
    <row r="548" spans="16:20" ht="15">
      <c r="P548" s="447"/>
      <c r="Q548" s="473">
        <v>100</v>
      </c>
      <c r="R548" s="473">
        <v>0</v>
      </c>
      <c r="S548" s="473">
        <v>10000</v>
      </c>
      <c r="T548" s="473">
        <v>1</v>
      </c>
    </row>
    <row r="549" spans="16:20" ht="15">
      <c r="P549" s="447"/>
      <c r="Q549" s="473">
        <v>100</v>
      </c>
      <c r="R549" s="473">
        <v>0.4</v>
      </c>
      <c r="S549" s="473">
        <v>0</v>
      </c>
      <c r="T549" s="473">
        <v>1.6</v>
      </c>
    </row>
    <row r="550" spans="16:20" ht="15">
      <c r="P550" s="447"/>
      <c r="Q550" s="473">
        <v>100</v>
      </c>
      <c r="R550" s="473">
        <v>0.4</v>
      </c>
      <c r="S550" s="473">
        <v>300</v>
      </c>
      <c r="T550" s="473">
        <v>1.6</v>
      </c>
    </row>
    <row r="551" spans="16:20" ht="15">
      <c r="P551" s="447"/>
      <c r="Q551" s="473">
        <v>100</v>
      </c>
      <c r="R551" s="473">
        <v>0.4</v>
      </c>
      <c r="S551" s="473">
        <v>300.01</v>
      </c>
      <c r="T551" s="473">
        <v>1</v>
      </c>
    </row>
    <row r="552" spans="16:20" ht="15">
      <c r="P552" s="447"/>
      <c r="Q552" s="473">
        <v>100</v>
      </c>
      <c r="R552" s="473">
        <v>0.4</v>
      </c>
      <c r="S552" s="473">
        <v>600</v>
      </c>
      <c r="T552" s="473">
        <v>1</v>
      </c>
    </row>
    <row r="553" spans="16:20" ht="15">
      <c r="P553" s="447"/>
      <c r="Q553" s="473">
        <v>100</v>
      </c>
      <c r="R553" s="473">
        <v>0.4</v>
      </c>
      <c r="S553" s="473">
        <v>600.01</v>
      </c>
      <c r="T553" s="473">
        <v>1</v>
      </c>
    </row>
    <row r="554" spans="16:20" ht="15">
      <c r="P554" s="447"/>
      <c r="Q554" s="473">
        <v>100</v>
      </c>
      <c r="R554" s="473">
        <v>0.4</v>
      </c>
      <c r="S554" s="473">
        <v>10000</v>
      </c>
      <c r="T554" s="473">
        <v>1</v>
      </c>
    </row>
    <row r="555" spans="16:20" ht="15">
      <c r="P555" s="447"/>
      <c r="Q555" s="473">
        <v>100</v>
      </c>
      <c r="R555" s="473">
        <v>0.8</v>
      </c>
      <c r="S555" s="473">
        <v>0</v>
      </c>
      <c r="T555" s="473">
        <v>1.6</v>
      </c>
    </row>
    <row r="556" spans="16:20" ht="15">
      <c r="P556" s="447"/>
      <c r="Q556" s="473">
        <v>100</v>
      </c>
      <c r="R556" s="473">
        <v>0.8</v>
      </c>
      <c r="S556" s="473">
        <v>300</v>
      </c>
      <c r="T556" s="473">
        <v>1.6</v>
      </c>
    </row>
    <row r="557" spans="16:20" ht="15">
      <c r="P557" s="447"/>
      <c r="Q557" s="473">
        <v>100</v>
      </c>
      <c r="R557" s="473">
        <v>0.8</v>
      </c>
      <c r="S557" s="473">
        <v>300.01</v>
      </c>
      <c r="T557" s="473">
        <v>1</v>
      </c>
    </row>
    <row r="558" spans="16:20" ht="15">
      <c r="P558" s="447"/>
      <c r="Q558" s="473">
        <v>100</v>
      </c>
      <c r="R558" s="473">
        <v>0.8</v>
      </c>
      <c r="S558" s="473">
        <v>600</v>
      </c>
      <c r="T558" s="473">
        <v>1</v>
      </c>
    </row>
    <row r="559" spans="16:20" ht="15">
      <c r="P559" s="447"/>
      <c r="Q559" s="473">
        <v>100</v>
      </c>
      <c r="R559" s="473">
        <v>0.8</v>
      </c>
      <c r="S559" s="473">
        <v>600.01</v>
      </c>
      <c r="T559" s="473">
        <v>1</v>
      </c>
    </row>
    <row r="560" spans="16:20" ht="15">
      <c r="P560" s="447"/>
      <c r="Q560" s="473">
        <v>100</v>
      </c>
      <c r="R560" s="473">
        <v>0.8</v>
      </c>
      <c r="S560" s="473">
        <v>10000</v>
      </c>
      <c r="T560" s="473">
        <v>1</v>
      </c>
    </row>
    <row r="561" spans="16:20" ht="15">
      <c r="P561" s="447"/>
      <c r="Q561" s="473">
        <v>100</v>
      </c>
      <c r="R561" s="473">
        <v>1.2</v>
      </c>
      <c r="S561" s="473">
        <v>0</v>
      </c>
      <c r="T561" s="473">
        <v>1.6</v>
      </c>
    </row>
    <row r="562" spans="16:20" ht="15">
      <c r="P562" s="447"/>
      <c r="Q562" s="473">
        <v>100</v>
      </c>
      <c r="R562" s="473">
        <v>1.2</v>
      </c>
      <c r="S562" s="473">
        <v>300</v>
      </c>
      <c r="T562" s="473">
        <v>1.6</v>
      </c>
    </row>
    <row r="563" spans="16:20" ht="15">
      <c r="P563" s="447"/>
      <c r="Q563" s="473">
        <v>100</v>
      </c>
      <c r="R563" s="473">
        <v>1.2</v>
      </c>
      <c r="S563" s="473">
        <v>300.01</v>
      </c>
      <c r="T563" s="473">
        <v>1</v>
      </c>
    </row>
    <row r="564" spans="16:20" ht="15">
      <c r="P564" s="447"/>
      <c r="Q564" s="473">
        <v>100</v>
      </c>
      <c r="R564" s="473">
        <v>1.2</v>
      </c>
      <c r="S564" s="473">
        <v>600</v>
      </c>
      <c r="T564" s="473">
        <v>1</v>
      </c>
    </row>
    <row r="565" spans="16:20" ht="15">
      <c r="P565" s="447"/>
      <c r="Q565" s="473">
        <v>100</v>
      </c>
      <c r="R565" s="473">
        <v>1.2</v>
      </c>
      <c r="S565" s="473">
        <v>600.01</v>
      </c>
      <c r="T565" s="473">
        <v>1</v>
      </c>
    </row>
    <row r="566" spans="16:20" ht="15">
      <c r="P566" s="447"/>
      <c r="Q566" s="473">
        <v>100</v>
      </c>
      <c r="R566" s="473">
        <v>1.2</v>
      </c>
      <c r="S566" s="473">
        <v>10000</v>
      </c>
      <c r="T566" s="473">
        <v>1</v>
      </c>
    </row>
    <row r="567" spans="16:20" ht="15">
      <c r="P567" s="447"/>
      <c r="Q567" s="473">
        <v>100</v>
      </c>
      <c r="R567" s="473">
        <v>1.6</v>
      </c>
      <c r="S567" s="473">
        <v>0</v>
      </c>
      <c r="T567" s="473">
        <v>1.6</v>
      </c>
    </row>
    <row r="568" spans="16:20" ht="15">
      <c r="P568" s="447"/>
      <c r="Q568" s="473">
        <v>100</v>
      </c>
      <c r="R568" s="473">
        <v>1.6</v>
      </c>
      <c r="S568" s="473">
        <v>300</v>
      </c>
      <c r="T568" s="473">
        <v>1.6</v>
      </c>
    </row>
    <row r="569" spans="16:20" ht="15">
      <c r="P569" s="447"/>
      <c r="Q569" s="473">
        <v>100</v>
      </c>
      <c r="R569" s="473">
        <v>1.6</v>
      </c>
      <c r="S569" s="473">
        <v>300.01</v>
      </c>
      <c r="T569" s="473">
        <v>1</v>
      </c>
    </row>
    <row r="570" spans="16:20" ht="15">
      <c r="P570" s="447"/>
      <c r="Q570" s="473">
        <v>100</v>
      </c>
      <c r="R570" s="473">
        <v>1.6</v>
      </c>
      <c r="S570" s="473">
        <v>600</v>
      </c>
      <c r="T570" s="473">
        <v>1</v>
      </c>
    </row>
    <row r="571" spans="16:20" ht="15">
      <c r="P571" s="447"/>
      <c r="Q571" s="473">
        <v>100</v>
      </c>
      <c r="R571" s="473">
        <v>1.6</v>
      </c>
      <c r="S571" s="473">
        <v>600.01</v>
      </c>
      <c r="T571" s="473">
        <v>1</v>
      </c>
    </row>
    <row r="572" spans="16:20" ht="15">
      <c r="P572" s="447"/>
      <c r="Q572" s="473">
        <v>100</v>
      </c>
      <c r="R572" s="473">
        <v>1.6</v>
      </c>
      <c r="S572" s="473">
        <v>10000</v>
      </c>
      <c r="T572" s="473">
        <v>1</v>
      </c>
    </row>
    <row r="573" spans="16:20" ht="15">
      <c r="P573" s="447"/>
      <c r="Q573" s="473">
        <v>100</v>
      </c>
      <c r="R573" s="473">
        <v>2.4</v>
      </c>
      <c r="S573" s="473">
        <v>0</v>
      </c>
      <c r="T573" s="473">
        <v>1.6</v>
      </c>
    </row>
    <row r="574" spans="16:20" ht="15">
      <c r="P574" s="447"/>
      <c r="Q574" s="473">
        <v>100</v>
      </c>
      <c r="R574" s="473">
        <v>2.4</v>
      </c>
      <c r="S574" s="473">
        <v>300</v>
      </c>
      <c r="T574" s="473">
        <v>1.6</v>
      </c>
    </row>
    <row r="575" spans="16:20" ht="15">
      <c r="P575" s="447"/>
      <c r="Q575" s="473">
        <v>100</v>
      </c>
      <c r="R575" s="473">
        <v>2.4</v>
      </c>
      <c r="S575" s="473">
        <v>300.01</v>
      </c>
      <c r="T575" s="473">
        <v>1</v>
      </c>
    </row>
    <row r="576" spans="16:20" ht="15">
      <c r="P576" s="447"/>
      <c r="Q576" s="473">
        <v>100</v>
      </c>
      <c r="R576" s="473">
        <v>2.4</v>
      </c>
      <c r="S576" s="473">
        <v>600</v>
      </c>
      <c r="T576" s="473">
        <v>1</v>
      </c>
    </row>
    <row r="577" spans="16:20" ht="15">
      <c r="P577" s="447"/>
      <c r="Q577" s="473">
        <v>100</v>
      </c>
      <c r="R577" s="473">
        <v>2.4</v>
      </c>
      <c r="S577" s="473">
        <v>600.01</v>
      </c>
      <c r="T577" s="473">
        <v>1</v>
      </c>
    </row>
    <row r="578" spans="16:20" ht="15">
      <c r="P578" s="447"/>
      <c r="Q578" s="473">
        <v>100</v>
      </c>
      <c r="R578" s="473">
        <v>2.4</v>
      </c>
      <c r="S578" s="473">
        <v>10000</v>
      </c>
      <c r="T578" s="473">
        <v>1</v>
      </c>
    </row>
    <row r="579" spans="16:20" ht="15">
      <c r="P579" s="447"/>
      <c r="Q579" s="473">
        <v>100</v>
      </c>
      <c r="R579" s="473">
        <v>3.2</v>
      </c>
      <c r="S579" s="473">
        <v>0</v>
      </c>
      <c r="T579" s="473">
        <v>1.6</v>
      </c>
    </row>
    <row r="580" spans="16:20" ht="15">
      <c r="P580" s="447"/>
      <c r="Q580" s="473">
        <v>100</v>
      </c>
      <c r="R580" s="473">
        <v>3.2</v>
      </c>
      <c r="S580" s="473">
        <v>300</v>
      </c>
      <c r="T580" s="473">
        <v>1.6</v>
      </c>
    </row>
    <row r="581" spans="16:20" ht="15">
      <c r="P581" s="447"/>
      <c r="Q581" s="473">
        <v>100</v>
      </c>
      <c r="R581" s="473">
        <v>3.2</v>
      </c>
      <c r="S581" s="473">
        <v>300.01</v>
      </c>
      <c r="T581" s="473">
        <v>1</v>
      </c>
    </row>
    <row r="582" spans="16:20" ht="15">
      <c r="P582" s="447"/>
      <c r="Q582" s="473">
        <v>100</v>
      </c>
      <c r="R582" s="473">
        <v>3.2</v>
      </c>
      <c r="S582" s="473">
        <v>600</v>
      </c>
      <c r="T582" s="473">
        <v>1</v>
      </c>
    </row>
    <row r="583" spans="16:20" ht="15">
      <c r="P583" s="447"/>
      <c r="Q583" s="473">
        <v>100</v>
      </c>
      <c r="R583" s="473">
        <v>3.2</v>
      </c>
      <c r="S583" s="473">
        <v>600.01</v>
      </c>
      <c r="T583" s="473">
        <v>1</v>
      </c>
    </row>
    <row r="584" spans="16:20" ht="15">
      <c r="P584" s="447"/>
      <c r="Q584" s="473">
        <v>100</v>
      </c>
      <c r="R584" s="473">
        <v>3.2</v>
      </c>
      <c r="S584" s="473">
        <v>10000</v>
      </c>
      <c r="T584" s="473">
        <v>1</v>
      </c>
    </row>
    <row r="585" spans="16:20" ht="15">
      <c r="P585" s="447"/>
      <c r="Q585" s="473">
        <v>100</v>
      </c>
      <c r="R585" s="473">
        <v>4.8</v>
      </c>
      <c r="S585" s="473">
        <v>0</v>
      </c>
      <c r="T585" s="473">
        <v>1.6</v>
      </c>
    </row>
    <row r="586" spans="16:20" ht="15">
      <c r="P586" s="447"/>
      <c r="Q586" s="473">
        <v>100</v>
      </c>
      <c r="R586" s="473">
        <v>4.8</v>
      </c>
      <c r="S586" s="473">
        <v>300</v>
      </c>
      <c r="T586" s="473">
        <v>1.6</v>
      </c>
    </row>
    <row r="587" spans="16:20" ht="15">
      <c r="P587" s="447"/>
      <c r="Q587" s="473">
        <v>100</v>
      </c>
      <c r="R587" s="473">
        <v>4.8</v>
      </c>
      <c r="S587" s="473">
        <v>300.01</v>
      </c>
      <c r="T587" s="473">
        <v>1.3</v>
      </c>
    </row>
    <row r="588" spans="16:20" ht="15">
      <c r="P588" s="447"/>
      <c r="Q588" s="473">
        <v>100</v>
      </c>
      <c r="R588" s="473">
        <v>4.8</v>
      </c>
      <c r="S588" s="473">
        <v>600</v>
      </c>
      <c r="T588" s="473">
        <v>1.3</v>
      </c>
    </row>
    <row r="589" spans="16:20" ht="15">
      <c r="P589" s="447"/>
      <c r="Q589" s="473">
        <v>100</v>
      </c>
      <c r="R589" s="473">
        <v>4.8</v>
      </c>
      <c r="S589" s="473">
        <v>600.01</v>
      </c>
      <c r="T589" s="473">
        <v>1.3</v>
      </c>
    </row>
    <row r="590" spans="16:20" ht="15">
      <c r="P590" s="447"/>
      <c r="Q590" s="473">
        <v>100</v>
      </c>
      <c r="R590" s="473">
        <v>4.8</v>
      </c>
      <c r="S590" s="473">
        <v>10000</v>
      </c>
      <c r="T590" s="473">
        <v>1.3</v>
      </c>
    </row>
    <row r="591" spans="16:20" ht="15">
      <c r="P591" s="447"/>
      <c r="Q591" s="473">
        <v>100</v>
      </c>
      <c r="R591" s="473">
        <v>6.4</v>
      </c>
      <c r="S591" s="473">
        <v>0</v>
      </c>
      <c r="T591" s="473">
        <v>1.6</v>
      </c>
    </row>
    <row r="592" spans="16:20" ht="15">
      <c r="P592" s="447"/>
      <c r="Q592" s="473">
        <v>100</v>
      </c>
      <c r="R592" s="473">
        <v>6.4</v>
      </c>
      <c r="S592" s="473">
        <v>300</v>
      </c>
      <c r="T592" s="473">
        <v>1.6</v>
      </c>
    </row>
    <row r="593" spans="16:20" ht="15">
      <c r="P593" s="447"/>
      <c r="Q593" s="473">
        <v>100</v>
      </c>
      <c r="R593" s="473">
        <v>6.4</v>
      </c>
      <c r="S593" s="473">
        <v>300.01</v>
      </c>
      <c r="T593" s="473">
        <v>1.5</v>
      </c>
    </row>
    <row r="594" spans="16:20" ht="15">
      <c r="P594" s="447"/>
      <c r="Q594" s="473">
        <v>100</v>
      </c>
      <c r="R594" s="473">
        <v>6.4</v>
      </c>
      <c r="S594" s="473">
        <v>600</v>
      </c>
      <c r="T594" s="473">
        <v>1.5</v>
      </c>
    </row>
    <row r="595" spans="16:20" ht="15">
      <c r="P595" s="447"/>
      <c r="Q595" s="473">
        <v>100</v>
      </c>
      <c r="R595" s="473">
        <v>6.4</v>
      </c>
      <c r="S595" s="473">
        <v>600.01</v>
      </c>
      <c r="T595" s="473">
        <v>1.4</v>
      </c>
    </row>
    <row r="596" spans="16:20" ht="15">
      <c r="P596" s="447"/>
      <c r="Q596" s="473">
        <v>100</v>
      </c>
      <c r="R596" s="473">
        <v>6.4</v>
      </c>
      <c r="S596" s="473">
        <v>10000</v>
      </c>
      <c r="T596" s="473">
        <v>1.4</v>
      </c>
    </row>
    <row r="597" spans="16:20" ht="15">
      <c r="P597" s="447"/>
      <c r="Q597" s="473">
        <v>100</v>
      </c>
      <c r="R597" s="473">
        <v>100</v>
      </c>
      <c r="S597" s="473">
        <v>0</v>
      </c>
      <c r="T597" s="473">
        <v>1.6</v>
      </c>
    </row>
    <row r="598" spans="16:20" ht="15">
      <c r="P598" s="447"/>
      <c r="Q598" s="473">
        <v>100</v>
      </c>
      <c r="R598" s="473">
        <v>100</v>
      </c>
      <c r="S598" s="473">
        <v>300</v>
      </c>
      <c r="T598" s="473">
        <v>1.6</v>
      </c>
    </row>
    <row r="599" spans="16:20" ht="15">
      <c r="P599" s="447"/>
      <c r="Q599" s="473">
        <v>100</v>
      </c>
      <c r="R599" s="473">
        <v>100</v>
      </c>
      <c r="S599" s="473">
        <v>300.01</v>
      </c>
      <c r="T599" s="473">
        <v>1.5</v>
      </c>
    </row>
    <row r="600" spans="16:20" ht="15">
      <c r="P600" s="447"/>
      <c r="Q600" s="473">
        <v>100</v>
      </c>
      <c r="R600" s="473">
        <v>100</v>
      </c>
      <c r="S600" s="473">
        <v>600</v>
      </c>
      <c r="T600" s="473">
        <v>1.5</v>
      </c>
    </row>
    <row r="601" spans="16:20" ht="15">
      <c r="P601" s="447"/>
      <c r="Q601" s="473">
        <v>100</v>
      </c>
      <c r="R601" s="473">
        <v>100</v>
      </c>
      <c r="S601" s="473">
        <v>600.01</v>
      </c>
      <c r="T601" s="473">
        <v>1.4</v>
      </c>
    </row>
    <row r="602" spans="16:20" ht="15">
      <c r="P602" s="447"/>
      <c r="Q602" s="473">
        <v>100</v>
      </c>
      <c r="R602" s="473">
        <v>100</v>
      </c>
      <c r="S602" s="473">
        <v>10000</v>
      </c>
      <c r="T602" s="473">
        <v>1.4</v>
      </c>
    </row>
    <row r="603" spans="16:20" ht="15">
      <c r="P603" s="447"/>
      <c r="Q603" s="497"/>
      <c r="R603" s="497"/>
      <c r="S603" s="497"/>
      <c r="T603" s="497"/>
    </row>
    <row r="604" spans="16:20" ht="15">
      <c r="P604" s="447"/>
      <c r="Q604" s="497"/>
      <c r="R604" s="497"/>
      <c r="S604" s="497"/>
      <c r="T604" s="497"/>
    </row>
    <row r="605" spans="16:20" ht="15">
      <c r="P605" s="447"/>
      <c r="Q605" s="497"/>
      <c r="R605" s="497"/>
      <c r="S605" s="497"/>
      <c r="T605" s="497"/>
    </row>
    <row r="606" spans="16:20" ht="15">
      <c r="P606" s="447"/>
      <c r="Q606" s="497"/>
      <c r="R606" s="497"/>
      <c r="S606" s="497"/>
      <c r="T606" s="497"/>
    </row>
    <row r="607" spans="16:20" ht="15">
      <c r="P607" s="447"/>
      <c r="Q607" s="497"/>
      <c r="R607" s="497"/>
      <c r="S607" s="497"/>
      <c r="T607" s="497"/>
    </row>
    <row r="608" spans="16:20" ht="15">
      <c r="P608" s="447"/>
      <c r="Q608" s="497"/>
      <c r="R608" s="497"/>
      <c r="S608" s="497"/>
      <c r="T608" s="497"/>
    </row>
    <row r="609" spans="1:16" s="497" customFormat="1" ht="15">
      <c r="A609" s="443"/>
      <c r="B609" s="443"/>
      <c r="C609" s="443"/>
      <c r="D609" s="443"/>
      <c r="E609" s="458"/>
      <c r="F609" s="458"/>
      <c r="G609" s="458"/>
      <c r="H609" s="458"/>
      <c r="I609" s="458"/>
      <c r="J609" s="458"/>
      <c r="K609" s="458"/>
      <c r="L609" s="458"/>
      <c r="M609" s="458"/>
      <c r="N609" s="458"/>
      <c r="O609" s="443"/>
      <c r="P609" s="447"/>
    </row>
    <row r="610" spans="1:16" s="497" customFormat="1" ht="15">
      <c r="A610" s="443"/>
      <c r="B610" s="443"/>
      <c r="C610" s="443"/>
      <c r="D610" s="443"/>
      <c r="E610" s="458"/>
      <c r="F610" s="458"/>
      <c r="G610" s="458"/>
      <c r="H610" s="458"/>
      <c r="I610" s="458"/>
      <c r="J610" s="458"/>
      <c r="K610" s="458"/>
      <c r="L610" s="458"/>
      <c r="M610" s="458"/>
      <c r="N610" s="458"/>
      <c r="O610" s="443"/>
      <c r="P610" s="447"/>
    </row>
    <row r="611" spans="1:16" s="497" customFormat="1" ht="15">
      <c r="A611" s="443"/>
      <c r="B611" s="443"/>
      <c r="C611" s="443"/>
      <c r="D611" s="443"/>
      <c r="E611" s="458"/>
      <c r="F611" s="458"/>
      <c r="G611" s="458"/>
      <c r="H611" s="458"/>
      <c r="I611" s="458"/>
      <c r="J611" s="458"/>
      <c r="K611" s="458"/>
      <c r="L611" s="458"/>
      <c r="M611" s="458"/>
      <c r="N611" s="458"/>
      <c r="O611" s="443"/>
      <c r="P611" s="447"/>
    </row>
    <row r="612" spans="1:16" s="497" customFormat="1" ht="15">
      <c r="A612" s="443"/>
      <c r="B612" s="443"/>
      <c r="C612" s="443"/>
      <c r="D612" s="443"/>
      <c r="E612" s="458"/>
      <c r="F612" s="458"/>
      <c r="G612" s="458"/>
      <c r="H612" s="458"/>
      <c r="I612" s="458"/>
      <c r="J612" s="458"/>
      <c r="K612" s="458"/>
      <c r="L612" s="458"/>
      <c r="M612" s="458"/>
      <c r="N612" s="458"/>
      <c r="O612" s="443"/>
      <c r="P612" s="447"/>
    </row>
    <row r="613" spans="1:16" s="497" customFormat="1" ht="15">
      <c r="A613" s="443"/>
      <c r="B613" s="443"/>
      <c r="C613" s="443"/>
      <c r="D613" s="443"/>
      <c r="E613" s="458"/>
      <c r="F613" s="458"/>
      <c r="G613" s="458"/>
      <c r="H613" s="458"/>
      <c r="I613" s="458"/>
      <c r="J613" s="458"/>
      <c r="K613" s="458"/>
      <c r="L613" s="458"/>
      <c r="M613" s="458"/>
      <c r="N613" s="458"/>
      <c r="O613" s="443"/>
      <c r="P613" s="447"/>
    </row>
    <row r="614" spans="1:16" s="497" customFormat="1" ht="15">
      <c r="A614" s="443"/>
      <c r="B614" s="443"/>
      <c r="C614" s="443"/>
      <c r="D614" s="443"/>
      <c r="E614" s="458"/>
      <c r="F614" s="458"/>
      <c r="G614" s="458"/>
      <c r="H614" s="458"/>
      <c r="I614" s="458"/>
      <c r="J614" s="458"/>
      <c r="K614" s="458"/>
      <c r="L614" s="458"/>
      <c r="M614" s="458"/>
      <c r="N614" s="458"/>
      <c r="O614" s="443"/>
      <c r="P614" s="447"/>
    </row>
    <row r="615" spans="1:16" s="497" customFormat="1" ht="15">
      <c r="A615" s="443"/>
      <c r="B615" s="443"/>
      <c r="C615" s="443"/>
      <c r="D615" s="443"/>
      <c r="E615" s="458"/>
      <c r="F615" s="458"/>
      <c r="G615" s="458"/>
      <c r="H615" s="458"/>
      <c r="I615" s="458"/>
      <c r="J615" s="458"/>
      <c r="K615" s="458"/>
      <c r="L615" s="458"/>
      <c r="M615" s="458"/>
      <c r="N615" s="458"/>
      <c r="O615" s="443"/>
      <c r="P615" s="447"/>
    </row>
    <row r="616" spans="1:16" s="497" customFormat="1" ht="15">
      <c r="A616" s="443"/>
      <c r="B616" s="443"/>
      <c r="C616" s="443"/>
      <c r="D616" s="443"/>
      <c r="E616" s="458"/>
      <c r="F616" s="458"/>
      <c r="G616" s="458"/>
      <c r="H616" s="458"/>
      <c r="I616" s="458"/>
      <c r="J616" s="458"/>
      <c r="K616" s="458"/>
      <c r="L616" s="458"/>
      <c r="M616" s="458"/>
      <c r="N616" s="458"/>
      <c r="O616" s="443"/>
      <c r="P616" s="447"/>
    </row>
    <row r="617" spans="1:16" s="497" customFormat="1" ht="15">
      <c r="A617" s="443"/>
      <c r="B617" s="443"/>
      <c r="C617" s="443"/>
      <c r="D617" s="443"/>
      <c r="E617" s="458"/>
      <c r="F617" s="458"/>
      <c r="G617" s="458"/>
      <c r="H617" s="458"/>
      <c r="I617" s="458"/>
      <c r="J617" s="458"/>
      <c r="K617" s="458"/>
      <c r="L617" s="458"/>
      <c r="M617" s="458"/>
      <c r="N617" s="458"/>
      <c r="O617" s="443"/>
      <c r="P617" s="447"/>
    </row>
    <row r="618" spans="1:16" s="497" customFormat="1" ht="15">
      <c r="A618" s="443"/>
      <c r="B618" s="443"/>
      <c r="C618" s="443"/>
      <c r="D618" s="443"/>
      <c r="E618" s="458"/>
      <c r="F618" s="458"/>
      <c r="G618" s="458"/>
      <c r="H618" s="458"/>
      <c r="I618" s="458"/>
      <c r="J618" s="458"/>
      <c r="K618" s="458"/>
      <c r="L618" s="458"/>
      <c r="M618" s="458"/>
      <c r="N618" s="458"/>
      <c r="O618" s="443"/>
      <c r="P618" s="447"/>
    </row>
    <row r="619" spans="1:16" s="497" customFormat="1" ht="15">
      <c r="A619" s="443"/>
      <c r="B619" s="443"/>
      <c r="C619" s="443"/>
      <c r="D619" s="443"/>
      <c r="E619" s="458"/>
      <c r="F619" s="458"/>
      <c r="G619" s="458"/>
      <c r="H619" s="458"/>
      <c r="I619" s="458"/>
      <c r="J619" s="458"/>
      <c r="K619" s="458"/>
      <c r="L619" s="458"/>
      <c r="M619" s="458"/>
      <c r="N619" s="458"/>
      <c r="O619" s="443"/>
      <c r="P619" s="447"/>
    </row>
    <row r="620" spans="1:16" s="497" customFormat="1" ht="15">
      <c r="A620" s="443"/>
      <c r="B620" s="443"/>
      <c r="C620" s="443"/>
      <c r="D620" s="443"/>
      <c r="E620" s="458"/>
      <c r="F620" s="458"/>
      <c r="G620" s="458"/>
      <c r="H620" s="458"/>
      <c r="I620" s="458"/>
      <c r="J620" s="458"/>
      <c r="K620" s="458"/>
      <c r="L620" s="458"/>
      <c r="M620" s="458"/>
      <c r="N620" s="458"/>
      <c r="O620" s="443"/>
      <c r="P620" s="447"/>
    </row>
    <row r="621" spans="1:16" s="497" customFormat="1" ht="15">
      <c r="A621" s="443"/>
      <c r="B621" s="443"/>
      <c r="C621" s="443"/>
      <c r="D621" s="443"/>
      <c r="E621" s="458"/>
      <c r="F621" s="458"/>
      <c r="G621" s="458"/>
      <c r="H621" s="458"/>
      <c r="I621" s="458"/>
      <c r="J621" s="458"/>
      <c r="K621" s="458"/>
      <c r="L621" s="458"/>
      <c r="M621" s="458"/>
      <c r="N621" s="458"/>
      <c r="O621" s="443"/>
      <c r="P621" s="447"/>
    </row>
    <row r="622" spans="1:16" s="497" customFormat="1" ht="15">
      <c r="A622" s="443"/>
      <c r="B622" s="443"/>
      <c r="C622" s="443"/>
      <c r="D622" s="443"/>
      <c r="E622" s="458"/>
      <c r="F622" s="458"/>
      <c r="G622" s="458"/>
      <c r="H622" s="458"/>
      <c r="I622" s="458"/>
      <c r="J622" s="458"/>
      <c r="K622" s="458"/>
      <c r="L622" s="458"/>
      <c r="M622" s="458"/>
      <c r="N622" s="458"/>
      <c r="O622" s="443"/>
      <c r="P622" s="447"/>
    </row>
    <row r="623" spans="1:16" s="497" customFormat="1" ht="15">
      <c r="A623" s="443"/>
      <c r="B623" s="443"/>
      <c r="C623" s="443"/>
      <c r="D623" s="443"/>
      <c r="E623" s="458"/>
      <c r="F623" s="458"/>
      <c r="G623" s="458"/>
      <c r="H623" s="458"/>
      <c r="I623" s="458"/>
      <c r="J623" s="458"/>
      <c r="K623" s="458"/>
      <c r="L623" s="458"/>
      <c r="M623" s="458"/>
      <c r="N623" s="458"/>
      <c r="O623" s="443"/>
      <c r="P623" s="447"/>
    </row>
    <row r="624" spans="1:16" s="497" customFormat="1" ht="15">
      <c r="A624" s="443"/>
      <c r="B624" s="443"/>
      <c r="C624" s="443"/>
      <c r="D624" s="443"/>
      <c r="E624" s="458"/>
      <c r="F624" s="458"/>
      <c r="G624" s="458"/>
      <c r="H624" s="458"/>
      <c r="I624" s="458"/>
      <c r="J624" s="458"/>
      <c r="K624" s="458"/>
      <c r="L624" s="458"/>
      <c r="M624" s="458"/>
      <c r="N624" s="458"/>
      <c r="O624" s="443"/>
      <c r="P624" s="447"/>
    </row>
    <row r="625" spans="1:16" s="497" customFormat="1" ht="15">
      <c r="A625" s="443"/>
      <c r="B625" s="443"/>
      <c r="C625" s="443"/>
      <c r="D625" s="443"/>
      <c r="E625" s="458"/>
      <c r="F625" s="458"/>
      <c r="G625" s="458"/>
      <c r="H625" s="458"/>
      <c r="I625" s="458"/>
      <c r="J625" s="458"/>
      <c r="K625" s="458"/>
      <c r="L625" s="458"/>
      <c r="M625" s="458"/>
      <c r="N625" s="458"/>
      <c r="O625" s="443"/>
      <c r="P625" s="447"/>
    </row>
    <row r="626" spans="1:16" s="497" customFormat="1" ht="15">
      <c r="A626" s="443"/>
      <c r="B626" s="443"/>
      <c r="C626" s="443"/>
      <c r="D626" s="443"/>
      <c r="E626" s="458"/>
      <c r="F626" s="458"/>
      <c r="G626" s="458"/>
      <c r="H626" s="458"/>
      <c r="I626" s="458"/>
      <c r="J626" s="458"/>
      <c r="K626" s="458"/>
      <c r="L626" s="458"/>
      <c r="M626" s="458"/>
      <c r="N626" s="458"/>
      <c r="O626" s="443"/>
      <c r="P626" s="447"/>
    </row>
    <row r="627" spans="1:16" s="497" customFormat="1" ht="15">
      <c r="A627" s="443"/>
      <c r="B627" s="443"/>
      <c r="C627" s="443"/>
      <c r="D627" s="443"/>
      <c r="E627" s="458"/>
      <c r="F627" s="458"/>
      <c r="G627" s="458"/>
      <c r="H627" s="458"/>
      <c r="I627" s="458"/>
      <c r="J627" s="458"/>
      <c r="K627" s="458"/>
      <c r="L627" s="458"/>
      <c r="M627" s="458"/>
      <c r="N627" s="458"/>
      <c r="O627" s="443"/>
      <c r="P627" s="447"/>
    </row>
    <row r="628" spans="1:16" s="497" customFormat="1" ht="15">
      <c r="A628" s="443"/>
      <c r="B628" s="443"/>
      <c r="C628" s="443"/>
      <c r="D628" s="443"/>
      <c r="E628" s="458"/>
      <c r="F628" s="458"/>
      <c r="G628" s="458"/>
      <c r="H628" s="458"/>
      <c r="I628" s="458"/>
      <c r="J628" s="458"/>
      <c r="K628" s="458"/>
      <c r="L628" s="458"/>
      <c r="M628" s="458"/>
      <c r="N628" s="458"/>
      <c r="O628" s="443"/>
      <c r="P628" s="447"/>
    </row>
    <row r="629" spans="1:16" s="497" customFormat="1" ht="15">
      <c r="A629" s="443"/>
      <c r="B629" s="443"/>
      <c r="C629" s="443"/>
      <c r="D629" s="443"/>
      <c r="E629" s="458"/>
      <c r="F629" s="458"/>
      <c r="G629" s="458"/>
      <c r="H629" s="458"/>
      <c r="I629" s="458"/>
      <c r="J629" s="458"/>
      <c r="K629" s="458"/>
      <c r="L629" s="458"/>
      <c r="M629" s="458"/>
      <c r="N629" s="458"/>
      <c r="O629" s="443"/>
      <c r="P629" s="447"/>
    </row>
    <row r="630" spans="1:16" s="497" customFormat="1" ht="15">
      <c r="A630" s="443"/>
      <c r="B630" s="443"/>
      <c r="C630" s="443"/>
      <c r="D630" s="443"/>
      <c r="E630" s="458"/>
      <c r="F630" s="458"/>
      <c r="G630" s="458"/>
      <c r="H630" s="458"/>
      <c r="I630" s="458"/>
      <c r="J630" s="458"/>
      <c r="K630" s="458"/>
      <c r="L630" s="458"/>
      <c r="M630" s="458"/>
      <c r="N630" s="458"/>
      <c r="O630" s="443"/>
      <c r="P630" s="447"/>
    </row>
    <row r="631" spans="1:16" s="497" customFormat="1" ht="15">
      <c r="A631" s="443"/>
      <c r="B631" s="443"/>
      <c r="C631" s="443"/>
      <c r="D631" s="443"/>
      <c r="E631" s="458"/>
      <c r="F631" s="458"/>
      <c r="G631" s="458"/>
      <c r="H631" s="458"/>
      <c r="I631" s="458"/>
      <c r="J631" s="458"/>
      <c r="K631" s="458"/>
      <c r="L631" s="458"/>
      <c r="M631" s="458"/>
      <c r="N631" s="458"/>
      <c r="O631" s="443"/>
      <c r="P631" s="447"/>
    </row>
    <row r="632" spans="1:16" s="497" customFormat="1" ht="15">
      <c r="A632" s="443"/>
      <c r="B632" s="443"/>
      <c r="C632" s="443"/>
      <c r="D632" s="443"/>
      <c r="E632" s="458"/>
      <c r="F632" s="458"/>
      <c r="G632" s="458"/>
      <c r="H632" s="458"/>
      <c r="I632" s="458"/>
      <c r="J632" s="458"/>
      <c r="K632" s="458"/>
      <c r="L632" s="458"/>
      <c r="M632" s="458"/>
      <c r="N632" s="458"/>
      <c r="O632" s="443"/>
      <c r="P632" s="447"/>
    </row>
    <row r="633" spans="1:16" s="497" customFormat="1" ht="15">
      <c r="A633" s="443"/>
      <c r="B633" s="443"/>
      <c r="C633" s="443"/>
      <c r="D633" s="443"/>
      <c r="E633" s="458"/>
      <c r="F633" s="458"/>
      <c r="G633" s="458"/>
      <c r="H633" s="458"/>
      <c r="I633" s="458"/>
      <c r="J633" s="458"/>
      <c r="K633" s="458"/>
      <c r="L633" s="458"/>
      <c r="M633" s="458"/>
      <c r="N633" s="458"/>
      <c r="O633" s="443"/>
      <c r="P633" s="447"/>
    </row>
    <row r="634" spans="1:16" s="497" customFormat="1" ht="15">
      <c r="A634" s="443"/>
      <c r="B634" s="443"/>
      <c r="C634" s="443"/>
      <c r="D634" s="443"/>
      <c r="E634" s="458"/>
      <c r="F634" s="458"/>
      <c r="G634" s="458"/>
      <c r="H634" s="458"/>
      <c r="I634" s="458"/>
      <c r="J634" s="458"/>
      <c r="K634" s="458"/>
      <c r="L634" s="458"/>
      <c r="M634" s="458"/>
      <c r="N634" s="458"/>
      <c r="O634" s="443"/>
      <c r="P634" s="447"/>
    </row>
    <row r="635" spans="1:16" s="497" customFormat="1" ht="15">
      <c r="A635" s="443"/>
      <c r="B635" s="443"/>
      <c r="C635" s="443"/>
      <c r="D635" s="443"/>
      <c r="E635" s="458"/>
      <c r="F635" s="458"/>
      <c r="G635" s="458"/>
      <c r="H635" s="458"/>
      <c r="I635" s="458"/>
      <c r="J635" s="458"/>
      <c r="K635" s="458"/>
      <c r="L635" s="458"/>
      <c r="M635" s="458"/>
      <c r="N635" s="458"/>
      <c r="O635" s="443"/>
      <c r="P635" s="447"/>
    </row>
    <row r="636" spans="1:16" s="497" customFormat="1" ht="15">
      <c r="A636" s="443"/>
      <c r="B636" s="443"/>
      <c r="C636" s="443"/>
      <c r="D636" s="443"/>
      <c r="E636" s="458"/>
      <c r="F636" s="458"/>
      <c r="G636" s="458"/>
      <c r="H636" s="458"/>
      <c r="I636" s="458"/>
      <c r="J636" s="458"/>
      <c r="K636" s="458"/>
      <c r="L636" s="458"/>
      <c r="M636" s="458"/>
      <c r="N636" s="458"/>
      <c r="O636" s="443"/>
      <c r="P636" s="447"/>
    </row>
    <row r="637" spans="1:16" s="497" customFormat="1" ht="15">
      <c r="A637" s="443"/>
      <c r="B637" s="443"/>
      <c r="C637" s="443"/>
      <c r="D637" s="443"/>
      <c r="E637" s="458"/>
      <c r="F637" s="458"/>
      <c r="G637" s="458"/>
      <c r="H637" s="458"/>
      <c r="I637" s="458"/>
      <c r="J637" s="458"/>
      <c r="K637" s="458"/>
      <c r="L637" s="458"/>
      <c r="M637" s="458"/>
      <c r="N637" s="458"/>
      <c r="O637" s="443"/>
      <c r="P637" s="447"/>
    </row>
    <row r="638" spans="1:16" s="497" customFormat="1" ht="15">
      <c r="A638" s="443"/>
      <c r="B638" s="443"/>
      <c r="C638" s="443"/>
      <c r="D638" s="443"/>
      <c r="E638" s="458"/>
      <c r="F638" s="458"/>
      <c r="G638" s="458"/>
      <c r="H638" s="458"/>
      <c r="I638" s="458"/>
      <c r="J638" s="458"/>
      <c r="K638" s="458"/>
      <c r="L638" s="458"/>
      <c r="M638" s="458"/>
      <c r="N638" s="458"/>
      <c r="O638" s="443"/>
      <c r="P638" s="447"/>
    </row>
    <row r="639" spans="1:16" s="497" customFormat="1" ht="15">
      <c r="A639" s="443"/>
      <c r="B639" s="443"/>
      <c r="C639" s="443"/>
      <c r="D639" s="443"/>
      <c r="E639" s="458"/>
      <c r="F639" s="458"/>
      <c r="G639" s="458"/>
      <c r="H639" s="458"/>
      <c r="I639" s="458"/>
      <c r="J639" s="458"/>
      <c r="K639" s="458"/>
      <c r="L639" s="458"/>
      <c r="M639" s="458"/>
      <c r="N639" s="458"/>
      <c r="O639" s="443"/>
      <c r="P639" s="447"/>
    </row>
    <row r="640" spans="1:16" s="497" customFormat="1" ht="15">
      <c r="A640" s="443"/>
      <c r="B640" s="443"/>
      <c r="C640" s="443"/>
      <c r="D640" s="443"/>
      <c r="E640" s="458"/>
      <c r="F640" s="458"/>
      <c r="G640" s="458"/>
      <c r="H640" s="458"/>
      <c r="I640" s="458"/>
      <c r="J640" s="458"/>
      <c r="K640" s="458"/>
      <c r="L640" s="458"/>
      <c r="M640" s="458"/>
      <c r="N640" s="458"/>
      <c r="O640" s="443"/>
      <c r="P640" s="447"/>
    </row>
    <row r="641" spans="1:16" s="497" customFormat="1" ht="15">
      <c r="A641" s="443"/>
      <c r="B641" s="443"/>
      <c r="C641" s="443"/>
      <c r="D641" s="443"/>
      <c r="E641" s="458"/>
      <c r="F641" s="458"/>
      <c r="G641" s="458"/>
      <c r="H641" s="458"/>
      <c r="I641" s="458"/>
      <c r="J641" s="458"/>
      <c r="K641" s="458"/>
      <c r="L641" s="458"/>
      <c r="M641" s="458"/>
      <c r="N641" s="458"/>
      <c r="O641" s="443"/>
      <c r="P641" s="447"/>
    </row>
    <row r="642" spans="1:16" s="497" customFormat="1" ht="15">
      <c r="A642" s="443"/>
      <c r="B642" s="443"/>
      <c r="C642" s="443"/>
      <c r="D642" s="443"/>
      <c r="E642" s="458"/>
      <c r="F642" s="458"/>
      <c r="G642" s="458"/>
      <c r="H642" s="458"/>
      <c r="I642" s="458"/>
      <c r="J642" s="458"/>
      <c r="K642" s="458"/>
      <c r="L642" s="458"/>
      <c r="M642" s="458"/>
      <c r="N642" s="458"/>
      <c r="O642" s="443"/>
      <c r="P642" s="447"/>
    </row>
    <row r="643" spans="1:16" s="497" customFormat="1" ht="15">
      <c r="A643" s="443"/>
      <c r="B643" s="443"/>
      <c r="C643" s="443"/>
      <c r="D643" s="443"/>
      <c r="E643" s="458"/>
      <c r="F643" s="458"/>
      <c r="G643" s="458"/>
      <c r="H643" s="458"/>
      <c r="I643" s="458"/>
      <c r="J643" s="458"/>
      <c r="K643" s="458"/>
      <c r="L643" s="458"/>
      <c r="M643" s="458"/>
      <c r="N643" s="458"/>
      <c r="O643" s="443"/>
      <c r="P643" s="447"/>
    </row>
    <row r="644" spans="1:16" s="497" customFormat="1" ht="15">
      <c r="A644" s="443"/>
      <c r="B644" s="443"/>
      <c r="C644" s="443"/>
      <c r="D644" s="443"/>
      <c r="E644" s="458"/>
      <c r="F644" s="458"/>
      <c r="G644" s="458"/>
      <c r="H644" s="458"/>
      <c r="I644" s="458"/>
      <c r="J644" s="458"/>
      <c r="K644" s="458"/>
      <c r="L644" s="458"/>
      <c r="M644" s="458"/>
      <c r="N644" s="458"/>
      <c r="O644" s="443"/>
      <c r="P644" s="447"/>
    </row>
    <row r="645" spans="1:16" s="497" customFormat="1" ht="15">
      <c r="A645" s="443"/>
      <c r="B645" s="443"/>
      <c r="C645" s="443"/>
      <c r="D645" s="443"/>
      <c r="E645" s="458"/>
      <c r="F645" s="458"/>
      <c r="G645" s="458"/>
      <c r="H645" s="458"/>
      <c r="I645" s="458"/>
      <c r="J645" s="458"/>
      <c r="K645" s="458"/>
      <c r="L645" s="458"/>
      <c r="M645" s="458"/>
      <c r="N645" s="458"/>
      <c r="O645" s="443"/>
      <c r="P645" s="447"/>
    </row>
    <row r="646" spans="1:16" s="497" customFormat="1" ht="15">
      <c r="A646" s="443"/>
      <c r="B646" s="443"/>
      <c r="C646" s="443"/>
      <c r="D646" s="443"/>
      <c r="E646" s="458"/>
      <c r="F646" s="458"/>
      <c r="G646" s="458"/>
      <c r="H646" s="458"/>
      <c r="I646" s="458"/>
      <c r="J646" s="458"/>
      <c r="K646" s="458"/>
      <c r="L646" s="458"/>
      <c r="M646" s="458"/>
      <c r="N646" s="458"/>
      <c r="O646" s="443"/>
      <c r="P646" s="447"/>
    </row>
    <row r="647" spans="1:16" s="497" customFormat="1" ht="15">
      <c r="A647" s="443"/>
      <c r="B647" s="443"/>
      <c r="C647" s="443"/>
      <c r="D647" s="443"/>
      <c r="E647" s="458"/>
      <c r="F647" s="458"/>
      <c r="G647" s="458"/>
      <c r="H647" s="458"/>
      <c r="I647" s="458"/>
      <c r="J647" s="458"/>
      <c r="K647" s="458"/>
      <c r="L647" s="458"/>
      <c r="M647" s="458"/>
      <c r="N647" s="458"/>
      <c r="O647" s="443"/>
      <c r="P647" s="447"/>
    </row>
    <row r="648" spans="1:16" s="497" customFormat="1" ht="15">
      <c r="A648" s="443"/>
      <c r="B648" s="443"/>
      <c r="C648" s="443"/>
      <c r="D648" s="443"/>
      <c r="E648" s="458"/>
      <c r="F648" s="458"/>
      <c r="G648" s="458"/>
      <c r="H648" s="458"/>
      <c r="I648" s="458"/>
      <c r="J648" s="458"/>
      <c r="K648" s="458"/>
      <c r="L648" s="458"/>
      <c r="M648" s="458"/>
      <c r="N648" s="458"/>
      <c r="O648" s="443"/>
      <c r="P648" s="447"/>
    </row>
    <row r="649" spans="1:16" s="497" customFormat="1" ht="15">
      <c r="A649" s="443"/>
      <c r="B649" s="443"/>
      <c r="C649" s="443"/>
      <c r="D649" s="443"/>
      <c r="E649" s="458"/>
      <c r="F649" s="458"/>
      <c r="G649" s="458"/>
      <c r="H649" s="458"/>
      <c r="I649" s="458"/>
      <c r="J649" s="458"/>
      <c r="K649" s="458"/>
      <c r="L649" s="458"/>
      <c r="M649" s="458"/>
      <c r="N649" s="458"/>
      <c r="O649" s="443"/>
      <c r="P649" s="447"/>
    </row>
    <row r="650" spans="1:16" s="497" customFormat="1" ht="15">
      <c r="A650" s="443"/>
      <c r="B650" s="443"/>
      <c r="C650" s="443"/>
      <c r="D650" s="443"/>
      <c r="E650" s="458"/>
      <c r="F650" s="458"/>
      <c r="G650" s="458"/>
      <c r="H650" s="458"/>
      <c r="I650" s="458"/>
      <c r="J650" s="458"/>
      <c r="K650" s="458"/>
      <c r="L650" s="458"/>
      <c r="M650" s="458"/>
      <c r="N650" s="458"/>
      <c r="O650" s="443"/>
      <c r="P650" s="447"/>
    </row>
    <row r="651" spans="1:16" s="497" customFormat="1" ht="15">
      <c r="A651" s="443"/>
      <c r="B651" s="443"/>
      <c r="C651" s="443"/>
      <c r="D651" s="443"/>
      <c r="E651" s="458"/>
      <c r="F651" s="458"/>
      <c r="G651" s="458"/>
      <c r="H651" s="458"/>
      <c r="I651" s="458"/>
      <c r="J651" s="458"/>
      <c r="K651" s="458"/>
      <c r="L651" s="458"/>
      <c r="M651" s="458"/>
      <c r="N651" s="458"/>
      <c r="O651" s="443"/>
      <c r="P651" s="447"/>
    </row>
    <row r="652" spans="1:16" s="497" customFormat="1" ht="15">
      <c r="A652" s="443"/>
      <c r="B652" s="443"/>
      <c r="C652" s="443"/>
      <c r="D652" s="443"/>
      <c r="E652" s="458"/>
      <c r="F652" s="458"/>
      <c r="G652" s="458"/>
      <c r="H652" s="458"/>
      <c r="I652" s="458"/>
      <c r="J652" s="458"/>
      <c r="K652" s="458"/>
      <c r="L652" s="458"/>
      <c r="M652" s="458"/>
      <c r="N652" s="458"/>
      <c r="O652" s="443"/>
      <c r="P652" s="447"/>
    </row>
    <row r="653" spans="1:16" s="497" customFormat="1" ht="15">
      <c r="A653" s="443"/>
      <c r="B653" s="443"/>
      <c r="C653" s="443"/>
      <c r="D653" s="443"/>
      <c r="E653" s="458"/>
      <c r="F653" s="458"/>
      <c r="G653" s="458"/>
      <c r="H653" s="458"/>
      <c r="I653" s="458"/>
      <c r="J653" s="458"/>
      <c r="K653" s="458"/>
      <c r="L653" s="458"/>
      <c r="M653" s="458"/>
      <c r="N653" s="458"/>
      <c r="O653" s="443"/>
      <c r="P653" s="447"/>
    </row>
    <row r="654" spans="1:16" s="497" customFormat="1" ht="15">
      <c r="A654" s="443"/>
      <c r="B654" s="443"/>
      <c r="C654" s="443"/>
      <c r="D654" s="443"/>
      <c r="E654" s="458"/>
      <c r="F654" s="458"/>
      <c r="G654" s="458"/>
      <c r="H654" s="458"/>
      <c r="I654" s="458"/>
      <c r="J654" s="458"/>
      <c r="K654" s="458"/>
      <c r="L654" s="458"/>
      <c r="M654" s="458"/>
      <c r="N654" s="458"/>
      <c r="O654" s="443"/>
      <c r="P654" s="447"/>
    </row>
    <row r="655" spans="1:16" s="497" customFormat="1" ht="15">
      <c r="A655" s="443"/>
      <c r="B655" s="443"/>
      <c r="C655" s="443"/>
      <c r="D655" s="443"/>
      <c r="E655" s="458"/>
      <c r="F655" s="458"/>
      <c r="G655" s="458"/>
      <c r="H655" s="458"/>
      <c r="I655" s="458"/>
      <c r="J655" s="458"/>
      <c r="K655" s="458"/>
      <c r="L655" s="458"/>
      <c r="M655" s="458"/>
      <c r="N655" s="458"/>
      <c r="O655" s="443"/>
      <c r="P655" s="447"/>
    </row>
    <row r="656" spans="1:16" s="497" customFormat="1" ht="15">
      <c r="A656" s="443"/>
      <c r="B656" s="443"/>
      <c r="C656" s="443"/>
      <c r="D656" s="443"/>
      <c r="E656" s="458"/>
      <c r="F656" s="458"/>
      <c r="G656" s="458"/>
      <c r="H656" s="458"/>
      <c r="I656" s="458"/>
      <c r="J656" s="458"/>
      <c r="K656" s="458"/>
      <c r="L656" s="458"/>
      <c r="M656" s="458"/>
      <c r="N656" s="458"/>
      <c r="O656" s="443"/>
      <c r="P656" s="447"/>
    </row>
    <row r="657" spans="1:16" s="497" customFormat="1" ht="15">
      <c r="A657" s="443"/>
      <c r="B657" s="443"/>
      <c r="C657" s="443"/>
      <c r="D657" s="443"/>
      <c r="E657" s="458"/>
      <c r="F657" s="458"/>
      <c r="G657" s="458"/>
      <c r="H657" s="458"/>
      <c r="I657" s="458"/>
      <c r="J657" s="458"/>
      <c r="K657" s="458"/>
      <c r="L657" s="458"/>
      <c r="M657" s="458"/>
      <c r="N657" s="458"/>
      <c r="O657" s="443"/>
      <c r="P657" s="447"/>
    </row>
    <row r="658" spans="1:16" s="497" customFormat="1" ht="15">
      <c r="A658" s="443"/>
      <c r="B658" s="443"/>
      <c r="C658" s="443"/>
      <c r="D658" s="443"/>
      <c r="E658" s="458"/>
      <c r="F658" s="458"/>
      <c r="G658" s="458"/>
      <c r="H658" s="458"/>
      <c r="I658" s="458"/>
      <c r="J658" s="458"/>
      <c r="K658" s="458"/>
      <c r="L658" s="458"/>
      <c r="M658" s="458"/>
      <c r="N658" s="458"/>
      <c r="O658" s="443"/>
      <c r="P658" s="447"/>
    </row>
    <row r="659" spans="1:16" s="497" customFormat="1" ht="15">
      <c r="A659" s="443"/>
      <c r="B659" s="443"/>
      <c r="C659" s="443"/>
      <c r="D659" s="443"/>
      <c r="E659" s="458"/>
      <c r="F659" s="458"/>
      <c r="G659" s="458"/>
      <c r="H659" s="458"/>
      <c r="I659" s="458"/>
      <c r="J659" s="458"/>
      <c r="K659" s="458"/>
      <c r="L659" s="458"/>
      <c r="M659" s="458"/>
      <c r="N659" s="458"/>
      <c r="O659" s="443"/>
      <c r="P659" s="447"/>
    </row>
    <row r="660" spans="1:16" s="497" customFormat="1" ht="15">
      <c r="A660" s="443"/>
      <c r="B660" s="443"/>
      <c r="C660" s="443"/>
      <c r="D660" s="443"/>
      <c r="E660" s="458"/>
      <c r="F660" s="458"/>
      <c r="G660" s="458"/>
      <c r="H660" s="458"/>
      <c r="I660" s="458"/>
      <c r="J660" s="458"/>
      <c r="K660" s="458"/>
      <c r="L660" s="458"/>
      <c r="M660" s="458"/>
      <c r="N660" s="458"/>
      <c r="O660" s="443"/>
      <c r="P660" s="447"/>
    </row>
    <row r="661" spans="1:16" s="497" customFormat="1" ht="15">
      <c r="A661" s="443"/>
      <c r="B661" s="443"/>
      <c r="C661" s="443"/>
      <c r="D661" s="443"/>
      <c r="E661" s="458"/>
      <c r="F661" s="458"/>
      <c r="G661" s="458"/>
      <c r="H661" s="458"/>
      <c r="I661" s="458"/>
      <c r="J661" s="458"/>
      <c r="K661" s="458"/>
      <c r="L661" s="458"/>
      <c r="M661" s="458"/>
      <c r="N661" s="458"/>
      <c r="O661" s="443"/>
      <c r="P661" s="447"/>
    </row>
    <row r="662" spans="1:16" s="497" customFormat="1" ht="15">
      <c r="A662" s="443"/>
      <c r="B662" s="443"/>
      <c r="C662" s="443"/>
      <c r="D662" s="443"/>
      <c r="E662" s="458"/>
      <c r="F662" s="458"/>
      <c r="G662" s="458"/>
      <c r="H662" s="458"/>
      <c r="I662" s="458"/>
      <c r="J662" s="458"/>
      <c r="K662" s="458"/>
      <c r="L662" s="458"/>
      <c r="M662" s="458"/>
      <c r="N662" s="458"/>
      <c r="O662" s="443"/>
      <c r="P662" s="447"/>
    </row>
    <row r="663" spans="1:16" s="497" customFormat="1" ht="15">
      <c r="A663" s="443"/>
      <c r="B663" s="443"/>
      <c r="C663" s="443"/>
      <c r="D663" s="443"/>
      <c r="E663" s="458"/>
      <c r="F663" s="458"/>
      <c r="G663" s="458"/>
      <c r="H663" s="458"/>
      <c r="I663" s="458"/>
      <c r="J663" s="458"/>
      <c r="K663" s="458"/>
      <c r="L663" s="458"/>
      <c r="M663" s="458"/>
      <c r="N663" s="458"/>
      <c r="O663" s="443"/>
      <c r="P663" s="447"/>
    </row>
    <row r="664" spans="1:16" s="497" customFormat="1" ht="15">
      <c r="A664" s="443"/>
      <c r="B664" s="443"/>
      <c r="C664" s="443"/>
      <c r="D664" s="443"/>
      <c r="E664" s="458"/>
      <c r="F664" s="458"/>
      <c r="G664" s="458"/>
      <c r="H664" s="458"/>
      <c r="I664" s="458"/>
      <c r="J664" s="458"/>
      <c r="K664" s="458"/>
      <c r="L664" s="458"/>
      <c r="M664" s="458"/>
      <c r="N664" s="458"/>
      <c r="O664" s="443"/>
      <c r="P664" s="447"/>
    </row>
    <row r="665" spans="1:16" s="497" customFormat="1" ht="15">
      <c r="A665" s="443"/>
      <c r="B665" s="443"/>
      <c r="C665" s="443"/>
      <c r="D665" s="443"/>
      <c r="E665" s="458"/>
      <c r="F665" s="458"/>
      <c r="G665" s="458"/>
      <c r="H665" s="458"/>
      <c r="I665" s="458"/>
      <c r="J665" s="458"/>
      <c r="K665" s="458"/>
      <c r="L665" s="458"/>
      <c r="M665" s="458"/>
      <c r="N665" s="458"/>
      <c r="O665" s="443"/>
      <c r="P665" s="447"/>
    </row>
    <row r="666" spans="1:16" s="497" customFormat="1" ht="15">
      <c r="A666" s="443"/>
      <c r="B666" s="443"/>
      <c r="C666" s="443"/>
      <c r="D666" s="443"/>
      <c r="E666" s="458"/>
      <c r="F666" s="458"/>
      <c r="G666" s="458"/>
      <c r="H666" s="458"/>
      <c r="I666" s="458"/>
      <c r="J666" s="458"/>
      <c r="K666" s="458"/>
      <c r="L666" s="458"/>
      <c r="M666" s="458"/>
      <c r="N666" s="458"/>
      <c r="O666" s="443"/>
      <c r="P666" s="447"/>
    </row>
    <row r="667" spans="1:16" s="497" customFormat="1" ht="15">
      <c r="A667" s="443"/>
      <c r="B667" s="443"/>
      <c r="C667" s="443"/>
      <c r="D667" s="443"/>
      <c r="E667" s="458"/>
      <c r="F667" s="458"/>
      <c r="G667" s="458"/>
      <c r="H667" s="458"/>
      <c r="I667" s="458"/>
      <c r="J667" s="458"/>
      <c r="K667" s="458"/>
      <c r="L667" s="458"/>
      <c r="M667" s="458"/>
      <c r="N667" s="458"/>
      <c r="O667" s="443"/>
      <c r="P667" s="447"/>
    </row>
    <row r="668" spans="1:16" s="497" customFormat="1" ht="15">
      <c r="A668" s="443"/>
      <c r="B668" s="443"/>
      <c r="C668" s="443"/>
      <c r="D668" s="443"/>
      <c r="E668" s="458"/>
      <c r="F668" s="458"/>
      <c r="G668" s="458"/>
      <c r="H668" s="458"/>
      <c r="I668" s="458"/>
      <c r="J668" s="458"/>
      <c r="K668" s="458"/>
      <c r="L668" s="458"/>
      <c r="M668" s="458"/>
      <c r="N668" s="458"/>
      <c r="O668" s="443"/>
      <c r="P668" s="447"/>
    </row>
    <row r="669" spans="1:16" s="497" customFormat="1" ht="15">
      <c r="A669" s="443"/>
      <c r="B669" s="443"/>
      <c r="C669" s="443"/>
      <c r="D669" s="443"/>
      <c r="E669" s="458"/>
      <c r="F669" s="458"/>
      <c r="G669" s="458"/>
      <c r="H669" s="458"/>
      <c r="I669" s="458"/>
      <c r="J669" s="458"/>
      <c r="K669" s="458"/>
      <c r="L669" s="458"/>
      <c r="M669" s="458"/>
      <c r="N669" s="458"/>
      <c r="O669" s="443"/>
      <c r="P669" s="447"/>
    </row>
    <row r="670" spans="1:16" s="497" customFormat="1" ht="15">
      <c r="A670" s="443"/>
      <c r="B670" s="443"/>
      <c r="C670" s="443"/>
      <c r="D670" s="443"/>
      <c r="E670" s="458"/>
      <c r="F670" s="458"/>
      <c r="G670" s="458"/>
      <c r="H670" s="458"/>
      <c r="I670" s="458"/>
      <c r="J670" s="458"/>
      <c r="K670" s="458"/>
      <c r="L670" s="458"/>
      <c r="M670" s="458"/>
      <c r="N670" s="458"/>
      <c r="O670" s="443"/>
      <c r="P670" s="447"/>
    </row>
    <row r="671" spans="1:16" s="497" customFormat="1" ht="15">
      <c r="A671" s="443"/>
      <c r="B671" s="443"/>
      <c r="C671" s="443"/>
      <c r="D671" s="443"/>
      <c r="E671" s="458"/>
      <c r="F671" s="458"/>
      <c r="G671" s="458"/>
      <c r="H671" s="458"/>
      <c r="I671" s="458"/>
      <c r="J671" s="458"/>
      <c r="K671" s="458"/>
      <c r="L671" s="458"/>
      <c r="M671" s="458"/>
      <c r="N671" s="458"/>
      <c r="O671" s="443"/>
      <c r="P671" s="447"/>
    </row>
    <row r="672" spans="1:16" s="497" customFormat="1" ht="15">
      <c r="A672" s="443"/>
      <c r="B672" s="443"/>
      <c r="C672" s="443"/>
      <c r="D672" s="443"/>
      <c r="E672" s="458"/>
      <c r="F672" s="458"/>
      <c r="G672" s="458"/>
      <c r="H672" s="458"/>
      <c r="I672" s="458"/>
      <c r="J672" s="458"/>
      <c r="K672" s="458"/>
      <c r="L672" s="458"/>
      <c r="M672" s="458"/>
      <c r="N672" s="458"/>
      <c r="O672" s="443"/>
      <c r="P672" s="447"/>
    </row>
    <row r="673" spans="1:16" s="497" customFormat="1" ht="15">
      <c r="A673" s="443"/>
      <c r="B673" s="443"/>
      <c r="C673" s="443"/>
      <c r="D673" s="443"/>
      <c r="E673" s="458"/>
      <c r="F673" s="458"/>
      <c r="G673" s="458"/>
      <c r="H673" s="458"/>
      <c r="I673" s="458"/>
      <c r="J673" s="458"/>
      <c r="K673" s="458"/>
      <c r="L673" s="458"/>
      <c r="M673" s="458"/>
      <c r="N673" s="458"/>
      <c r="O673" s="443"/>
      <c r="P673" s="447"/>
    </row>
    <row r="674" spans="1:16" s="497" customFormat="1" ht="15">
      <c r="A674" s="443"/>
      <c r="B674" s="443"/>
      <c r="C674" s="443"/>
      <c r="D674" s="443"/>
      <c r="E674" s="458"/>
      <c r="F674" s="458"/>
      <c r="G674" s="458"/>
      <c r="H674" s="458"/>
      <c r="I674" s="458"/>
      <c r="J674" s="458"/>
      <c r="K674" s="458"/>
      <c r="L674" s="458"/>
      <c r="M674" s="458"/>
      <c r="N674" s="458"/>
      <c r="O674" s="443"/>
      <c r="P674" s="447"/>
    </row>
    <row r="675" spans="1:16" s="497" customFormat="1" ht="15">
      <c r="A675" s="443"/>
      <c r="B675" s="443"/>
      <c r="C675" s="443"/>
      <c r="D675" s="443"/>
      <c r="E675" s="458"/>
      <c r="F675" s="458"/>
      <c r="G675" s="458"/>
      <c r="H675" s="458"/>
      <c r="I675" s="458"/>
      <c r="J675" s="458"/>
      <c r="K675" s="458"/>
      <c r="L675" s="458"/>
      <c r="M675" s="458"/>
      <c r="N675" s="458"/>
      <c r="O675" s="443"/>
      <c r="P675" s="447"/>
    </row>
    <row r="676" spans="1:16" s="497" customFormat="1" ht="15">
      <c r="A676" s="443"/>
      <c r="B676" s="443"/>
      <c r="C676" s="443"/>
      <c r="D676" s="443"/>
      <c r="E676" s="458"/>
      <c r="F676" s="458"/>
      <c r="G676" s="458"/>
      <c r="H676" s="458"/>
      <c r="I676" s="458"/>
      <c r="J676" s="458"/>
      <c r="K676" s="458"/>
      <c r="L676" s="458"/>
      <c r="M676" s="458"/>
      <c r="N676" s="458"/>
      <c r="O676" s="443"/>
      <c r="P676" s="447"/>
    </row>
    <row r="677" spans="1:16" s="497" customFormat="1" ht="15">
      <c r="A677" s="443"/>
      <c r="B677" s="443"/>
      <c r="C677" s="443"/>
      <c r="D677" s="443"/>
      <c r="E677" s="458"/>
      <c r="F677" s="458"/>
      <c r="G677" s="458"/>
      <c r="H677" s="458"/>
      <c r="I677" s="458"/>
      <c r="J677" s="458"/>
      <c r="K677" s="458"/>
      <c r="L677" s="458"/>
      <c r="M677" s="458"/>
      <c r="N677" s="458"/>
      <c r="O677" s="443"/>
      <c r="P677" s="447"/>
    </row>
    <row r="678" spans="1:16" s="497" customFormat="1" ht="15">
      <c r="A678" s="443"/>
      <c r="B678" s="443"/>
      <c r="C678" s="443"/>
      <c r="D678" s="443"/>
      <c r="E678" s="458"/>
      <c r="F678" s="458"/>
      <c r="G678" s="458"/>
      <c r="H678" s="458"/>
      <c r="I678" s="458"/>
      <c r="J678" s="458"/>
      <c r="K678" s="458"/>
      <c r="L678" s="458"/>
      <c r="M678" s="458"/>
      <c r="N678" s="458"/>
      <c r="O678" s="443"/>
      <c r="P678" s="447"/>
    </row>
    <row r="679" spans="1:16" s="497" customFormat="1" ht="15">
      <c r="A679" s="443"/>
      <c r="B679" s="443"/>
      <c r="C679" s="443"/>
      <c r="D679" s="443"/>
      <c r="E679" s="458"/>
      <c r="F679" s="458"/>
      <c r="G679" s="458"/>
      <c r="H679" s="458"/>
      <c r="I679" s="458"/>
      <c r="J679" s="458"/>
      <c r="K679" s="458"/>
      <c r="L679" s="458"/>
      <c r="M679" s="458"/>
      <c r="N679" s="458"/>
      <c r="O679" s="443"/>
      <c r="P679" s="447"/>
    </row>
    <row r="680" spans="1:16" s="497" customFormat="1" ht="15">
      <c r="A680" s="443"/>
      <c r="B680" s="443"/>
      <c r="C680" s="443"/>
      <c r="D680" s="443"/>
      <c r="E680" s="458"/>
      <c r="F680" s="458"/>
      <c r="G680" s="458"/>
      <c r="H680" s="458"/>
      <c r="I680" s="458"/>
      <c r="J680" s="458"/>
      <c r="K680" s="458"/>
      <c r="L680" s="458"/>
      <c r="M680" s="458"/>
      <c r="N680" s="458"/>
      <c r="O680" s="443"/>
      <c r="P680" s="447"/>
    </row>
    <row r="681" spans="1:16" s="497" customFormat="1" ht="15">
      <c r="A681" s="443"/>
      <c r="B681" s="443"/>
      <c r="C681" s="443"/>
      <c r="D681" s="443"/>
      <c r="E681" s="458"/>
      <c r="F681" s="458"/>
      <c r="G681" s="458"/>
      <c r="H681" s="458"/>
      <c r="I681" s="458"/>
      <c r="J681" s="458"/>
      <c r="K681" s="458"/>
      <c r="L681" s="458"/>
      <c r="M681" s="458"/>
      <c r="N681" s="458"/>
      <c r="O681" s="443"/>
      <c r="P681" s="447"/>
    </row>
    <row r="682" spans="1:16" s="497" customFormat="1" ht="15">
      <c r="A682" s="443"/>
      <c r="B682" s="443"/>
      <c r="C682" s="443"/>
      <c r="D682" s="443"/>
      <c r="E682" s="458"/>
      <c r="F682" s="458"/>
      <c r="G682" s="458"/>
      <c r="H682" s="458"/>
      <c r="I682" s="458"/>
      <c r="J682" s="458"/>
      <c r="K682" s="458"/>
      <c r="L682" s="458"/>
      <c r="M682" s="458"/>
      <c r="N682" s="458"/>
      <c r="O682" s="443"/>
      <c r="P682" s="447"/>
    </row>
    <row r="683" spans="1:16" s="497" customFormat="1" ht="15">
      <c r="A683" s="443"/>
      <c r="B683" s="443"/>
      <c r="C683" s="443"/>
      <c r="D683" s="443"/>
      <c r="E683" s="458"/>
      <c r="F683" s="458"/>
      <c r="G683" s="458"/>
      <c r="H683" s="458"/>
      <c r="I683" s="458"/>
      <c r="J683" s="458"/>
      <c r="K683" s="458"/>
      <c r="L683" s="458"/>
      <c r="M683" s="458"/>
      <c r="N683" s="458"/>
      <c r="O683" s="443"/>
      <c r="P683" s="447"/>
    </row>
    <row r="684" spans="1:16" s="497" customFormat="1" ht="15">
      <c r="A684" s="443"/>
      <c r="B684" s="443"/>
      <c r="C684" s="443"/>
      <c r="D684" s="443"/>
      <c r="E684" s="458"/>
      <c r="F684" s="458"/>
      <c r="G684" s="458"/>
      <c r="H684" s="458"/>
      <c r="I684" s="458"/>
      <c r="J684" s="458"/>
      <c r="K684" s="458"/>
      <c r="L684" s="458"/>
      <c r="M684" s="458"/>
      <c r="N684" s="458"/>
      <c r="O684" s="443"/>
      <c r="P684" s="447"/>
    </row>
    <row r="685" spans="1:16" s="497" customFormat="1" ht="15">
      <c r="A685" s="443"/>
      <c r="B685" s="443"/>
      <c r="C685" s="443"/>
      <c r="D685" s="443"/>
      <c r="E685" s="458"/>
      <c r="F685" s="458"/>
      <c r="G685" s="458"/>
      <c r="H685" s="458"/>
      <c r="I685" s="458"/>
      <c r="J685" s="458"/>
      <c r="K685" s="458"/>
      <c r="L685" s="458"/>
      <c r="M685" s="458"/>
      <c r="N685" s="458"/>
      <c r="O685" s="443"/>
      <c r="P685" s="447"/>
    </row>
    <row r="686" spans="1:16" s="497" customFormat="1" ht="15">
      <c r="A686" s="443"/>
      <c r="B686" s="443"/>
      <c r="C686" s="443"/>
      <c r="D686" s="443"/>
      <c r="E686" s="458"/>
      <c r="F686" s="458"/>
      <c r="G686" s="458"/>
      <c r="H686" s="458"/>
      <c r="I686" s="458"/>
      <c r="J686" s="458"/>
      <c r="K686" s="458"/>
      <c r="L686" s="458"/>
      <c r="M686" s="458"/>
      <c r="N686" s="458"/>
      <c r="O686" s="443"/>
      <c r="P686" s="447"/>
    </row>
    <row r="687" spans="1:16" s="497" customFormat="1" ht="15">
      <c r="A687" s="443"/>
      <c r="B687" s="443"/>
      <c r="C687" s="443"/>
      <c r="D687" s="443"/>
      <c r="E687" s="458"/>
      <c r="F687" s="458"/>
      <c r="G687" s="458"/>
      <c r="H687" s="458"/>
      <c r="I687" s="458"/>
      <c r="J687" s="458"/>
      <c r="K687" s="458"/>
      <c r="L687" s="458"/>
      <c r="M687" s="458"/>
      <c r="N687" s="458"/>
      <c r="O687" s="443"/>
      <c r="P687" s="447"/>
    </row>
    <row r="688" spans="1:16" s="497" customFormat="1" ht="15">
      <c r="A688" s="443"/>
      <c r="B688" s="443"/>
      <c r="C688" s="443"/>
      <c r="D688" s="443"/>
      <c r="E688" s="458"/>
      <c r="F688" s="458"/>
      <c r="G688" s="458"/>
      <c r="H688" s="458"/>
      <c r="I688" s="458"/>
      <c r="J688" s="458"/>
      <c r="K688" s="458"/>
      <c r="L688" s="458"/>
      <c r="M688" s="458"/>
      <c r="N688" s="458"/>
      <c r="O688" s="443"/>
      <c r="P688" s="447"/>
    </row>
    <row r="689" spans="1:16" s="497" customFormat="1" ht="15">
      <c r="A689" s="443"/>
      <c r="B689" s="443"/>
      <c r="C689" s="443"/>
      <c r="D689" s="443"/>
      <c r="E689" s="458"/>
      <c r="F689" s="458"/>
      <c r="G689" s="458"/>
      <c r="H689" s="458"/>
      <c r="I689" s="458"/>
      <c r="J689" s="458"/>
      <c r="K689" s="458"/>
      <c r="L689" s="458"/>
      <c r="M689" s="458"/>
      <c r="N689" s="458"/>
      <c r="O689" s="443"/>
      <c r="P689" s="447"/>
    </row>
    <row r="690" spans="1:16" s="497" customFormat="1" ht="15">
      <c r="A690" s="443"/>
      <c r="B690" s="443"/>
      <c r="C690" s="443"/>
      <c r="D690" s="443"/>
      <c r="E690" s="458"/>
      <c r="F690" s="458"/>
      <c r="G690" s="458"/>
      <c r="H690" s="458"/>
      <c r="I690" s="458"/>
      <c r="J690" s="458"/>
      <c r="K690" s="458"/>
      <c r="L690" s="458"/>
      <c r="M690" s="458"/>
      <c r="N690" s="458"/>
      <c r="O690" s="443"/>
      <c r="P690" s="447"/>
    </row>
    <row r="691" spans="1:16" s="497" customFormat="1" ht="15">
      <c r="A691" s="443"/>
      <c r="B691" s="443"/>
      <c r="C691" s="443"/>
      <c r="D691" s="443"/>
      <c r="E691" s="458"/>
      <c r="F691" s="458"/>
      <c r="G691" s="458"/>
      <c r="H691" s="458"/>
      <c r="I691" s="458"/>
      <c r="J691" s="458"/>
      <c r="K691" s="458"/>
      <c r="L691" s="458"/>
      <c r="M691" s="458"/>
      <c r="N691" s="458"/>
      <c r="O691" s="443"/>
      <c r="P691" s="447"/>
    </row>
    <row r="692" spans="1:16" s="497" customFormat="1" ht="15">
      <c r="A692" s="443"/>
      <c r="B692" s="443"/>
      <c r="C692" s="443"/>
      <c r="D692" s="443"/>
      <c r="E692" s="458"/>
      <c r="F692" s="458"/>
      <c r="G692" s="458"/>
      <c r="H692" s="458"/>
      <c r="I692" s="458"/>
      <c r="J692" s="458"/>
      <c r="K692" s="458"/>
      <c r="L692" s="458"/>
      <c r="M692" s="458"/>
      <c r="N692" s="458"/>
      <c r="O692" s="443"/>
      <c r="P692" s="447"/>
    </row>
    <row r="693" spans="1:16" s="497" customFormat="1" ht="15">
      <c r="A693" s="443"/>
      <c r="B693" s="443"/>
      <c r="C693" s="443"/>
      <c r="D693" s="443"/>
      <c r="E693" s="458"/>
      <c r="F693" s="458"/>
      <c r="G693" s="458"/>
      <c r="H693" s="458"/>
      <c r="I693" s="458"/>
      <c r="J693" s="458"/>
      <c r="K693" s="458"/>
      <c r="L693" s="458"/>
      <c r="M693" s="458"/>
      <c r="N693" s="458"/>
      <c r="O693" s="443"/>
      <c r="P693" s="447"/>
    </row>
    <row r="694" spans="1:16" s="497" customFormat="1" ht="15">
      <c r="A694" s="443"/>
      <c r="B694" s="443"/>
      <c r="C694" s="443"/>
      <c r="D694" s="443"/>
      <c r="E694" s="458"/>
      <c r="F694" s="458"/>
      <c r="G694" s="458"/>
      <c r="H694" s="458"/>
      <c r="I694" s="458"/>
      <c r="J694" s="458"/>
      <c r="K694" s="458"/>
      <c r="L694" s="458"/>
      <c r="M694" s="458"/>
      <c r="N694" s="458"/>
      <c r="O694" s="443"/>
      <c r="P694" s="447"/>
    </row>
    <row r="695" spans="1:16" s="497" customFormat="1" ht="15">
      <c r="A695" s="443"/>
      <c r="B695" s="443"/>
      <c r="C695" s="443"/>
      <c r="D695" s="443"/>
      <c r="E695" s="458"/>
      <c r="F695" s="458"/>
      <c r="G695" s="458"/>
      <c r="H695" s="458"/>
      <c r="I695" s="458"/>
      <c r="J695" s="458"/>
      <c r="K695" s="458"/>
      <c r="L695" s="458"/>
      <c r="M695" s="458"/>
      <c r="N695" s="458"/>
      <c r="O695" s="443"/>
      <c r="P695" s="447"/>
    </row>
    <row r="696" spans="1:16" s="497" customFormat="1" ht="15">
      <c r="A696" s="443"/>
      <c r="B696" s="443"/>
      <c r="C696" s="443"/>
      <c r="D696" s="443"/>
      <c r="E696" s="458"/>
      <c r="F696" s="458"/>
      <c r="G696" s="458"/>
      <c r="H696" s="458"/>
      <c r="I696" s="458"/>
      <c r="J696" s="458"/>
      <c r="K696" s="458"/>
      <c r="L696" s="458"/>
      <c r="M696" s="458"/>
      <c r="N696" s="458"/>
      <c r="O696" s="443"/>
      <c r="P696" s="447"/>
    </row>
    <row r="697" spans="1:16" s="497" customFormat="1" ht="15">
      <c r="A697" s="443"/>
      <c r="B697" s="443"/>
      <c r="C697" s="443"/>
      <c r="D697" s="443"/>
      <c r="E697" s="458"/>
      <c r="F697" s="458"/>
      <c r="G697" s="458"/>
      <c r="H697" s="458"/>
      <c r="I697" s="458"/>
      <c r="J697" s="458"/>
      <c r="K697" s="458"/>
      <c r="L697" s="458"/>
      <c r="M697" s="458"/>
      <c r="N697" s="458"/>
      <c r="O697" s="443"/>
      <c r="P697" s="447"/>
    </row>
    <row r="698" spans="1:16" s="497" customFormat="1" ht="15">
      <c r="A698" s="443"/>
      <c r="B698" s="443"/>
      <c r="C698" s="443"/>
      <c r="D698" s="443"/>
      <c r="E698" s="458"/>
      <c r="F698" s="458"/>
      <c r="G698" s="458"/>
      <c r="H698" s="458"/>
      <c r="I698" s="458"/>
      <c r="J698" s="458"/>
      <c r="K698" s="458"/>
      <c r="L698" s="458"/>
      <c r="M698" s="458"/>
      <c r="N698" s="458"/>
      <c r="O698" s="443"/>
      <c r="P698" s="447"/>
    </row>
    <row r="699" spans="1:16" s="497" customFormat="1" ht="15">
      <c r="A699" s="443"/>
      <c r="B699" s="443"/>
      <c r="C699" s="443"/>
      <c r="D699" s="443"/>
      <c r="E699" s="458"/>
      <c r="F699" s="458"/>
      <c r="G699" s="458"/>
      <c r="H699" s="458"/>
      <c r="I699" s="458"/>
      <c r="J699" s="458"/>
      <c r="K699" s="458"/>
      <c r="L699" s="458"/>
      <c r="M699" s="458"/>
      <c r="N699" s="458"/>
      <c r="O699" s="443"/>
      <c r="P699" s="447"/>
    </row>
    <row r="700" spans="1:16" s="497" customFormat="1" ht="15">
      <c r="A700" s="443"/>
      <c r="B700" s="443"/>
      <c r="C700" s="443"/>
      <c r="D700" s="443"/>
      <c r="E700" s="458"/>
      <c r="F700" s="458"/>
      <c r="G700" s="458"/>
      <c r="H700" s="458"/>
      <c r="I700" s="458"/>
      <c r="J700" s="458"/>
      <c r="K700" s="458"/>
      <c r="L700" s="458"/>
      <c r="M700" s="458"/>
      <c r="N700" s="458"/>
      <c r="O700" s="443"/>
      <c r="P700" s="447"/>
    </row>
    <row r="701" spans="1:16" s="497" customFormat="1" ht="15">
      <c r="A701" s="443"/>
      <c r="B701" s="443"/>
      <c r="C701" s="443"/>
      <c r="D701" s="443"/>
      <c r="E701" s="458"/>
      <c r="F701" s="458"/>
      <c r="G701" s="458"/>
      <c r="H701" s="458"/>
      <c r="I701" s="458"/>
      <c r="J701" s="458"/>
      <c r="K701" s="458"/>
      <c r="L701" s="458"/>
      <c r="M701" s="458"/>
      <c r="N701" s="458"/>
      <c r="O701" s="443"/>
      <c r="P701" s="447"/>
    </row>
    <row r="702" spans="1:16" s="497" customFormat="1" ht="15">
      <c r="A702" s="443"/>
      <c r="B702" s="443"/>
      <c r="C702" s="443"/>
      <c r="D702" s="443"/>
      <c r="E702" s="458"/>
      <c r="F702" s="458"/>
      <c r="G702" s="458"/>
      <c r="H702" s="458"/>
      <c r="I702" s="458"/>
      <c r="J702" s="458"/>
      <c r="K702" s="458"/>
      <c r="L702" s="458"/>
      <c r="M702" s="458"/>
      <c r="N702" s="458"/>
      <c r="O702" s="443"/>
      <c r="P702" s="447"/>
    </row>
    <row r="703" spans="1:16" s="497" customFormat="1" ht="15">
      <c r="A703" s="443"/>
      <c r="B703" s="443"/>
      <c r="C703" s="443"/>
      <c r="D703" s="443"/>
      <c r="E703" s="458"/>
      <c r="F703" s="458"/>
      <c r="G703" s="458"/>
      <c r="H703" s="458"/>
      <c r="I703" s="458"/>
      <c r="J703" s="458"/>
      <c r="K703" s="458"/>
      <c r="L703" s="458"/>
      <c r="M703" s="458"/>
      <c r="N703" s="458"/>
      <c r="O703" s="443"/>
      <c r="P703" s="447"/>
    </row>
    <row r="704" spans="1:16" s="497" customFormat="1" ht="15">
      <c r="A704" s="443"/>
      <c r="B704" s="443"/>
      <c r="C704" s="443"/>
      <c r="D704" s="443"/>
      <c r="E704" s="458"/>
      <c r="F704" s="458"/>
      <c r="G704" s="458"/>
      <c r="H704" s="458"/>
      <c r="I704" s="458"/>
      <c r="J704" s="458"/>
      <c r="K704" s="458"/>
      <c r="L704" s="458"/>
      <c r="M704" s="458"/>
      <c r="N704" s="458"/>
      <c r="O704" s="443"/>
      <c r="P704" s="447"/>
    </row>
    <row r="705" spans="1:16" s="497" customFormat="1" ht="15">
      <c r="A705" s="443"/>
      <c r="B705" s="443"/>
      <c r="C705" s="443"/>
      <c r="D705" s="443"/>
      <c r="E705" s="458"/>
      <c r="F705" s="458"/>
      <c r="G705" s="458"/>
      <c r="H705" s="458"/>
      <c r="I705" s="458"/>
      <c r="J705" s="458"/>
      <c r="K705" s="458"/>
      <c r="L705" s="458"/>
      <c r="M705" s="458"/>
      <c r="N705" s="458"/>
      <c r="O705" s="443"/>
      <c r="P705" s="447"/>
    </row>
    <row r="706" spans="1:16" s="497" customFormat="1" ht="15">
      <c r="A706" s="443"/>
      <c r="B706" s="443"/>
      <c r="C706" s="443"/>
      <c r="D706" s="443"/>
      <c r="E706" s="458"/>
      <c r="F706" s="458"/>
      <c r="G706" s="458"/>
      <c r="H706" s="458"/>
      <c r="I706" s="458"/>
      <c r="J706" s="458"/>
      <c r="K706" s="458"/>
      <c r="L706" s="458"/>
      <c r="M706" s="458"/>
      <c r="N706" s="458"/>
      <c r="O706" s="443"/>
      <c r="P706" s="447"/>
    </row>
    <row r="707" spans="1:16" s="497" customFormat="1" ht="15">
      <c r="A707" s="443"/>
      <c r="B707" s="443"/>
      <c r="C707" s="443"/>
      <c r="D707" s="443"/>
      <c r="E707" s="458"/>
      <c r="F707" s="458"/>
      <c r="G707" s="458"/>
      <c r="H707" s="458"/>
      <c r="I707" s="458"/>
      <c r="J707" s="458"/>
      <c r="K707" s="458"/>
      <c r="L707" s="458"/>
      <c r="M707" s="458"/>
      <c r="N707" s="458"/>
      <c r="O707" s="443"/>
      <c r="P707" s="447"/>
    </row>
    <row r="708" spans="1:16" s="497" customFormat="1" ht="15">
      <c r="A708" s="443"/>
      <c r="B708" s="443"/>
      <c r="C708" s="443"/>
      <c r="D708" s="443"/>
      <c r="E708" s="458"/>
      <c r="F708" s="458"/>
      <c r="G708" s="458"/>
      <c r="H708" s="458"/>
      <c r="I708" s="458"/>
      <c r="J708" s="458"/>
      <c r="K708" s="458"/>
      <c r="L708" s="458"/>
      <c r="M708" s="458"/>
      <c r="N708" s="458"/>
      <c r="O708" s="443"/>
      <c r="P708" s="447"/>
    </row>
    <row r="709" spans="1:16" s="497" customFormat="1" ht="15">
      <c r="A709" s="443"/>
      <c r="B709" s="443"/>
      <c r="C709" s="443"/>
      <c r="D709" s="443"/>
      <c r="E709" s="458"/>
      <c r="F709" s="458"/>
      <c r="G709" s="458"/>
      <c r="H709" s="458"/>
      <c r="I709" s="458"/>
      <c r="J709" s="458"/>
      <c r="K709" s="458"/>
      <c r="L709" s="458"/>
      <c r="M709" s="458"/>
      <c r="N709" s="458"/>
      <c r="O709" s="443"/>
      <c r="P709" s="447"/>
    </row>
    <row r="710" spans="1:16" s="497" customFormat="1" ht="15">
      <c r="A710" s="443"/>
      <c r="B710" s="443"/>
      <c r="C710" s="443"/>
      <c r="D710" s="443"/>
      <c r="E710" s="458"/>
      <c r="F710" s="458"/>
      <c r="G710" s="458"/>
      <c r="H710" s="458"/>
      <c r="I710" s="458"/>
      <c r="J710" s="458"/>
      <c r="K710" s="458"/>
      <c r="L710" s="458"/>
      <c r="M710" s="458"/>
      <c r="N710" s="458"/>
      <c r="O710" s="443"/>
      <c r="P710" s="447"/>
    </row>
    <row r="711" spans="1:16" s="497" customFormat="1" ht="15">
      <c r="A711" s="443"/>
      <c r="B711" s="443"/>
      <c r="C711" s="443"/>
      <c r="D711" s="443"/>
      <c r="E711" s="458"/>
      <c r="F711" s="458"/>
      <c r="G711" s="458"/>
      <c r="H711" s="458"/>
      <c r="I711" s="458"/>
      <c r="J711" s="458"/>
      <c r="K711" s="458"/>
      <c r="L711" s="458"/>
      <c r="M711" s="458"/>
      <c r="N711" s="458"/>
      <c r="O711" s="443"/>
      <c r="P711" s="447"/>
    </row>
    <row r="712" spans="1:16" s="497" customFormat="1" ht="15">
      <c r="A712" s="443"/>
      <c r="B712" s="443"/>
      <c r="C712" s="443"/>
      <c r="D712" s="443"/>
      <c r="E712" s="458"/>
      <c r="F712" s="458"/>
      <c r="G712" s="458"/>
      <c r="H712" s="458"/>
      <c r="I712" s="458"/>
      <c r="J712" s="458"/>
      <c r="K712" s="458"/>
      <c r="L712" s="458"/>
      <c r="M712" s="458"/>
      <c r="N712" s="458"/>
      <c r="O712" s="443"/>
      <c r="P712" s="447"/>
    </row>
    <row r="713" spans="1:16" s="497" customFormat="1" ht="15">
      <c r="A713" s="443"/>
      <c r="B713" s="443"/>
      <c r="C713" s="443"/>
      <c r="D713" s="443"/>
      <c r="E713" s="458"/>
      <c r="F713" s="458"/>
      <c r="G713" s="458"/>
      <c r="H713" s="458"/>
      <c r="I713" s="458"/>
      <c r="J713" s="458"/>
      <c r="K713" s="458"/>
      <c r="L713" s="458"/>
      <c r="M713" s="458"/>
      <c r="N713" s="458"/>
      <c r="O713" s="443"/>
      <c r="P713" s="447"/>
    </row>
    <row r="714" spans="1:16" s="497" customFormat="1" ht="15">
      <c r="A714" s="443"/>
      <c r="B714" s="443"/>
      <c r="C714" s="443"/>
      <c r="D714" s="443"/>
      <c r="E714" s="458"/>
      <c r="F714" s="458"/>
      <c r="G714" s="458"/>
      <c r="H714" s="458"/>
      <c r="I714" s="458"/>
      <c r="J714" s="458"/>
      <c r="K714" s="458"/>
      <c r="L714" s="458"/>
      <c r="M714" s="458"/>
      <c r="N714" s="458"/>
      <c r="O714" s="443"/>
      <c r="P714" s="447"/>
    </row>
    <row r="715" spans="1:16" s="497" customFormat="1" ht="15">
      <c r="A715" s="443"/>
      <c r="B715" s="443"/>
      <c r="C715" s="443"/>
      <c r="D715" s="443"/>
      <c r="E715" s="458"/>
      <c r="F715" s="458"/>
      <c r="G715" s="458"/>
      <c r="H715" s="458"/>
      <c r="I715" s="458"/>
      <c r="J715" s="458"/>
      <c r="K715" s="458"/>
      <c r="L715" s="458"/>
      <c r="M715" s="458"/>
      <c r="N715" s="458"/>
      <c r="O715" s="443"/>
      <c r="P715" s="447"/>
    </row>
    <row r="716" spans="1:16" s="497" customFormat="1" ht="15">
      <c r="A716" s="443"/>
      <c r="B716" s="443"/>
      <c r="C716" s="443"/>
      <c r="D716" s="443"/>
      <c r="E716" s="458"/>
      <c r="F716" s="458"/>
      <c r="G716" s="458"/>
      <c r="H716" s="458"/>
      <c r="I716" s="458"/>
      <c r="J716" s="458"/>
      <c r="K716" s="458"/>
      <c r="L716" s="458"/>
      <c r="M716" s="458"/>
      <c r="N716" s="458"/>
      <c r="O716" s="443"/>
      <c r="P716" s="447"/>
    </row>
    <row r="717" spans="1:16" s="497" customFormat="1" ht="15">
      <c r="A717" s="443"/>
      <c r="B717" s="443"/>
      <c r="C717" s="443"/>
      <c r="D717" s="443"/>
      <c r="E717" s="458"/>
      <c r="F717" s="458"/>
      <c r="G717" s="458"/>
      <c r="H717" s="458"/>
      <c r="I717" s="458"/>
      <c r="J717" s="458"/>
      <c r="K717" s="458"/>
      <c r="L717" s="458"/>
      <c r="M717" s="458"/>
      <c r="N717" s="458"/>
      <c r="O717" s="443"/>
      <c r="P717" s="447"/>
    </row>
    <row r="718" spans="1:16" s="497" customFormat="1" ht="15">
      <c r="A718" s="443"/>
      <c r="B718" s="443"/>
      <c r="C718" s="443"/>
      <c r="D718" s="443"/>
      <c r="E718" s="458"/>
      <c r="F718" s="458"/>
      <c r="G718" s="458"/>
      <c r="H718" s="458"/>
      <c r="I718" s="458"/>
      <c r="J718" s="458"/>
      <c r="K718" s="458"/>
      <c r="L718" s="458"/>
      <c r="M718" s="458"/>
      <c r="N718" s="458"/>
      <c r="O718" s="443"/>
      <c r="P718" s="447"/>
    </row>
    <row r="719" spans="1:16" s="497" customFormat="1" ht="15">
      <c r="A719" s="443"/>
      <c r="B719" s="443"/>
      <c r="C719" s="443"/>
      <c r="D719" s="443"/>
      <c r="E719" s="458"/>
      <c r="F719" s="458"/>
      <c r="G719" s="458"/>
      <c r="H719" s="458"/>
      <c r="I719" s="458"/>
      <c r="J719" s="458"/>
      <c r="K719" s="458"/>
      <c r="L719" s="458"/>
      <c r="M719" s="458"/>
      <c r="N719" s="458"/>
      <c r="O719" s="443"/>
      <c r="P719" s="447"/>
    </row>
    <row r="720" spans="1:16" s="497" customFormat="1" ht="15">
      <c r="A720" s="443"/>
      <c r="B720" s="443"/>
      <c r="C720" s="443"/>
      <c r="D720" s="443"/>
      <c r="E720" s="458"/>
      <c r="F720" s="458"/>
      <c r="G720" s="458"/>
      <c r="H720" s="458"/>
      <c r="I720" s="458"/>
      <c r="J720" s="458"/>
      <c r="K720" s="458"/>
      <c r="L720" s="458"/>
      <c r="M720" s="458"/>
      <c r="N720" s="458"/>
      <c r="O720" s="443"/>
      <c r="P720" s="447"/>
    </row>
    <row r="721" spans="1:16" s="497" customFormat="1" ht="15">
      <c r="A721" s="443"/>
      <c r="B721" s="443"/>
      <c r="C721" s="443"/>
      <c r="D721" s="443"/>
      <c r="E721" s="458"/>
      <c r="F721" s="458"/>
      <c r="G721" s="458"/>
      <c r="H721" s="458"/>
      <c r="I721" s="458"/>
      <c r="J721" s="458"/>
      <c r="K721" s="458"/>
      <c r="L721" s="458"/>
      <c r="M721" s="458"/>
      <c r="N721" s="458"/>
      <c r="O721" s="443"/>
      <c r="P721" s="447"/>
    </row>
    <row r="722" spans="1:16" s="497" customFormat="1" ht="15">
      <c r="A722" s="443"/>
      <c r="B722" s="443"/>
      <c r="C722" s="443"/>
      <c r="D722" s="443"/>
      <c r="E722" s="458"/>
      <c r="F722" s="458"/>
      <c r="G722" s="458"/>
      <c r="H722" s="458"/>
      <c r="I722" s="458"/>
      <c r="J722" s="458"/>
      <c r="K722" s="458"/>
      <c r="L722" s="458"/>
      <c r="M722" s="458"/>
      <c r="N722" s="458"/>
      <c r="O722" s="443"/>
      <c r="P722" s="447"/>
    </row>
    <row r="723" spans="1:16" s="497" customFormat="1" ht="15">
      <c r="A723" s="443"/>
      <c r="B723" s="443"/>
      <c r="C723" s="443"/>
      <c r="D723" s="443"/>
      <c r="E723" s="458"/>
      <c r="F723" s="458"/>
      <c r="G723" s="458"/>
      <c r="H723" s="458"/>
      <c r="I723" s="458"/>
      <c r="J723" s="458"/>
      <c r="K723" s="458"/>
      <c r="L723" s="458"/>
      <c r="M723" s="458"/>
      <c r="N723" s="458"/>
      <c r="O723" s="443"/>
      <c r="P723" s="447"/>
    </row>
    <row r="724" spans="1:16" s="497" customFormat="1" ht="15">
      <c r="A724" s="443"/>
      <c r="B724" s="443"/>
      <c r="C724" s="443"/>
      <c r="D724" s="443"/>
      <c r="E724" s="458"/>
      <c r="F724" s="458"/>
      <c r="G724" s="458"/>
      <c r="H724" s="458"/>
      <c r="I724" s="458"/>
      <c r="J724" s="458"/>
      <c r="K724" s="458"/>
      <c r="L724" s="458"/>
      <c r="M724" s="458"/>
      <c r="N724" s="458"/>
      <c r="O724" s="443"/>
      <c r="P724" s="447"/>
    </row>
    <row r="725" spans="1:16" s="497" customFormat="1" ht="15">
      <c r="A725" s="443"/>
      <c r="B725" s="443"/>
      <c r="C725" s="443"/>
      <c r="D725" s="443"/>
      <c r="E725" s="458"/>
      <c r="F725" s="458"/>
      <c r="G725" s="458"/>
      <c r="H725" s="458"/>
      <c r="I725" s="458"/>
      <c r="J725" s="458"/>
      <c r="K725" s="458"/>
      <c r="L725" s="458"/>
      <c r="M725" s="458"/>
      <c r="N725" s="458"/>
      <c r="O725" s="443"/>
      <c r="P725" s="447"/>
    </row>
    <row r="726" spans="1:16" s="497" customFormat="1" ht="15">
      <c r="A726" s="443"/>
      <c r="B726" s="443"/>
      <c r="C726" s="443"/>
      <c r="D726" s="443"/>
      <c r="E726" s="458"/>
      <c r="F726" s="458"/>
      <c r="G726" s="458"/>
      <c r="H726" s="458"/>
      <c r="I726" s="458"/>
      <c r="J726" s="458"/>
      <c r="K726" s="458"/>
      <c r="L726" s="458"/>
      <c r="M726" s="458"/>
      <c r="N726" s="458"/>
      <c r="O726" s="443"/>
      <c r="P726" s="447"/>
    </row>
    <row r="727" spans="1:16" s="497" customFormat="1" ht="15">
      <c r="A727" s="443"/>
      <c r="B727" s="443"/>
      <c r="C727" s="443"/>
      <c r="D727" s="443"/>
      <c r="E727" s="458"/>
      <c r="F727" s="458"/>
      <c r="G727" s="458"/>
      <c r="H727" s="458"/>
      <c r="I727" s="458"/>
      <c r="J727" s="458"/>
      <c r="K727" s="458"/>
      <c r="L727" s="458"/>
      <c r="M727" s="458"/>
      <c r="N727" s="458"/>
      <c r="O727" s="443"/>
      <c r="P727" s="447"/>
    </row>
    <row r="728" spans="1:16" s="497" customFormat="1" ht="15">
      <c r="A728" s="443"/>
      <c r="B728" s="443"/>
      <c r="C728" s="443"/>
      <c r="D728" s="443"/>
      <c r="E728" s="458"/>
      <c r="F728" s="458"/>
      <c r="G728" s="458"/>
      <c r="H728" s="458"/>
      <c r="I728" s="458"/>
      <c r="J728" s="458"/>
      <c r="K728" s="458"/>
      <c r="L728" s="458"/>
      <c r="M728" s="458"/>
      <c r="N728" s="458"/>
      <c r="O728" s="443"/>
      <c r="P728" s="447"/>
    </row>
    <row r="729" spans="1:16" s="497" customFormat="1" ht="15">
      <c r="A729" s="443"/>
      <c r="B729" s="443"/>
      <c r="C729" s="443"/>
      <c r="D729" s="443"/>
      <c r="E729" s="458"/>
      <c r="F729" s="458"/>
      <c r="G729" s="458"/>
      <c r="H729" s="458"/>
      <c r="I729" s="458"/>
      <c r="J729" s="458"/>
      <c r="K729" s="458"/>
      <c r="L729" s="458"/>
      <c r="M729" s="458"/>
      <c r="N729" s="458"/>
      <c r="O729" s="443"/>
      <c r="P729" s="447"/>
    </row>
    <row r="730" spans="1:16" s="497" customFormat="1" ht="15">
      <c r="A730" s="443"/>
      <c r="B730" s="443"/>
      <c r="C730" s="443"/>
      <c r="D730" s="443"/>
      <c r="E730" s="458"/>
      <c r="F730" s="458"/>
      <c r="G730" s="458"/>
      <c r="H730" s="458"/>
      <c r="I730" s="458"/>
      <c r="J730" s="458"/>
      <c r="K730" s="458"/>
      <c r="L730" s="458"/>
      <c r="M730" s="458"/>
      <c r="N730" s="458"/>
      <c r="O730" s="443"/>
      <c r="P730" s="447"/>
    </row>
    <row r="731" spans="1:16" s="497" customFormat="1" ht="15">
      <c r="A731" s="443"/>
      <c r="B731" s="443"/>
      <c r="C731" s="443"/>
      <c r="D731" s="443"/>
      <c r="E731" s="458"/>
      <c r="F731" s="458"/>
      <c r="G731" s="458"/>
      <c r="H731" s="458"/>
      <c r="I731" s="458"/>
      <c r="J731" s="458"/>
      <c r="K731" s="458"/>
      <c r="L731" s="458"/>
      <c r="M731" s="458"/>
      <c r="N731" s="458"/>
      <c r="O731" s="443"/>
      <c r="P731" s="447"/>
    </row>
    <row r="732" spans="1:16" s="497" customFormat="1" ht="15">
      <c r="A732" s="443"/>
      <c r="B732" s="443"/>
      <c r="C732" s="443"/>
      <c r="D732" s="443"/>
      <c r="E732" s="458"/>
      <c r="F732" s="458"/>
      <c r="G732" s="458"/>
      <c r="H732" s="458"/>
      <c r="I732" s="458"/>
      <c r="J732" s="458"/>
      <c r="K732" s="458"/>
      <c r="L732" s="458"/>
      <c r="M732" s="458"/>
      <c r="N732" s="458"/>
      <c r="O732" s="443"/>
      <c r="P732" s="447"/>
    </row>
    <row r="733" spans="1:16" s="497" customFormat="1" ht="15">
      <c r="A733" s="443"/>
      <c r="B733" s="443"/>
      <c r="C733" s="443"/>
      <c r="D733" s="443"/>
      <c r="E733" s="458"/>
      <c r="F733" s="458"/>
      <c r="G733" s="458"/>
      <c r="H733" s="458"/>
      <c r="I733" s="458"/>
      <c r="J733" s="458"/>
      <c r="K733" s="458"/>
      <c r="L733" s="458"/>
      <c r="M733" s="458"/>
      <c r="N733" s="458"/>
      <c r="O733" s="443"/>
      <c r="P733" s="447"/>
    </row>
    <row r="734" spans="1:16" s="497" customFormat="1" ht="15">
      <c r="A734" s="443"/>
      <c r="B734" s="443"/>
      <c r="C734" s="443"/>
      <c r="D734" s="443"/>
      <c r="E734" s="458"/>
      <c r="F734" s="458"/>
      <c r="G734" s="458"/>
      <c r="H734" s="458"/>
      <c r="I734" s="458"/>
      <c r="J734" s="458"/>
      <c r="K734" s="458"/>
      <c r="L734" s="458"/>
      <c r="M734" s="458"/>
      <c r="N734" s="458"/>
      <c r="O734" s="443"/>
      <c r="P734" s="447"/>
    </row>
    <row r="735" spans="1:16" s="497" customFormat="1" ht="15">
      <c r="A735" s="443"/>
      <c r="B735" s="443"/>
      <c r="C735" s="443"/>
      <c r="D735" s="443"/>
      <c r="E735" s="458"/>
      <c r="F735" s="458"/>
      <c r="G735" s="458"/>
      <c r="H735" s="458"/>
      <c r="I735" s="458"/>
      <c r="J735" s="458"/>
      <c r="K735" s="458"/>
      <c r="L735" s="458"/>
      <c r="M735" s="458"/>
      <c r="N735" s="458"/>
      <c r="O735" s="443"/>
      <c r="P735" s="447"/>
    </row>
    <row r="736" spans="1:16" s="497" customFormat="1" ht="15">
      <c r="A736" s="443"/>
      <c r="B736" s="443"/>
      <c r="C736" s="443"/>
      <c r="D736" s="443"/>
      <c r="E736" s="458"/>
      <c r="F736" s="458"/>
      <c r="G736" s="458"/>
      <c r="H736" s="458"/>
      <c r="I736" s="458"/>
      <c r="J736" s="458"/>
      <c r="K736" s="458"/>
      <c r="L736" s="458"/>
      <c r="M736" s="458"/>
      <c r="N736" s="458"/>
      <c r="O736" s="443"/>
      <c r="P736" s="447"/>
    </row>
    <row r="737" spans="16:16" s="497" customFormat="1" ht="15">
      <c r="P737" s="447"/>
    </row>
    <row r="738" spans="16:16" s="497" customFormat="1" ht="15">
      <c r="P738" s="447"/>
    </row>
    <row r="739" spans="16:16" s="497" customFormat="1" ht="15">
      <c r="P739" s="447"/>
    </row>
    <row r="740" spans="16:16" s="497" customFormat="1" ht="15">
      <c r="P740" s="447"/>
    </row>
    <row r="741" spans="16:16" s="497" customFormat="1" ht="15">
      <c r="P741" s="447"/>
    </row>
    <row r="742" spans="16:16" s="497" customFormat="1" ht="15">
      <c r="P742" s="447"/>
    </row>
    <row r="743" spans="16:16" s="497" customFormat="1" ht="15">
      <c r="P743" s="447"/>
    </row>
    <row r="744" spans="16:16" s="497" customFormat="1" ht="15">
      <c r="P744" s="447"/>
    </row>
    <row r="745" spans="16:16" s="497" customFormat="1" ht="15">
      <c r="P745" s="447"/>
    </row>
    <row r="746" spans="16:16" s="497" customFormat="1" ht="15">
      <c r="P746" s="447"/>
    </row>
    <row r="747" spans="16:16" s="497" customFormat="1" ht="15">
      <c r="P747" s="447"/>
    </row>
    <row r="748" spans="16:16" s="497" customFormat="1" ht="15">
      <c r="P748" s="447"/>
    </row>
    <row r="749" spans="16:16" s="497" customFormat="1" ht="15">
      <c r="P749" s="447"/>
    </row>
    <row r="750" spans="16:16" s="497" customFormat="1" ht="15">
      <c r="P750" s="447"/>
    </row>
    <row r="751" spans="16:16" s="497" customFormat="1" ht="15">
      <c r="P751" s="447"/>
    </row>
    <row r="752" spans="16:16" s="497" customFormat="1" ht="15">
      <c r="P752" s="447"/>
    </row>
    <row r="753" spans="16:16" s="497" customFormat="1" ht="15">
      <c r="P753" s="447"/>
    </row>
    <row r="754" spans="16:16" s="497" customFormat="1" ht="15">
      <c r="P754" s="447"/>
    </row>
    <row r="755" spans="16:16" s="497" customFormat="1" ht="15">
      <c r="P755" s="447"/>
    </row>
    <row r="756" spans="16:16" s="497" customFormat="1" ht="15">
      <c r="P756" s="447"/>
    </row>
    <row r="757" spans="16:16" s="497" customFormat="1" ht="15">
      <c r="P757" s="447"/>
    </row>
    <row r="758" spans="16:16" s="497" customFormat="1" ht="15">
      <c r="P758" s="447"/>
    </row>
    <row r="759" spans="16:16" s="497" customFormat="1" ht="15">
      <c r="P759" s="447"/>
    </row>
    <row r="760" spans="16:16" s="497" customFormat="1" ht="15">
      <c r="P760" s="447"/>
    </row>
    <row r="761" spans="16:16" s="497" customFormat="1" ht="15">
      <c r="P761" s="447"/>
    </row>
    <row r="762" spans="16:16" s="497" customFormat="1" ht="15">
      <c r="P762" s="447"/>
    </row>
    <row r="763" spans="16:16" s="497" customFormat="1" ht="15">
      <c r="P763" s="447"/>
    </row>
    <row r="764" spans="16:16" s="497" customFormat="1" ht="15">
      <c r="P764" s="447"/>
    </row>
    <row r="765" spans="16:16" s="497" customFormat="1" ht="15">
      <c r="P765" s="447"/>
    </row>
    <row r="766" spans="16:16" s="497" customFormat="1" ht="15">
      <c r="P766" s="447"/>
    </row>
    <row r="767" spans="16:16" s="497" customFormat="1" ht="15">
      <c r="P767" s="447"/>
    </row>
    <row r="768" spans="16:16" s="497" customFormat="1" ht="15">
      <c r="P768" s="447"/>
    </row>
    <row r="769" spans="16:16" s="497" customFormat="1" ht="15">
      <c r="P769" s="447"/>
    </row>
    <row r="770" spans="16:16" s="497" customFormat="1" ht="15">
      <c r="P770" s="447"/>
    </row>
    <row r="771" spans="16:16" s="497" customFormat="1" ht="15">
      <c r="P771" s="447"/>
    </row>
    <row r="772" spans="16:16" s="497" customFormat="1" ht="15">
      <c r="P772" s="447"/>
    </row>
    <row r="773" spans="16:16" s="497" customFormat="1" ht="15">
      <c r="P773" s="447"/>
    </row>
    <row r="774" spans="16:16" s="497" customFormat="1" ht="15">
      <c r="P774" s="447"/>
    </row>
    <row r="775" spans="16:16" s="497" customFormat="1" ht="15">
      <c r="P775" s="447"/>
    </row>
    <row r="776" spans="16:16" s="497" customFormat="1" ht="15">
      <c r="P776" s="447"/>
    </row>
    <row r="777" spans="16:16" s="497" customFormat="1" ht="15">
      <c r="P777" s="447"/>
    </row>
    <row r="778" spans="16:16" s="497" customFormat="1" ht="15">
      <c r="P778" s="447"/>
    </row>
    <row r="779" spans="16:16" s="497" customFormat="1" ht="15">
      <c r="P779" s="447"/>
    </row>
    <row r="780" spans="16:16" s="497" customFormat="1" ht="15">
      <c r="P780" s="447"/>
    </row>
    <row r="781" spans="16:16" s="497" customFormat="1" ht="15">
      <c r="P781" s="447"/>
    </row>
    <row r="782" spans="16:16" s="497" customFormat="1" ht="15">
      <c r="P782" s="447"/>
    </row>
    <row r="783" spans="16:16" s="497" customFormat="1" ht="15">
      <c r="P783" s="447"/>
    </row>
    <row r="784" spans="16:16" s="497" customFormat="1" ht="15">
      <c r="P784" s="447"/>
    </row>
    <row r="785" spans="16:16" s="497" customFormat="1" ht="15">
      <c r="P785" s="447"/>
    </row>
    <row r="786" spans="16:16" s="497" customFormat="1" ht="15">
      <c r="P786" s="447"/>
    </row>
    <row r="787" spans="16:16" s="497" customFormat="1" ht="15">
      <c r="P787" s="447"/>
    </row>
    <row r="788" spans="16:16" s="497" customFormat="1" ht="15">
      <c r="P788" s="447"/>
    </row>
    <row r="789" spans="16:16" s="497" customFormat="1" ht="15">
      <c r="P789" s="447"/>
    </row>
    <row r="790" spans="16:16" s="497" customFormat="1" ht="15">
      <c r="P790" s="447"/>
    </row>
    <row r="791" spans="16:16" s="497" customFormat="1" ht="15">
      <c r="P791" s="447"/>
    </row>
    <row r="792" spans="16:16" s="497" customFormat="1" ht="15">
      <c r="P792" s="447"/>
    </row>
    <row r="793" spans="16:16" s="497" customFormat="1" ht="15">
      <c r="P793" s="447"/>
    </row>
    <row r="794" spans="16:16" s="497" customFormat="1" ht="15">
      <c r="P794" s="447"/>
    </row>
    <row r="795" spans="16:16" s="497" customFormat="1" ht="15">
      <c r="P795" s="447"/>
    </row>
    <row r="796" spans="16:16" s="497" customFormat="1" ht="15">
      <c r="P796" s="447"/>
    </row>
    <row r="797" spans="16:16" s="497" customFormat="1" ht="15">
      <c r="P797" s="447"/>
    </row>
    <row r="798" spans="16:16" s="497" customFormat="1" ht="15">
      <c r="P798" s="447"/>
    </row>
    <row r="799" spans="16:16" s="497" customFormat="1" ht="15">
      <c r="P799" s="447"/>
    </row>
    <row r="800" spans="16:16" s="497" customFormat="1" ht="15">
      <c r="P800" s="447"/>
    </row>
    <row r="801" spans="16:16" s="497" customFormat="1" ht="15">
      <c r="P801" s="447"/>
    </row>
    <row r="802" spans="16:16" s="497" customFormat="1" ht="15">
      <c r="P802" s="447"/>
    </row>
    <row r="803" spans="16:16" s="497" customFormat="1" ht="15">
      <c r="P803" s="447"/>
    </row>
    <row r="804" spans="16:16" s="497" customFormat="1" ht="15">
      <c r="P804" s="447"/>
    </row>
    <row r="805" spans="16:16" s="497" customFormat="1" ht="15">
      <c r="P805" s="447"/>
    </row>
    <row r="806" spans="16:16" s="497" customFormat="1" ht="15">
      <c r="P806" s="447"/>
    </row>
    <row r="807" spans="16:16" s="497" customFormat="1" ht="15">
      <c r="P807" s="447"/>
    </row>
    <row r="808" spans="16:16" s="497" customFormat="1" ht="15">
      <c r="P808" s="447"/>
    </row>
    <row r="809" spans="16:16" s="497" customFormat="1" ht="15">
      <c r="P809" s="447"/>
    </row>
    <row r="810" spans="16:16" s="497" customFormat="1" ht="15">
      <c r="P810" s="447"/>
    </row>
    <row r="811" spans="16:16" s="497" customFormat="1" ht="15">
      <c r="P811" s="447"/>
    </row>
    <row r="812" spans="16:16" s="497" customFormat="1" ht="15">
      <c r="P812" s="447"/>
    </row>
    <row r="813" spans="16:16" s="497" customFormat="1" ht="15">
      <c r="P813" s="447"/>
    </row>
    <row r="814" spans="16:16" s="497" customFormat="1" ht="15">
      <c r="P814" s="447"/>
    </row>
    <row r="815" spans="16:16" s="497" customFormat="1" ht="15">
      <c r="P815" s="447"/>
    </row>
    <row r="816" spans="16:16" s="497" customFormat="1" ht="15">
      <c r="P816" s="447"/>
    </row>
    <row r="817" spans="16:16" s="497" customFormat="1" ht="15">
      <c r="P817" s="447"/>
    </row>
    <row r="818" spans="16:16" s="497" customFormat="1" ht="15">
      <c r="P818" s="447"/>
    </row>
    <row r="819" spans="16:16" s="497" customFormat="1" ht="15">
      <c r="P819" s="447"/>
    </row>
    <row r="820" spans="16:16" s="497" customFormat="1" ht="15">
      <c r="P820" s="447"/>
    </row>
    <row r="821" spans="16:16" s="497" customFormat="1" ht="15">
      <c r="P821" s="447"/>
    </row>
    <row r="822" spans="16:16" s="497" customFormat="1" ht="15">
      <c r="P822" s="447"/>
    </row>
    <row r="823" spans="16:16" s="497" customFormat="1" ht="15">
      <c r="P823" s="447"/>
    </row>
    <row r="824" spans="16:16" s="497" customFormat="1" ht="15">
      <c r="P824" s="447"/>
    </row>
    <row r="825" spans="16:16" s="497" customFormat="1" ht="15">
      <c r="P825" s="447"/>
    </row>
    <row r="826" spans="16:16" s="497" customFormat="1" ht="15">
      <c r="P826" s="447"/>
    </row>
    <row r="827" spans="16:16" s="497" customFormat="1" ht="15">
      <c r="P827" s="447"/>
    </row>
    <row r="828" spans="16:16" s="497" customFormat="1" ht="15">
      <c r="P828" s="447"/>
    </row>
    <row r="829" spans="16:16" s="497" customFormat="1" ht="15">
      <c r="P829" s="447"/>
    </row>
    <row r="830" spans="16:16" s="497" customFormat="1" ht="15">
      <c r="P830" s="447"/>
    </row>
    <row r="831" spans="16:16" s="497" customFormat="1" ht="15">
      <c r="P831" s="447"/>
    </row>
    <row r="832" spans="16:16" s="497" customFormat="1" ht="15">
      <c r="P832" s="447"/>
    </row>
    <row r="833" spans="16:16" s="497" customFormat="1" ht="15">
      <c r="P833" s="447"/>
    </row>
    <row r="834" spans="16:16" s="497" customFormat="1" ht="15">
      <c r="P834" s="447"/>
    </row>
    <row r="835" spans="16:16" s="497" customFormat="1" ht="15">
      <c r="P835" s="447"/>
    </row>
    <row r="836" spans="16:16" s="497" customFormat="1" ht="15">
      <c r="P836" s="447"/>
    </row>
    <row r="837" spans="16:16" s="497" customFormat="1" ht="15">
      <c r="P837" s="447"/>
    </row>
    <row r="838" spans="16:16" s="497" customFormat="1" ht="15">
      <c r="P838" s="447"/>
    </row>
    <row r="839" spans="16:16" s="497" customFormat="1" ht="15">
      <c r="P839" s="447"/>
    </row>
    <row r="840" spans="16:16" s="497" customFormat="1" ht="15">
      <c r="P840" s="447"/>
    </row>
    <row r="841" spans="16:16" s="497" customFormat="1" ht="15">
      <c r="P841" s="447"/>
    </row>
    <row r="842" spans="16:16" s="497" customFormat="1" ht="15">
      <c r="P842" s="447"/>
    </row>
    <row r="843" spans="16:16" s="497" customFormat="1" ht="15">
      <c r="P843" s="447"/>
    </row>
    <row r="844" spans="16:16" s="497" customFormat="1" ht="15">
      <c r="P844" s="447"/>
    </row>
    <row r="845" spans="16:16" s="497" customFormat="1" ht="15">
      <c r="P845" s="447"/>
    </row>
    <row r="846" spans="16:16" s="497" customFormat="1" ht="15">
      <c r="P846" s="447"/>
    </row>
    <row r="847" spans="16:16" s="497" customFormat="1" ht="15">
      <c r="P847" s="447"/>
    </row>
    <row r="848" spans="16:16" s="497" customFormat="1" ht="15">
      <c r="P848" s="447"/>
    </row>
    <row r="849" spans="16:16" s="497" customFormat="1" ht="15">
      <c r="P849" s="447"/>
    </row>
    <row r="850" spans="16:16" s="497" customFormat="1" ht="15">
      <c r="P850" s="447"/>
    </row>
    <row r="851" spans="16:16" s="497" customFormat="1" ht="15">
      <c r="P851" s="447"/>
    </row>
    <row r="852" spans="16:16" s="497" customFormat="1" ht="15">
      <c r="P852" s="447"/>
    </row>
    <row r="853" spans="16:16" s="497" customFormat="1" ht="15">
      <c r="P853" s="447"/>
    </row>
    <row r="854" spans="16:16" s="497" customFormat="1" ht="15">
      <c r="P854" s="447"/>
    </row>
    <row r="855" spans="16:16" s="497" customFormat="1" ht="15">
      <c r="P855" s="447"/>
    </row>
    <row r="856" spans="16:16" s="497" customFormat="1" ht="15">
      <c r="P856" s="447"/>
    </row>
    <row r="857" spans="16:16" s="497" customFormat="1" ht="15">
      <c r="P857" s="447"/>
    </row>
    <row r="858" spans="16:16" s="497" customFormat="1" ht="15">
      <c r="P858" s="447"/>
    </row>
    <row r="859" spans="16:16" s="497" customFormat="1" ht="15">
      <c r="P859" s="447"/>
    </row>
    <row r="860" spans="16:16" s="497" customFormat="1" ht="15">
      <c r="P860" s="447"/>
    </row>
    <row r="861" spans="16:16" s="497" customFormat="1" ht="15">
      <c r="P861" s="447"/>
    </row>
    <row r="862" spans="16:16" s="497" customFormat="1" ht="15">
      <c r="P862" s="447"/>
    </row>
    <row r="863" spans="16:16" s="497" customFormat="1" ht="15">
      <c r="P863" s="447"/>
    </row>
    <row r="864" spans="16:16" s="497" customFormat="1" ht="15">
      <c r="P864" s="447"/>
    </row>
    <row r="865" spans="16:16" s="497" customFormat="1" ht="15">
      <c r="P865" s="447"/>
    </row>
    <row r="866" spans="16:16" s="497" customFormat="1" ht="15">
      <c r="P866" s="447"/>
    </row>
    <row r="867" spans="16:16" s="497" customFormat="1" ht="15">
      <c r="P867" s="447"/>
    </row>
    <row r="868" spans="16:16" s="497" customFormat="1" ht="15">
      <c r="P868" s="447"/>
    </row>
    <row r="869" spans="16:16" s="497" customFormat="1" ht="15">
      <c r="P869" s="447"/>
    </row>
    <row r="870" spans="16:16" s="497" customFormat="1" ht="15">
      <c r="P870" s="447"/>
    </row>
    <row r="871" spans="16:16" s="497" customFormat="1" ht="15">
      <c r="P871" s="447"/>
    </row>
    <row r="872" spans="16:16" s="497" customFormat="1" ht="15">
      <c r="P872" s="447"/>
    </row>
    <row r="873" spans="16:16" s="497" customFormat="1" ht="15">
      <c r="P873" s="447"/>
    </row>
    <row r="874" spans="16:16" s="497" customFormat="1" ht="15">
      <c r="P874" s="447"/>
    </row>
    <row r="875" spans="16:16" s="497" customFormat="1" ht="15">
      <c r="P875" s="447"/>
    </row>
    <row r="876" spans="16:16" s="497" customFormat="1" ht="15">
      <c r="P876" s="447"/>
    </row>
    <row r="877" spans="16:16" s="497" customFormat="1" ht="15">
      <c r="P877" s="447"/>
    </row>
    <row r="878" spans="16:16" s="497" customFormat="1" ht="15">
      <c r="P878" s="447"/>
    </row>
    <row r="879" spans="16:16" s="497" customFormat="1" ht="15">
      <c r="P879" s="447"/>
    </row>
    <row r="880" spans="16:16" s="497" customFormat="1" ht="15">
      <c r="P880" s="447"/>
    </row>
    <row r="881" spans="16:16" s="497" customFormat="1" ht="15">
      <c r="P881" s="447"/>
    </row>
    <row r="882" spans="16:16" s="497" customFormat="1" ht="15">
      <c r="P882" s="447"/>
    </row>
    <row r="883" spans="16:16" s="497" customFormat="1" ht="15">
      <c r="P883" s="447"/>
    </row>
    <row r="884" spans="16:16" s="497" customFormat="1" ht="15">
      <c r="P884" s="447"/>
    </row>
    <row r="885" spans="16:16" s="497" customFormat="1" ht="15">
      <c r="P885" s="447"/>
    </row>
    <row r="886" spans="16:16" s="497" customFormat="1" ht="15">
      <c r="P886" s="447"/>
    </row>
    <row r="887" spans="16:16" s="497" customFormat="1" ht="15">
      <c r="P887" s="447"/>
    </row>
    <row r="888" spans="16:16" s="497" customFormat="1" ht="15">
      <c r="P888" s="447"/>
    </row>
    <row r="889" spans="16:16" s="497" customFormat="1" ht="15">
      <c r="P889" s="447"/>
    </row>
    <row r="890" spans="16:16" s="497" customFormat="1" ht="15">
      <c r="P890" s="447"/>
    </row>
    <row r="891" spans="16:16" s="497" customFormat="1" ht="15">
      <c r="P891" s="447"/>
    </row>
    <row r="892" spans="16:16" s="497" customFormat="1" ht="15">
      <c r="P892" s="447"/>
    </row>
    <row r="893" spans="16:16" s="497" customFormat="1" ht="15">
      <c r="P893" s="447"/>
    </row>
    <row r="894" spans="16:16" s="497" customFormat="1" ht="15">
      <c r="P894" s="447"/>
    </row>
    <row r="895" spans="16:16" s="497" customFormat="1" ht="15">
      <c r="P895" s="447"/>
    </row>
    <row r="896" spans="16:16" s="497" customFormat="1" ht="15">
      <c r="P896" s="447"/>
    </row>
    <row r="897" spans="16:16" s="497" customFormat="1" ht="15">
      <c r="P897" s="447"/>
    </row>
    <row r="898" spans="16:16" s="497" customFormat="1" ht="15">
      <c r="P898" s="447"/>
    </row>
    <row r="899" spans="16:16" s="497" customFormat="1" ht="15">
      <c r="P899" s="447"/>
    </row>
    <row r="900" spans="16:16" s="497" customFormat="1" ht="15">
      <c r="P900" s="447"/>
    </row>
    <row r="901" spans="16:16" s="497" customFormat="1" ht="15">
      <c r="P901" s="447"/>
    </row>
    <row r="902" spans="16:16" s="497" customFormat="1" ht="15">
      <c r="P902" s="447"/>
    </row>
    <row r="903" spans="16:16" s="497" customFormat="1" ht="15">
      <c r="P903" s="447"/>
    </row>
    <row r="904" spans="16:16" s="497" customFormat="1" ht="15">
      <c r="P904" s="447"/>
    </row>
    <row r="905" spans="16:16" s="497" customFormat="1" ht="15">
      <c r="P905" s="447"/>
    </row>
    <row r="906" spans="16:16" s="497" customFormat="1" ht="15">
      <c r="P906" s="447"/>
    </row>
    <row r="907" spans="16:16" s="497" customFormat="1" ht="15">
      <c r="P907" s="447"/>
    </row>
    <row r="908" spans="16:16" s="497" customFormat="1" ht="15">
      <c r="P908" s="447"/>
    </row>
    <row r="909" spans="16:16" s="497" customFormat="1" ht="15">
      <c r="P909" s="447"/>
    </row>
    <row r="910" spans="16:16" s="497" customFormat="1" ht="15">
      <c r="P910" s="447"/>
    </row>
    <row r="911" spans="16:16" s="497" customFormat="1" ht="15">
      <c r="P911" s="447"/>
    </row>
    <row r="912" spans="16:16" s="497" customFormat="1" ht="15">
      <c r="P912" s="447"/>
    </row>
    <row r="913" spans="16:16" s="497" customFormat="1" ht="15">
      <c r="P913" s="447"/>
    </row>
    <row r="914" spans="16:16" s="497" customFormat="1" ht="15">
      <c r="P914" s="447"/>
    </row>
    <row r="915" spans="16:16" s="497" customFormat="1" ht="15">
      <c r="P915" s="447"/>
    </row>
    <row r="916" spans="16:16" s="497" customFormat="1" ht="15">
      <c r="P916" s="447"/>
    </row>
    <row r="917" spans="16:16" s="497" customFormat="1" ht="15">
      <c r="P917" s="447"/>
    </row>
    <row r="918" spans="16:16" s="497" customFormat="1" ht="15">
      <c r="P918" s="447"/>
    </row>
    <row r="919" spans="16:16" s="497" customFormat="1" ht="15">
      <c r="P919" s="447"/>
    </row>
    <row r="920" spans="16:16" s="497" customFormat="1" ht="15">
      <c r="P920" s="447"/>
    </row>
    <row r="921" spans="16:16" s="497" customFormat="1" ht="15">
      <c r="P921" s="447"/>
    </row>
    <row r="922" spans="16:16" s="497" customFormat="1" ht="15">
      <c r="P922" s="447"/>
    </row>
    <row r="923" spans="16:16" s="497" customFormat="1" ht="15">
      <c r="P923" s="447"/>
    </row>
    <row r="924" spans="16:16" s="497" customFormat="1" ht="15">
      <c r="P924" s="447"/>
    </row>
    <row r="925" spans="16:16" s="497" customFormat="1" ht="15">
      <c r="P925" s="447"/>
    </row>
    <row r="926" spans="16:16" s="497" customFormat="1" ht="15">
      <c r="P926" s="447"/>
    </row>
    <row r="927" spans="16:16" s="497" customFormat="1" ht="15">
      <c r="P927" s="447"/>
    </row>
    <row r="928" spans="16:16" s="497" customFormat="1" ht="15">
      <c r="P928" s="447"/>
    </row>
    <row r="929" spans="16:16" s="497" customFormat="1" ht="15">
      <c r="P929" s="447"/>
    </row>
    <row r="930" spans="16:16" s="497" customFormat="1" ht="15">
      <c r="P930" s="447"/>
    </row>
    <row r="931" spans="16:16" s="497" customFormat="1" ht="15">
      <c r="P931" s="447"/>
    </row>
    <row r="932" spans="16:16" s="497" customFormat="1" ht="15">
      <c r="P932" s="447"/>
    </row>
    <row r="933" spans="16:16" s="497" customFormat="1" ht="15">
      <c r="P933" s="447"/>
    </row>
    <row r="934" spans="16:16" s="497" customFormat="1" ht="15">
      <c r="P934" s="447"/>
    </row>
    <row r="935" spans="16:16" s="497" customFormat="1" ht="15">
      <c r="P935" s="447"/>
    </row>
    <row r="936" spans="16:16" s="497" customFormat="1" ht="15">
      <c r="P936" s="447"/>
    </row>
    <row r="937" spans="16:16" s="497" customFormat="1" ht="15">
      <c r="P937" s="447"/>
    </row>
    <row r="938" spans="16:16" s="497" customFormat="1" ht="15">
      <c r="P938" s="447"/>
    </row>
    <row r="939" spans="16:16" s="497" customFormat="1" ht="15">
      <c r="P939" s="447"/>
    </row>
    <row r="940" spans="16:16" s="497" customFormat="1" ht="15">
      <c r="P940" s="447"/>
    </row>
    <row r="941" spans="16:16" s="497" customFormat="1" ht="15">
      <c r="P941" s="447"/>
    </row>
    <row r="942" spans="16:16" s="497" customFormat="1" ht="15">
      <c r="P942" s="447"/>
    </row>
    <row r="943" spans="16:16" s="497" customFormat="1" ht="15">
      <c r="P943" s="447"/>
    </row>
    <row r="944" spans="16:16" s="497" customFormat="1" ht="15">
      <c r="P944" s="447"/>
    </row>
    <row r="945" spans="16:16" s="497" customFormat="1" ht="15">
      <c r="P945" s="447"/>
    </row>
    <row r="946" spans="16:16" s="497" customFormat="1" ht="15">
      <c r="P946" s="447"/>
    </row>
    <row r="947" spans="16:16" s="497" customFormat="1" ht="15">
      <c r="P947" s="447"/>
    </row>
    <row r="948" spans="16:16" s="497" customFormat="1" ht="15">
      <c r="P948" s="447"/>
    </row>
    <row r="949" spans="16:16" s="497" customFormat="1" ht="15">
      <c r="P949" s="447"/>
    </row>
    <row r="950" spans="16:16" s="497" customFormat="1" ht="15">
      <c r="P950" s="447"/>
    </row>
    <row r="951" spans="16:16" s="497" customFormat="1" ht="15">
      <c r="P951" s="447"/>
    </row>
    <row r="952" spans="16:16" s="497" customFormat="1" ht="15">
      <c r="P952" s="447"/>
    </row>
    <row r="953" spans="16:16" s="497" customFormat="1" ht="15">
      <c r="P953" s="447"/>
    </row>
    <row r="954" spans="16:16" s="497" customFormat="1" ht="15">
      <c r="P954" s="447"/>
    </row>
    <row r="955" spans="16:16" s="497" customFormat="1" ht="15">
      <c r="P955" s="447"/>
    </row>
    <row r="956" spans="16:16" s="497" customFormat="1" ht="15">
      <c r="P956" s="447"/>
    </row>
    <row r="957" spans="16:16" s="497" customFormat="1" ht="15">
      <c r="P957" s="447"/>
    </row>
    <row r="958" spans="16:16" s="497" customFormat="1" ht="15">
      <c r="P958" s="447"/>
    </row>
    <row r="959" spans="16:16" s="497" customFormat="1" ht="15">
      <c r="P959" s="447"/>
    </row>
    <row r="960" spans="16:16" s="497" customFormat="1" ht="15">
      <c r="P960" s="447"/>
    </row>
    <row r="961" spans="16:16" s="497" customFormat="1" ht="15">
      <c r="P961" s="447"/>
    </row>
    <row r="962" spans="16:16" s="497" customFormat="1" ht="15">
      <c r="P962" s="447"/>
    </row>
    <row r="963" spans="16:16" s="497" customFormat="1" ht="15">
      <c r="P963" s="447"/>
    </row>
    <row r="964" spans="16:16" s="497" customFormat="1" ht="15">
      <c r="P964" s="447"/>
    </row>
    <row r="965" spans="16:16" s="497" customFormat="1" ht="15">
      <c r="P965" s="447"/>
    </row>
    <row r="966" spans="16:16" s="497" customFormat="1" ht="15">
      <c r="P966" s="447"/>
    </row>
    <row r="967" spans="16:16" s="497" customFormat="1" ht="15">
      <c r="P967" s="447"/>
    </row>
    <row r="968" spans="16:16" s="497" customFormat="1" ht="15">
      <c r="P968" s="447"/>
    </row>
    <row r="969" spans="16:16" s="497" customFormat="1" ht="15">
      <c r="P969" s="447"/>
    </row>
    <row r="970" spans="16:16" s="497" customFormat="1" ht="15">
      <c r="P970" s="447"/>
    </row>
    <row r="971" spans="16:16" s="497" customFormat="1" ht="15">
      <c r="P971" s="447"/>
    </row>
    <row r="972" spans="16:16" s="497" customFormat="1" ht="15">
      <c r="P972" s="447"/>
    </row>
    <row r="973" spans="16:16" s="497" customFormat="1" ht="15">
      <c r="P973" s="447"/>
    </row>
    <row r="974" spans="16:16" s="497" customFormat="1" ht="15">
      <c r="P974" s="447"/>
    </row>
    <row r="975" spans="16:16" s="497" customFormat="1" ht="15">
      <c r="P975" s="447"/>
    </row>
    <row r="976" spans="16:16" s="497" customFormat="1" ht="15">
      <c r="P976" s="447"/>
    </row>
    <row r="977" spans="16:16" s="497" customFormat="1" ht="15">
      <c r="P977" s="447"/>
    </row>
    <row r="978" spans="16:16" s="497" customFormat="1" ht="15">
      <c r="P978" s="447"/>
    </row>
    <row r="979" spans="16:16" s="497" customFormat="1" ht="15">
      <c r="P979" s="447"/>
    </row>
    <row r="980" spans="16:16" s="497" customFormat="1" ht="15">
      <c r="P980" s="447"/>
    </row>
    <row r="981" spans="16:16" s="497" customFormat="1" ht="15">
      <c r="P981" s="447"/>
    </row>
    <row r="982" spans="16:16" s="497" customFormat="1" ht="15">
      <c r="P982" s="447"/>
    </row>
    <row r="983" spans="16:16" s="497" customFormat="1" ht="15">
      <c r="P983" s="447"/>
    </row>
    <row r="984" spans="16:16" s="497" customFormat="1" ht="15">
      <c r="P984" s="447"/>
    </row>
    <row r="985" spans="16:16" s="497" customFormat="1" ht="15">
      <c r="P985" s="447"/>
    </row>
    <row r="986" spans="16:16" s="497" customFormat="1" ht="15">
      <c r="P986" s="447"/>
    </row>
    <row r="987" spans="16:16" s="497" customFormat="1" ht="15">
      <c r="P987" s="447"/>
    </row>
    <row r="988" spans="16:16" s="497" customFormat="1" ht="15">
      <c r="P988" s="447"/>
    </row>
    <row r="989" spans="16:16" s="497" customFormat="1" ht="15">
      <c r="P989" s="447"/>
    </row>
    <row r="990" spans="16:16" s="497" customFormat="1" ht="15">
      <c r="P990" s="447"/>
    </row>
    <row r="991" spans="16:16" s="497" customFormat="1" ht="15">
      <c r="P991" s="447"/>
    </row>
    <row r="992" spans="16:16" s="497" customFormat="1" ht="15">
      <c r="P992" s="447"/>
    </row>
    <row r="993" spans="16:16" s="497" customFormat="1" ht="15">
      <c r="P993" s="447"/>
    </row>
    <row r="994" spans="16:16" s="497" customFormat="1" ht="15">
      <c r="P994" s="447"/>
    </row>
    <row r="995" spans="16:16" s="497" customFormat="1" ht="15">
      <c r="P995" s="447"/>
    </row>
    <row r="996" spans="16:16" s="497" customFormat="1" ht="15">
      <c r="P996" s="447"/>
    </row>
    <row r="997" spans="16:16" s="497" customFormat="1" ht="15">
      <c r="P997" s="447"/>
    </row>
    <row r="998" spans="16:16" s="497" customFormat="1" ht="15">
      <c r="P998" s="447"/>
    </row>
    <row r="999" spans="16:16" s="497" customFormat="1" ht="15">
      <c r="P999" s="447"/>
    </row>
    <row r="1000" spans="16:16" s="497" customFormat="1" ht="15">
      <c r="P1000" s="447"/>
    </row>
    <row r="1001" spans="16:16" s="497" customFormat="1" ht="15">
      <c r="P1001" s="447"/>
    </row>
    <row r="1002" spans="16:16" s="497" customFormat="1" ht="15">
      <c r="P1002" s="447"/>
    </row>
    <row r="1003" spans="16:16" s="497" customFormat="1" ht="15">
      <c r="P1003" s="447"/>
    </row>
    <row r="1004" spans="16:16" s="497" customFormat="1" ht="15">
      <c r="P1004" s="447"/>
    </row>
    <row r="1005" spans="16:16" s="497" customFormat="1" ht="15">
      <c r="P1005" s="447"/>
    </row>
    <row r="1006" spans="16:16" s="497" customFormat="1" ht="15">
      <c r="P1006" s="447"/>
    </row>
    <row r="1007" spans="16:16" s="497" customFormat="1" ht="15">
      <c r="P1007" s="447"/>
    </row>
    <row r="1008" spans="16:16" s="497" customFormat="1" ht="15">
      <c r="P1008" s="447"/>
    </row>
    <row r="1009" spans="16:16" s="497" customFormat="1" ht="15">
      <c r="P1009" s="447"/>
    </row>
    <row r="1010" spans="16:16" s="497" customFormat="1" ht="15">
      <c r="P1010" s="447"/>
    </row>
    <row r="1011" spans="16:16" s="497" customFormat="1" ht="15">
      <c r="P1011" s="447"/>
    </row>
    <row r="1012" spans="16:16" s="497" customFormat="1" ht="15">
      <c r="P1012" s="447"/>
    </row>
    <row r="1013" spans="16:16" s="497" customFormat="1" ht="15">
      <c r="P1013" s="447"/>
    </row>
    <row r="1014" spans="16:16" s="497" customFormat="1" ht="15">
      <c r="P1014" s="447"/>
    </row>
    <row r="1015" spans="16:16" s="497" customFormat="1" ht="15">
      <c r="P1015" s="447"/>
    </row>
    <row r="1016" spans="16:16" s="497" customFormat="1" ht="15">
      <c r="P1016" s="447"/>
    </row>
    <row r="1017" spans="16:16" s="497" customFormat="1" ht="15">
      <c r="P1017" s="447"/>
    </row>
    <row r="1018" spans="16:16" s="497" customFormat="1" ht="15">
      <c r="P1018" s="447"/>
    </row>
    <row r="1019" spans="16:16" s="497" customFormat="1" ht="15">
      <c r="P1019" s="447"/>
    </row>
    <row r="1020" spans="16:16" s="497" customFormat="1" ht="15">
      <c r="P1020" s="447"/>
    </row>
    <row r="1021" spans="16:16" s="497" customFormat="1" ht="15">
      <c r="P1021" s="447"/>
    </row>
    <row r="1022" spans="16:16" s="497" customFormat="1" ht="15">
      <c r="P1022" s="447"/>
    </row>
    <row r="1023" spans="16:16" s="497" customFormat="1" ht="15">
      <c r="P1023" s="447"/>
    </row>
    <row r="1024" spans="16:16" s="497" customFormat="1" ht="15">
      <c r="P1024" s="447"/>
    </row>
    <row r="1025" spans="16:16" s="497" customFormat="1" ht="15">
      <c r="P1025" s="447"/>
    </row>
    <row r="1026" spans="16:16" s="497" customFormat="1" ht="15">
      <c r="P1026" s="447"/>
    </row>
    <row r="1027" spans="16:16" s="497" customFormat="1" ht="15">
      <c r="P1027" s="447"/>
    </row>
    <row r="1028" spans="16:16" s="497" customFormat="1" ht="15">
      <c r="P1028" s="447"/>
    </row>
    <row r="1029" spans="16:16" s="497" customFormat="1" ht="15">
      <c r="P1029" s="447"/>
    </row>
    <row r="1030" spans="16:16" s="497" customFormat="1" ht="15">
      <c r="P1030" s="447"/>
    </row>
    <row r="1031" spans="16:16" s="497" customFormat="1" ht="15">
      <c r="P1031" s="447"/>
    </row>
    <row r="1032" spans="16:16" s="497" customFormat="1" ht="15">
      <c r="P1032" s="447"/>
    </row>
    <row r="1033" spans="16:16" s="497" customFormat="1" ht="15">
      <c r="P1033" s="447"/>
    </row>
    <row r="1034" spans="16:16" s="497" customFormat="1" ht="15">
      <c r="P1034" s="447"/>
    </row>
    <row r="1035" spans="16:16" s="497" customFormat="1" ht="15">
      <c r="P1035" s="447"/>
    </row>
    <row r="1036" spans="16:16" s="497" customFormat="1" ht="15">
      <c r="P1036" s="447"/>
    </row>
    <row r="1037" spans="16:16" s="497" customFormat="1" ht="15">
      <c r="P1037" s="447"/>
    </row>
    <row r="1038" spans="16:16" s="497" customFormat="1" ht="15">
      <c r="P1038" s="447"/>
    </row>
    <row r="1039" spans="16:16" s="497" customFormat="1" ht="15">
      <c r="P1039" s="447"/>
    </row>
    <row r="1040" spans="16:16" s="497" customFormat="1" ht="15">
      <c r="P1040" s="447"/>
    </row>
    <row r="1041" spans="16:16" s="497" customFormat="1" ht="15">
      <c r="P1041" s="447"/>
    </row>
    <row r="1042" spans="16:16" s="497" customFormat="1" ht="15">
      <c r="P1042" s="447"/>
    </row>
    <row r="1043" spans="16:16" s="497" customFormat="1" ht="15">
      <c r="P1043" s="447"/>
    </row>
    <row r="1044" spans="16:16" s="497" customFormat="1" ht="15">
      <c r="P1044" s="447"/>
    </row>
    <row r="1045" spans="16:16" s="497" customFormat="1" ht="15">
      <c r="P1045" s="447"/>
    </row>
    <row r="1046" spans="16:16" s="497" customFormat="1" ht="15">
      <c r="P1046" s="447"/>
    </row>
    <row r="1047" spans="16:16" s="497" customFormat="1" ht="15">
      <c r="P1047" s="447"/>
    </row>
    <row r="1048" spans="16:16" s="497" customFormat="1" ht="15">
      <c r="P1048" s="447"/>
    </row>
    <row r="1049" spans="16:16" s="497" customFormat="1" ht="15">
      <c r="P1049" s="447"/>
    </row>
    <row r="1050" spans="16:16" s="497" customFormat="1" ht="15">
      <c r="P1050" s="447"/>
    </row>
    <row r="1051" spans="16:16" s="497" customFormat="1" ht="15">
      <c r="P1051" s="447"/>
    </row>
    <row r="1052" spans="16:16" s="497" customFormat="1" ht="15">
      <c r="P1052" s="447"/>
    </row>
    <row r="1053" spans="16:16" s="497" customFormat="1" ht="15">
      <c r="P1053" s="447"/>
    </row>
    <row r="1054" spans="16:16" s="497" customFormat="1" ht="15">
      <c r="P1054" s="447"/>
    </row>
    <row r="1055" spans="16:16" s="497" customFormat="1" ht="15">
      <c r="P1055" s="447"/>
    </row>
    <row r="1056" spans="16:16" s="497" customFormat="1" ht="15">
      <c r="P1056" s="447"/>
    </row>
    <row r="1057" spans="16:16" s="497" customFormat="1" ht="15">
      <c r="P1057" s="447"/>
    </row>
    <row r="1058" spans="16:16" s="497" customFormat="1" ht="15">
      <c r="P1058" s="447"/>
    </row>
    <row r="1059" spans="16:16" s="497" customFormat="1" ht="15">
      <c r="P1059" s="447"/>
    </row>
    <row r="1060" spans="16:16" s="497" customFormat="1" ht="15">
      <c r="P1060" s="447"/>
    </row>
    <row r="1061" spans="16:16" s="497" customFormat="1" ht="15">
      <c r="P1061" s="447"/>
    </row>
    <row r="1062" spans="16:16" s="497" customFormat="1" ht="15">
      <c r="P1062" s="447"/>
    </row>
    <row r="1063" spans="16:16" s="497" customFormat="1" ht="15">
      <c r="P1063" s="447"/>
    </row>
    <row r="1064" spans="16:16" s="497" customFormat="1" ht="15">
      <c r="P1064" s="447"/>
    </row>
    <row r="1065" spans="16:16" s="497" customFormat="1" ht="15">
      <c r="P1065" s="447"/>
    </row>
    <row r="1066" spans="16:16" s="497" customFormat="1" ht="15">
      <c r="P1066" s="447"/>
    </row>
    <row r="1067" spans="16:16" s="497" customFormat="1" ht="15">
      <c r="P1067" s="447"/>
    </row>
    <row r="1068" spans="16:16" s="497" customFormat="1" ht="15">
      <c r="P1068" s="447"/>
    </row>
    <row r="1069" spans="16:16" s="497" customFormat="1" ht="15">
      <c r="P1069" s="447"/>
    </row>
    <row r="1070" spans="16:16" s="497" customFormat="1" ht="15">
      <c r="P1070" s="447"/>
    </row>
    <row r="1071" spans="16:16" s="497" customFormat="1" ht="15">
      <c r="P1071" s="447"/>
    </row>
    <row r="1072" spans="16:16" s="497" customFormat="1" ht="15">
      <c r="P1072" s="447"/>
    </row>
    <row r="1073" spans="16:16" s="497" customFormat="1" ht="15">
      <c r="P1073" s="447"/>
    </row>
    <row r="1074" spans="16:16" s="497" customFormat="1" ht="15">
      <c r="P1074" s="447"/>
    </row>
    <row r="1075" spans="16:16" s="497" customFormat="1" ht="15">
      <c r="P1075" s="447"/>
    </row>
    <row r="1076" spans="16:16" s="497" customFormat="1" ht="15">
      <c r="P1076" s="447"/>
    </row>
    <row r="1077" spans="16:16" s="497" customFormat="1" ht="15">
      <c r="P1077" s="447"/>
    </row>
    <row r="1078" spans="16:16" s="497" customFormat="1" ht="15">
      <c r="P1078" s="447"/>
    </row>
    <row r="1079" spans="16:16" s="497" customFormat="1" ht="15">
      <c r="P1079" s="447"/>
    </row>
    <row r="1080" spans="16:16" s="497" customFormat="1" ht="15">
      <c r="P1080" s="447"/>
    </row>
    <row r="1081" spans="16:16" s="497" customFormat="1" ht="15">
      <c r="P1081" s="447"/>
    </row>
    <row r="1082" spans="16:16" s="497" customFormat="1" ht="15">
      <c r="P1082" s="447"/>
    </row>
    <row r="1083" spans="16:16" s="497" customFormat="1" ht="15">
      <c r="P1083" s="447"/>
    </row>
    <row r="1084" spans="16:16" s="497" customFormat="1" ht="15">
      <c r="P1084" s="447"/>
    </row>
    <row r="1085" spans="16:16" s="497" customFormat="1" ht="15">
      <c r="P1085" s="447"/>
    </row>
    <row r="1086" spans="16:16" s="497" customFormat="1" ht="15">
      <c r="P1086" s="447"/>
    </row>
    <row r="1087" spans="16:16" s="497" customFormat="1" ht="15">
      <c r="P1087" s="447"/>
    </row>
    <row r="1088" spans="16:16" s="497" customFormat="1" ht="15">
      <c r="P1088" s="447"/>
    </row>
    <row r="1089" spans="16:16" s="497" customFormat="1" ht="15">
      <c r="P1089" s="447"/>
    </row>
    <row r="1090" spans="16:16" s="497" customFormat="1" ht="15">
      <c r="P1090" s="447"/>
    </row>
    <row r="1091" spans="16:16" s="497" customFormat="1" ht="15">
      <c r="P1091" s="447"/>
    </row>
    <row r="1092" spans="16:16" s="497" customFormat="1" ht="15">
      <c r="P1092" s="447"/>
    </row>
    <row r="1093" spans="16:16" s="497" customFormat="1" ht="15">
      <c r="P1093" s="447"/>
    </row>
    <row r="1094" spans="16:16" s="497" customFormat="1" ht="15">
      <c r="P1094" s="447"/>
    </row>
    <row r="1095" spans="16:16" s="497" customFormat="1" ht="15">
      <c r="P1095" s="447"/>
    </row>
    <row r="1096" spans="16:16" s="497" customFormat="1" ht="15">
      <c r="P1096" s="447"/>
    </row>
    <row r="1097" spans="16:16" s="497" customFormat="1" ht="15">
      <c r="P1097" s="447"/>
    </row>
    <row r="1098" spans="16:16" s="497" customFormat="1" ht="15">
      <c r="P1098" s="447"/>
    </row>
    <row r="1099" spans="16:16" s="497" customFormat="1" ht="15">
      <c r="P1099" s="447"/>
    </row>
    <row r="1100" spans="16:16" s="497" customFormat="1" ht="15">
      <c r="P1100" s="447"/>
    </row>
    <row r="1101" spans="16:16" s="497" customFormat="1" ht="15">
      <c r="P1101" s="447"/>
    </row>
    <row r="1102" spans="16:16" s="497" customFormat="1" ht="15">
      <c r="P1102" s="447"/>
    </row>
    <row r="1103" spans="16:16" s="497" customFormat="1" ht="15">
      <c r="P1103" s="447"/>
    </row>
    <row r="1104" spans="16:16" s="497" customFormat="1" ht="15">
      <c r="P1104" s="447"/>
    </row>
    <row r="1105" spans="16:16" s="497" customFormat="1" ht="15">
      <c r="P1105" s="447"/>
    </row>
    <row r="1106" spans="16:16" s="497" customFormat="1" ht="15">
      <c r="P1106" s="447"/>
    </row>
    <row r="1107" spans="16:16" s="497" customFormat="1" ht="15">
      <c r="P1107" s="447"/>
    </row>
    <row r="1108" spans="16:16" s="497" customFormat="1" ht="15">
      <c r="P1108" s="447"/>
    </row>
    <row r="1109" spans="16:16" s="497" customFormat="1" ht="15">
      <c r="P1109" s="447"/>
    </row>
    <row r="1110" spans="16:16" s="497" customFormat="1" ht="15">
      <c r="P1110" s="447"/>
    </row>
    <row r="1111" spans="16:16" s="497" customFormat="1" ht="15">
      <c r="P1111" s="447"/>
    </row>
    <row r="1112" spans="16:16" s="497" customFormat="1" ht="15">
      <c r="P1112" s="447"/>
    </row>
    <row r="1113" spans="16:16" s="497" customFormat="1" ht="15">
      <c r="P1113" s="447"/>
    </row>
    <row r="1114" spans="16:16" s="497" customFormat="1" ht="15">
      <c r="P1114" s="447"/>
    </row>
    <row r="1115" spans="16:16" s="497" customFormat="1" ht="15">
      <c r="P1115" s="447"/>
    </row>
    <row r="1116" spans="16:16" s="497" customFormat="1" ht="15">
      <c r="P1116" s="447"/>
    </row>
    <row r="1117" spans="16:16" s="497" customFormat="1" ht="15">
      <c r="P1117" s="447"/>
    </row>
    <row r="1118" spans="16:16" s="497" customFormat="1" ht="15">
      <c r="P1118" s="447"/>
    </row>
    <row r="1119" spans="16:16" s="497" customFormat="1" ht="15">
      <c r="P1119" s="447"/>
    </row>
    <row r="1120" spans="16:16" s="497" customFormat="1" ht="15">
      <c r="P1120" s="447"/>
    </row>
    <row r="1121" spans="16:16" s="497" customFormat="1" ht="15">
      <c r="P1121" s="447"/>
    </row>
    <row r="1122" spans="16:16" s="497" customFormat="1" ht="15">
      <c r="P1122" s="447"/>
    </row>
    <row r="1123" spans="16:16" s="497" customFormat="1" ht="15">
      <c r="P1123" s="447"/>
    </row>
    <row r="1124" spans="16:16" s="497" customFormat="1" ht="15">
      <c r="P1124" s="447"/>
    </row>
    <row r="1125" spans="16:16" s="497" customFormat="1" ht="15">
      <c r="P1125" s="447"/>
    </row>
    <row r="1126" spans="16:16" s="497" customFormat="1" ht="15">
      <c r="P1126" s="447"/>
    </row>
    <row r="1127" spans="16:16" s="497" customFormat="1" ht="15">
      <c r="P1127" s="447"/>
    </row>
    <row r="1128" spans="16:16" s="497" customFormat="1" ht="15">
      <c r="P1128" s="447"/>
    </row>
    <row r="1129" spans="16:16" s="497" customFormat="1" ht="15">
      <c r="P1129" s="447"/>
    </row>
    <row r="1130" spans="16:16" s="497" customFormat="1" ht="15">
      <c r="P1130" s="447"/>
    </row>
    <row r="1131" spans="16:16" s="497" customFormat="1" ht="15">
      <c r="P1131" s="447"/>
    </row>
    <row r="1132" spans="16:16" s="497" customFormat="1" ht="15">
      <c r="P1132" s="447"/>
    </row>
    <row r="1133" spans="16:16" s="497" customFormat="1" ht="15">
      <c r="P1133" s="447"/>
    </row>
    <row r="1134" spans="16:16" s="497" customFormat="1" ht="15">
      <c r="P1134" s="447"/>
    </row>
    <row r="1135" spans="16:16" s="497" customFormat="1" ht="15">
      <c r="P1135" s="447"/>
    </row>
    <row r="1136" spans="16:16" s="497" customFormat="1" ht="15">
      <c r="P1136" s="447"/>
    </row>
    <row r="1137" spans="16:16" s="497" customFormat="1" ht="15">
      <c r="P1137" s="447"/>
    </row>
    <row r="1138" spans="16:16" s="497" customFormat="1" ht="15">
      <c r="P1138" s="447"/>
    </row>
    <row r="1139" spans="16:16" s="497" customFormat="1" ht="15">
      <c r="P1139" s="447"/>
    </row>
    <row r="1140" spans="16:16" s="497" customFormat="1" ht="15">
      <c r="P1140" s="447"/>
    </row>
    <row r="1141" spans="16:16" s="497" customFormat="1" ht="15">
      <c r="P1141" s="447"/>
    </row>
    <row r="1142" spans="16:16" s="497" customFormat="1" ht="15">
      <c r="P1142" s="447"/>
    </row>
    <row r="1143" spans="16:16" s="497" customFormat="1" ht="15">
      <c r="P1143" s="447"/>
    </row>
    <row r="1144" spans="16:16" s="497" customFormat="1" ht="15">
      <c r="P1144" s="447"/>
    </row>
    <row r="1145" spans="16:16" s="497" customFormat="1" ht="15">
      <c r="P1145" s="447"/>
    </row>
    <row r="1146" spans="16:16" s="497" customFormat="1" ht="15">
      <c r="P1146" s="447"/>
    </row>
    <row r="1147" spans="16:16" s="497" customFormat="1" ht="15">
      <c r="P1147" s="447"/>
    </row>
    <row r="1148" spans="16:16" s="497" customFormat="1" ht="15">
      <c r="P1148" s="447"/>
    </row>
    <row r="1149" spans="16:16" s="497" customFormat="1" ht="15">
      <c r="P1149" s="447"/>
    </row>
    <row r="1150" spans="16:16" s="497" customFormat="1" ht="15">
      <c r="P1150" s="447"/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>
    <tabColor rgb="FF002060"/>
  </sheetPr>
  <dimension ref="A1:T1150"/>
  <sheetViews>
    <sheetView workbookViewId="0">
      <selection activeCell="C15" sqref="C15"/>
    </sheetView>
  </sheetViews>
  <sheetFormatPr defaultRowHeight="12.75"/>
  <cols>
    <col min="1" max="4" width="9.140625" style="443"/>
    <col min="5" max="6" width="5.140625" style="458" customWidth="1"/>
    <col min="7" max="7" width="6" style="458" customWidth="1"/>
    <col min="8" max="14" width="5.140625" style="458" customWidth="1"/>
    <col min="15" max="15" width="9.140625" style="443"/>
    <col min="16" max="16" width="9.140625" style="497"/>
    <col min="17" max="20" width="9.140625" style="473"/>
    <col min="21" max="16384" width="9.140625" style="497"/>
  </cols>
  <sheetData>
    <row r="1" spans="1:20" s="443" customFormat="1" ht="23.25">
      <c r="A1" s="495" t="s">
        <v>527</v>
      </c>
      <c r="E1" s="458"/>
      <c r="F1" s="458"/>
      <c r="G1" s="458"/>
      <c r="H1" s="458"/>
      <c r="I1" s="458"/>
      <c r="J1" s="458"/>
      <c r="K1" s="458"/>
      <c r="L1" s="458"/>
      <c r="M1" s="458"/>
      <c r="N1" s="458"/>
      <c r="Q1" s="496" t="s">
        <v>417</v>
      </c>
      <c r="R1" s="496" t="s">
        <v>524</v>
      </c>
      <c r="S1" s="496" t="s">
        <v>525</v>
      </c>
      <c r="T1" s="496" t="s">
        <v>526</v>
      </c>
    </row>
    <row r="2" spans="1:20" ht="15">
      <c r="B2" s="445" t="s">
        <v>421</v>
      </c>
      <c r="C2" s="445"/>
      <c r="D2" s="445"/>
      <c r="F2" s="446" t="s">
        <v>422</v>
      </c>
      <c r="G2" s="446" t="s">
        <v>423</v>
      </c>
      <c r="P2" s="447"/>
      <c r="Q2" s="447" t="s">
        <v>456</v>
      </c>
      <c r="R2" s="447" t="s">
        <v>457</v>
      </c>
      <c r="S2" s="447" t="s">
        <v>425</v>
      </c>
      <c r="T2" s="447" t="s">
        <v>460</v>
      </c>
    </row>
    <row r="3" spans="1:20" ht="15">
      <c r="B3" s="443" t="s">
        <v>426</v>
      </c>
      <c r="C3" s="448">
        <v>3.5008273438823068</v>
      </c>
      <c r="D3" s="449" t="s">
        <v>427</v>
      </c>
      <c r="F3" s="446">
        <f>MIN(XX_value)</f>
        <v>3</v>
      </c>
      <c r="G3" s="446">
        <f>MAX(XX_value)</f>
        <v>100</v>
      </c>
      <c r="P3" s="447"/>
      <c r="Q3" s="450">
        <v>3</v>
      </c>
      <c r="R3" s="450">
        <v>0</v>
      </c>
      <c r="S3" s="450">
        <v>0</v>
      </c>
      <c r="T3" s="450">
        <v>1</v>
      </c>
    </row>
    <row r="4" spans="1:20" ht="15">
      <c r="B4" s="443" t="s">
        <v>430</v>
      </c>
      <c r="C4" s="448">
        <v>1.0629800000000103</v>
      </c>
      <c r="D4" s="449" t="s">
        <v>427</v>
      </c>
      <c r="F4" s="446">
        <f>MIN(YY_value)</f>
        <v>0</v>
      </c>
      <c r="G4" s="446">
        <f>MAX(YY_value)</f>
        <v>100</v>
      </c>
      <c r="P4" s="447"/>
      <c r="Q4" s="450">
        <v>3</v>
      </c>
      <c r="R4" s="450">
        <v>0</v>
      </c>
      <c r="S4" s="450">
        <v>300</v>
      </c>
      <c r="T4" s="450">
        <v>1</v>
      </c>
    </row>
    <row r="5" spans="1:20" ht="15">
      <c r="B5" s="443" t="s">
        <v>390</v>
      </c>
      <c r="C5" s="448">
        <v>217.26688621904472</v>
      </c>
      <c r="D5" s="449" t="s">
        <v>427</v>
      </c>
      <c r="F5" s="446">
        <f>MIN(ZZ_value)</f>
        <v>0</v>
      </c>
      <c r="G5" s="446">
        <f>MAX(ZZ_value)</f>
        <v>10000</v>
      </c>
      <c r="P5" s="447"/>
      <c r="Q5" s="450">
        <v>3</v>
      </c>
      <c r="R5" s="450">
        <v>0</v>
      </c>
      <c r="S5" s="450">
        <v>300.01</v>
      </c>
      <c r="T5" s="450">
        <v>1</v>
      </c>
    </row>
    <row r="6" spans="1:20" ht="15">
      <c r="G6" s="446"/>
      <c r="P6" s="447"/>
      <c r="Q6" s="450">
        <v>3</v>
      </c>
      <c r="R6" s="450">
        <v>0</v>
      </c>
      <c r="S6" s="450">
        <v>600</v>
      </c>
      <c r="T6" s="450">
        <v>1</v>
      </c>
    </row>
    <row r="7" spans="1:20" ht="15">
      <c r="B7" s="445" t="s">
        <v>424</v>
      </c>
      <c r="C7" s="445"/>
      <c r="D7" s="445"/>
      <c r="P7" s="447"/>
      <c r="Q7" s="450">
        <v>3</v>
      </c>
      <c r="R7" s="450">
        <v>0</v>
      </c>
      <c r="S7" s="450">
        <v>600.01</v>
      </c>
      <c r="T7" s="450">
        <v>1</v>
      </c>
    </row>
    <row r="8" spans="1:20" ht="15">
      <c r="B8" s="443" t="s">
        <v>461</v>
      </c>
      <c r="C8" s="468">
        <f>SUMPRODUCT(D37:D44,D46:D53)</f>
        <v>0.99999999999999911</v>
      </c>
      <c r="D8" s="449" t="s">
        <v>427</v>
      </c>
      <c r="P8" s="447"/>
      <c r="Q8" s="450">
        <v>3</v>
      </c>
      <c r="R8" s="450">
        <v>0</v>
      </c>
      <c r="S8" s="450">
        <v>10000</v>
      </c>
      <c r="T8" s="450">
        <v>1</v>
      </c>
    </row>
    <row r="9" spans="1:20" ht="15">
      <c r="P9" s="447"/>
      <c r="Q9" s="450">
        <v>3</v>
      </c>
      <c r="R9" s="450">
        <v>0.4</v>
      </c>
      <c r="S9" s="450">
        <v>0</v>
      </c>
      <c r="T9" s="450">
        <v>1</v>
      </c>
    </row>
    <row r="10" spans="1:20" ht="15">
      <c r="B10" s="445" t="s">
        <v>431</v>
      </c>
      <c r="C10" s="445"/>
      <c r="D10" s="445"/>
      <c r="F10" s="446"/>
      <c r="P10" s="447"/>
      <c r="Q10" s="450">
        <v>3</v>
      </c>
      <c r="R10" s="450">
        <v>0.4</v>
      </c>
      <c r="S10" s="450">
        <v>300</v>
      </c>
      <c r="T10" s="450">
        <v>1</v>
      </c>
    </row>
    <row r="11" spans="1:20" ht="15">
      <c r="B11" s="443" t="s">
        <v>433</v>
      </c>
      <c r="C11" s="450">
        <f>INDEX(XX_value,MATCH(XX,XX_value,1))</f>
        <v>3.5</v>
      </c>
      <c r="D11" s="449" t="s">
        <v>427</v>
      </c>
      <c r="F11" s="446"/>
      <c r="P11" s="447"/>
      <c r="Q11" s="450">
        <v>3</v>
      </c>
      <c r="R11" s="450">
        <v>0.4</v>
      </c>
      <c r="S11" s="450">
        <v>300.01</v>
      </c>
      <c r="T11" s="450">
        <v>1</v>
      </c>
    </row>
    <row r="12" spans="1:20" ht="15">
      <c r="B12" s="443" t="s">
        <v>434</v>
      </c>
      <c r="C12" s="450">
        <f>INDEX(XX_value,MATCH(XX,XX_value,1)+1)</f>
        <v>4.49</v>
      </c>
      <c r="D12" s="449" t="s">
        <v>427</v>
      </c>
      <c r="F12" s="446"/>
      <c r="P12" s="447"/>
      <c r="Q12" s="450">
        <v>3</v>
      </c>
      <c r="R12" s="450">
        <v>0.4</v>
      </c>
      <c r="S12" s="450">
        <v>600</v>
      </c>
      <c r="T12" s="450">
        <v>1</v>
      </c>
    </row>
    <row r="13" spans="1:20" ht="15">
      <c r="B13" s="443" t="s">
        <v>435</v>
      </c>
      <c r="C13" s="450">
        <f>INDEX(YY_value,MATCH(YY,YY_value,1))</f>
        <v>0.8</v>
      </c>
      <c r="D13" s="449" t="s">
        <v>427</v>
      </c>
      <c r="F13" s="446"/>
      <c r="P13" s="447"/>
      <c r="Q13" s="450">
        <v>3</v>
      </c>
      <c r="R13" s="450">
        <v>0.4</v>
      </c>
      <c r="S13" s="450">
        <v>600.01</v>
      </c>
      <c r="T13" s="450">
        <v>1</v>
      </c>
    </row>
    <row r="14" spans="1:20" ht="15">
      <c r="B14" s="443" t="s">
        <v>436</v>
      </c>
      <c r="C14" s="450">
        <f>INDEX(YY_value,MATCH(YY,YY_value,1)+1)</f>
        <v>1.2</v>
      </c>
      <c r="D14" s="449" t="s">
        <v>427</v>
      </c>
      <c r="F14" s="446"/>
      <c r="P14" s="447"/>
      <c r="Q14" s="450">
        <v>3</v>
      </c>
      <c r="R14" s="450">
        <v>0.4</v>
      </c>
      <c r="S14" s="450">
        <v>10000</v>
      </c>
      <c r="T14" s="450">
        <v>1</v>
      </c>
    </row>
    <row r="15" spans="1:20" ht="15">
      <c r="B15" s="443" t="s">
        <v>462</v>
      </c>
      <c r="C15" s="450">
        <f>INDEX(ZZ_value,MATCH(ZZ,ZZ_value,1))</f>
        <v>0</v>
      </c>
      <c r="D15" s="449" t="s">
        <v>427</v>
      </c>
      <c r="P15" s="447"/>
      <c r="Q15" s="450">
        <v>3</v>
      </c>
      <c r="R15" s="450">
        <v>0.8</v>
      </c>
      <c r="S15" s="450">
        <v>0</v>
      </c>
      <c r="T15" s="450">
        <v>1</v>
      </c>
    </row>
    <row r="16" spans="1:20" ht="15">
      <c r="B16" s="443" t="s">
        <v>463</v>
      </c>
      <c r="C16" s="450">
        <f>INDEX(ZZ_value,MATCH(ZZ,ZZ_value,1)+1)</f>
        <v>300</v>
      </c>
      <c r="D16" s="449" t="s">
        <v>427</v>
      </c>
      <c r="F16" s="446" t="s">
        <v>432</v>
      </c>
      <c r="P16" s="447"/>
      <c r="Q16" s="450">
        <v>3</v>
      </c>
      <c r="R16" s="450">
        <v>0.8</v>
      </c>
      <c r="S16" s="450">
        <v>300</v>
      </c>
      <c r="T16" s="450">
        <v>1</v>
      </c>
    </row>
    <row r="17" spans="2:20" s="497" customFormat="1" ht="15">
      <c r="B17" s="443" t="s">
        <v>464</v>
      </c>
      <c r="C17" s="469">
        <f t="shared" ref="C17" si="0">INDEX(TT_value,F17,0)</f>
        <v>1</v>
      </c>
      <c r="D17" s="449" t="s">
        <v>427</v>
      </c>
      <c r="E17" s="458"/>
      <c r="F17" s="446">
        <f t="array" ref="F17">MATCH(1,(XX_value=xx_1)*(YY_value=yy_1)*(ZZ_value=zz_1),0)</f>
        <v>135</v>
      </c>
      <c r="G17" s="458"/>
      <c r="H17" s="458"/>
      <c r="I17" s="458"/>
      <c r="J17" s="458"/>
      <c r="K17" s="458"/>
      <c r="L17" s="458"/>
      <c r="M17" s="458"/>
      <c r="N17" s="458"/>
      <c r="O17" s="443"/>
      <c r="P17" s="447"/>
      <c r="Q17" s="450">
        <v>3</v>
      </c>
      <c r="R17" s="450">
        <v>0.8</v>
      </c>
      <c r="S17" s="450">
        <v>300.01</v>
      </c>
      <c r="T17" s="450">
        <v>1</v>
      </c>
    </row>
    <row r="18" spans="2:20" s="497" customFormat="1" ht="15">
      <c r="B18" s="443" t="s">
        <v>465</v>
      </c>
      <c r="C18" s="469">
        <f t="shared" ref="C18" si="1">INDEX(TT_value,F18,0)</f>
        <v>1</v>
      </c>
      <c r="D18" s="449" t="s">
        <v>427</v>
      </c>
      <c r="E18" s="458"/>
      <c r="F18" s="446">
        <f t="array" ref="F18">MATCH(1,(XX_value=xx_2)*(YY_value=yy_1)*(ZZ_value=zz_1),0)</f>
        <v>195</v>
      </c>
      <c r="G18" s="458"/>
      <c r="H18" s="458"/>
      <c r="I18" s="458"/>
      <c r="J18" s="458"/>
      <c r="K18" s="458"/>
      <c r="L18" s="458"/>
      <c r="M18" s="458"/>
      <c r="N18" s="458"/>
      <c r="O18" s="443"/>
      <c r="P18" s="447"/>
      <c r="Q18" s="450">
        <v>3</v>
      </c>
      <c r="R18" s="450">
        <v>0.8</v>
      </c>
      <c r="S18" s="450">
        <v>600</v>
      </c>
      <c r="T18" s="450">
        <v>1</v>
      </c>
    </row>
    <row r="19" spans="2:20" s="497" customFormat="1" ht="15">
      <c r="B19" s="443" t="s">
        <v>466</v>
      </c>
      <c r="C19" s="469">
        <f t="shared" ref="C19" si="2">INDEX(TT_value,F19,0)</f>
        <v>1</v>
      </c>
      <c r="D19" s="449" t="s">
        <v>427</v>
      </c>
      <c r="E19" s="458"/>
      <c r="F19" s="446">
        <f t="array" ref="F19">MATCH(1,(XX_value=xx_1)*(YY_value=yy_2)*(ZZ_value=zz_1),0)</f>
        <v>141</v>
      </c>
      <c r="G19" s="458"/>
      <c r="H19" s="458"/>
      <c r="I19" s="458"/>
      <c r="J19" s="458"/>
      <c r="K19" s="458"/>
      <c r="L19" s="458"/>
      <c r="M19" s="458"/>
      <c r="N19" s="458"/>
      <c r="O19" s="443"/>
      <c r="P19" s="447"/>
      <c r="Q19" s="450">
        <v>3</v>
      </c>
      <c r="R19" s="450">
        <v>0.8</v>
      </c>
      <c r="S19" s="450">
        <v>600.01</v>
      </c>
      <c r="T19" s="450">
        <v>1</v>
      </c>
    </row>
    <row r="20" spans="2:20" s="497" customFormat="1" ht="15">
      <c r="B20" s="443" t="s">
        <v>467</v>
      </c>
      <c r="C20" s="469">
        <f t="shared" ref="C20" si="3">INDEX(TT_value,F20,0)</f>
        <v>1</v>
      </c>
      <c r="D20" s="449" t="s">
        <v>427</v>
      </c>
      <c r="E20" s="458"/>
      <c r="F20" s="446">
        <f t="array" ref="F20">MATCH(1,(XX_value=xx_2)*(YY_value=yy_2)*(ZZ_value=zz_1),0)</f>
        <v>201</v>
      </c>
      <c r="G20" s="458"/>
      <c r="H20" s="458"/>
      <c r="I20" s="458"/>
      <c r="J20" s="458"/>
      <c r="K20" s="458"/>
      <c r="L20" s="458"/>
      <c r="M20" s="458"/>
      <c r="N20" s="458"/>
      <c r="O20" s="443"/>
      <c r="P20" s="447"/>
      <c r="Q20" s="450">
        <v>3</v>
      </c>
      <c r="R20" s="450">
        <v>0.8</v>
      </c>
      <c r="S20" s="450">
        <v>10000</v>
      </c>
      <c r="T20" s="450">
        <v>1</v>
      </c>
    </row>
    <row r="21" spans="2:20" s="497" customFormat="1" ht="15">
      <c r="B21" s="443" t="s">
        <v>468</v>
      </c>
      <c r="C21" s="469">
        <f t="shared" ref="C21" si="4">INDEX(TT_value,F21,0)</f>
        <v>1</v>
      </c>
      <c r="D21" s="449" t="s">
        <v>427</v>
      </c>
      <c r="E21" s="458"/>
      <c r="F21" s="446">
        <f t="array" ref="F21">MATCH(1,(XX_value=xx_1)*(YY_value=yy_1)*(ZZ_value=zz_2),0)</f>
        <v>136</v>
      </c>
      <c r="G21" s="458"/>
      <c r="H21" s="458"/>
      <c r="I21" s="458"/>
      <c r="J21" s="458"/>
      <c r="K21" s="458"/>
      <c r="L21" s="458"/>
      <c r="M21" s="458"/>
      <c r="N21" s="458"/>
      <c r="O21" s="443"/>
      <c r="P21" s="447"/>
      <c r="Q21" s="450">
        <v>3</v>
      </c>
      <c r="R21" s="450">
        <v>1.2</v>
      </c>
      <c r="S21" s="450">
        <v>0</v>
      </c>
      <c r="T21" s="450">
        <v>1</v>
      </c>
    </row>
    <row r="22" spans="2:20" s="497" customFormat="1" ht="15">
      <c r="B22" s="443" t="s">
        <v>469</v>
      </c>
      <c r="C22" s="469">
        <f t="shared" ref="C22" si="5">INDEX(TT_value,F22,0)</f>
        <v>1</v>
      </c>
      <c r="D22" s="449" t="s">
        <v>427</v>
      </c>
      <c r="E22" s="458"/>
      <c r="F22" s="446">
        <f t="array" ref="F22">MATCH(1,(XX_value=xx_2)*(YY_value=yy_1)*(ZZ_value=zz_2),0)</f>
        <v>196</v>
      </c>
      <c r="G22" s="458"/>
      <c r="H22" s="458"/>
      <c r="I22" s="458"/>
      <c r="J22" s="458"/>
      <c r="K22" s="458"/>
      <c r="L22" s="458"/>
      <c r="M22" s="458"/>
      <c r="N22" s="458"/>
      <c r="O22" s="443"/>
      <c r="P22" s="447"/>
      <c r="Q22" s="450">
        <v>3</v>
      </c>
      <c r="R22" s="450">
        <v>1.2</v>
      </c>
      <c r="S22" s="450">
        <v>300</v>
      </c>
      <c r="T22" s="450">
        <v>1</v>
      </c>
    </row>
    <row r="23" spans="2:20" s="497" customFormat="1" ht="15">
      <c r="B23" s="443" t="s">
        <v>470</v>
      </c>
      <c r="C23" s="469">
        <f t="shared" ref="C23" si="6">INDEX(TT_value,F23,0)</f>
        <v>1</v>
      </c>
      <c r="D23" s="449" t="s">
        <v>427</v>
      </c>
      <c r="E23" s="458"/>
      <c r="F23" s="446">
        <f t="array" ref="F23">MATCH(1,(XX_value=xx_1)*(YY_value=yy_2)*(ZZ_value=zz_2),0)</f>
        <v>142</v>
      </c>
      <c r="G23" s="458"/>
      <c r="H23" s="458"/>
      <c r="I23" s="458"/>
      <c r="J23" s="458"/>
      <c r="K23" s="458"/>
      <c r="L23" s="458"/>
      <c r="M23" s="458"/>
      <c r="N23" s="458"/>
      <c r="O23" s="443"/>
      <c r="P23" s="447"/>
      <c r="Q23" s="450">
        <v>3</v>
      </c>
      <c r="R23" s="450">
        <v>1.2</v>
      </c>
      <c r="S23" s="450">
        <v>300.01</v>
      </c>
      <c r="T23" s="450">
        <v>1</v>
      </c>
    </row>
    <row r="24" spans="2:20" s="497" customFormat="1" ht="15">
      <c r="B24" s="443" t="s">
        <v>471</v>
      </c>
      <c r="C24" s="469">
        <f t="shared" ref="C24" si="7">INDEX(TT_value,F24,0)</f>
        <v>1</v>
      </c>
      <c r="D24" s="449" t="s">
        <v>427</v>
      </c>
      <c r="E24" s="458"/>
      <c r="F24" s="446">
        <f t="array" ref="F24">MATCH(1,(XX_value=xx_2)*(YY_value=yy_2)*(ZZ_value=zz_2),0)</f>
        <v>202</v>
      </c>
      <c r="G24" s="458"/>
      <c r="H24" s="458"/>
      <c r="I24" s="458"/>
      <c r="J24" s="458"/>
      <c r="K24" s="458"/>
      <c r="L24" s="458"/>
      <c r="M24" s="458"/>
      <c r="N24" s="458"/>
      <c r="O24" s="443"/>
      <c r="P24" s="447"/>
      <c r="Q24" s="450">
        <v>3</v>
      </c>
      <c r="R24" s="450">
        <v>1.2</v>
      </c>
      <c r="S24" s="450">
        <v>600</v>
      </c>
      <c r="T24" s="450">
        <v>1</v>
      </c>
    </row>
    <row r="25" spans="2:20" s="497" customFormat="1" ht="15">
      <c r="B25" s="443"/>
      <c r="C25" s="443"/>
      <c r="D25" s="449"/>
      <c r="E25" s="458"/>
      <c r="F25" s="458"/>
      <c r="G25" s="458"/>
      <c r="H25" s="458"/>
      <c r="I25" s="458"/>
      <c r="J25" s="458"/>
      <c r="K25" s="458"/>
      <c r="L25" s="458"/>
      <c r="M25" s="458"/>
      <c r="N25" s="458"/>
      <c r="O25" s="443"/>
      <c r="P25" s="447"/>
      <c r="Q25" s="450">
        <v>3</v>
      </c>
      <c r="R25" s="450">
        <v>1.2</v>
      </c>
      <c r="S25" s="450">
        <v>600.01</v>
      </c>
      <c r="T25" s="450">
        <v>1</v>
      </c>
    </row>
    <row r="26" spans="2:20" s="497" customFormat="1" ht="15">
      <c r="B26" s="445" t="s">
        <v>441</v>
      </c>
      <c r="C26" s="445"/>
      <c r="D26" s="445"/>
      <c r="E26" s="445"/>
      <c r="F26" s="445"/>
      <c r="G26" s="445"/>
      <c r="H26" s="445"/>
      <c r="I26" s="445"/>
      <c r="J26" s="445"/>
      <c r="K26" s="445"/>
      <c r="L26" s="445"/>
      <c r="M26" s="445"/>
      <c r="N26" s="445"/>
      <c r="O26" s="443"/>
      <c r="P26" s="447"/>
      <c r="Q26" s="450">
        <v>3</v>
      </c>
      <c r="R26" s="450">
        <v>1.2</v>
      </c>
      <c r="S26" s="450">
        <v>10000</v>
      </c>
      <c r="T26" s="450">
        <v>1</v>
      </c>
    </row>
    <row r="27" spans="2:20" s="497" customFormat="1" ht="15">
      <c r="B27" s="443"/>
      <c r="C27" s="443"/>
      <c r="D27" s="443"/>
      <c r="E27" s="458"/>
      <c r="F27" s="458"/>
      <c r="G27" s="458"/>
      <c r="H27" s="458"/>
      <c r="I27" s="458"/>
      <c r="J27" s="458"/>
      <c r="K27" s="458"/>
      <c r="L27" s="458"/>
      <c r="M27" s="458"/>
      <c r="N27" s="458"/>
      <c r="O27" s="443"/>
      <c r="P27" s="447"/>
      <c r="Q27" s="450">
        <v>3</v>
      </c>
      <c r="R27" s="450">
        <v>1.6</v>
      </c>
      <c r="S27" s="450">
        <v>0</v>
      </c>
      <c r="T27" s="450">
        <v>1</v>
      </c>
    </row>
    <row r="28" spans="2:20" s="497" customFormat="1" ht="15">
      <c r="B28" s="453" t="s">
        <v>442</v>
      </c>
      <c r="C28" s="443"/>
      <c r="D28" s="443"/>
      <c r="E28" s="453">
        <v>1</v>
      </c>
      <c r="F28" s="458">
        <f>xx_1</f>
        <v>3.5</v>
      </c>
      <c r="G28" s="458">
        <f>yy_1</f>
        <v>0.8</v>
      </c>
      <c r="H28" s="458">
        <f>zz_1</f>
        <v>0</v>
      </c>
      <c r="I28" s="458">
        <f>F28*G28</f>
        <v>2.8000000000000003</v>
      </c>
      <c r="J28" s="458">
        <f>F28*H28</f>
        <v>0</v>
      </c>
      <c r="K28" s="458">
        <f>G28*H28</f>
        <v>0</v>
      </c>
      <c r="L28" s="470">
        <f>F28*G28*H28</f>
        <v>0</v>
      </c>
      <c r="M28" s="471" t="s">
        <v>443</v>
      </c>
      <c r="N28" s="472">
        <f t="shared" ref="N28" si="8">f_111</f>
        <v>1</v>
      </c>
      <c r="O28" s="443"/>
      <c r="P28" s="447"/>
      <c r="Q28" s="450">
        <v>3</v>
      </c>
      <c r="R28" s="450">
        <v>1.6</v>
      </c>
      <c r="S28" s="450">
        <v>300</v>
      </c>
      <c r="T28" s="450">
        <v>1</v>
      </c>
    </row>
    <row r="29" spans="2:20" s="497" customFormat="1" ht="15">
      <c r="B29" s="453" t="s">
        <v>444</v>
      </c>
      <c r="C29" s="443"/>
      <c r="D29" s="443"/>
      <c r="E29" s="453">
        <v>1</v>
      </c>
      <c r="F29" s="458">
        <f>xx_2</f>
        <v>4.49</v>
      </c>
      <c r="G29" s="458">
        <f>yy_1</f>
        <v>0.8</v>
      </c>
      <c r="H29" s="458">
        <f>zz_1</f>
        <v>0</v>
      </c>
      <c r="I29" s="458">
        <f t="shared" ref="I29:I35" si="9">F29*G29</f>
        <v>3.5920000000000005</v>
      </c>
      <c r="J29" s="458">
        <f t="shared" ref="J29:J35" si="10">F29*H29</f>
        <v>0</v>
      </c>
      <c r="K29" s="458">
        <f t="shared" ref="K29:K35" si="11">G29*H29</f>
        <v>0</v>
      </c>
      <c r="L29" s="470">
        <f t="shared" ref="L29:L35" si="12">F29*G29*H29</f>
        <v>0</v>
      </c>
      <c r="M29" s="458"/>
      <c r="N29" s="472">
        <f>f_211</f>
        <v>1</v>
      </c>
      <c r="O29" s="443"/>
      <c r="P29" s="447"/>
      <c r="Q29" s="450">
        <v>3</v>
      </c>
      <c r="R29" s="450">
        <v>1.6</v>
      </c>
      <c r="S29" s="450">
        <v>300.01</v>
      </c>
      <c r="T29" s="450">
        <v>1</v>
      </c>
    </row>
    <row r="30" spans="2:20" s="497" customFormat="1" ht="15">
      <c r="B30" s="453" t="s">
        <v>445</v>
      </c>
      <c r="C30" s="443"/>
      <c r="D30" s="443"/>
      <c r="E30" s="453">
        <v>1</v>
      </c>
      <c r="F30" s="458">
        <f>xx_1</f>
        <v>3.5</v>
      </c>
      <c r="G30" s="458">
        <f>yy_2</f>
        <v>1.2</v>
      </c>
      <c r="H30" s="458">
        <f>zz_1</f>
        <v>0</v>
      </c>
      <c r="I30" s="458">
        <f t="shared" si="9"/>
        <v>4.2</v>
      </c>
      <c r="J30" s="458">
        <f t="shared" si="10"/>
        <v>0</v>
      </c>
      <c r="K30" s="458">
        <f t="shared" si="11"/>
        <v>0</v>
      </c>
      <c r="L30" s="470">
        <f t="shared" si="12"/>
        <v>0</v>
      </c>
      <c r="M30" s="458"/>
      <c r="N30" s="472">
        <f>f_121</f>
        <v>1</v>
      </c>
      <c r="O30" s="443"/>
      <c r="P30" s="447"/>
      <c r="Q30" s="450">
        <v>3</v>
      </c>
      <c r="R30" s="450">
        <v>1.6</v>
      </c>
      <c r="S30" s="450">
        <v>600</v>
      </c>
      <c r="T30" s="450">
        <v>1</v>
      </c>
    </row>
    <row r="31" spans="2:20" s="497" customFormat="1" ht="15">
      <c r="B31" s="453" t="s">
        <v>448</v>
      </c>
      <c r="C31" s="443" t="s">
        <v>446</v>
      </c>
      <c r="D31" s="443"/>
      <c r="E31" s="453">
        <v>1</v>
      </c>
      <c r="F31" s="458">
        <f>xx_2</f>
        <v>4.49</v>
      </c>
      <c r="G31" s="458">
        <f>yy_2</f>
        <v>1.2</v>
      </c>
      <c r="H31" s="458">
        <f>zz_1</f>
        <v>0</v>
      </c>
      <c r="I31" s="458">
        <f t="shared" si="9"/>
        <v>5.3879999999999999</v>
      </c>
      <c r="J31" s="458">
        <f t="shared" si="10"/>
        <v>0</v>
      </c>
      <c r="K31" s="458">
        <f t="shared" si="11"/>
        <v>0</v>
      </c>
      <c r="L31" s="470">
        <f t="shared" si="12"/>
        <v>0</v>
      </c>
      <c r="M31" s="458" t="s">
        <v>447</v>
      </c>
      <c r="N31" s="472">
        <f>f_221</f>
        <v>1</v>
      </c>
      <c r="O31" s="443"/>
      <c r="P31" s="447"/>
      <c r="Q31" s="450">
        <v>3</v>
      </c>
      <c r="R31" s="450">
        <v>1.6</v>
      </c>
      <c r="S31" s="450">
        <v>600.01</v>
      </c>
      <c r="T31" s="450">
        <v>1</v>
      </c>
    </row>
    <row r="32" spans="2:20" s="497" customFormat="1" ht="15">
      <c r="B32" s="453" t="s">
        <v>472</v>
      </c>
      <c r="C32" s="443"/>
      <c r="D32" s="443"/>
      <c r="E32" s="453">
        <v>1</v>
      </c>
      <c r="F32" s="458">
        <f>xx_1</f>
        <v>3.5</v>
      </c>
      <c r="G32" s="458">
        <f>yy_1</f>
        <v>0.8</v>
      </c>
      <c r="H32" s="458">
        <f>zz_2</f>
        <v>300</v>
      </c>
      <c r="I32" s="458">
        <f t="shared" si="9"/>
        <v>2.8000000000000003</v>
      </c>
      <c r="J32" s="458">
        <f t="shared" si="10"/>
        <v>1050</v>
      </c>
      <c r="K32" s="458">
        <f t="shared" si="11"/>
        <v>240</v>
      </c>
      <c r="L32" s="470">
        <f t="shared" si="12"/>
        <v>840.00000000000011</v>
      </c>
      <c r="M32" s="458"/>
      <c r="N32" s="472">
        <f>f_112</f>
        <v>1</v>
      </c>
      <c r="O32" s="443"/>
      <c r="P32" s="447"/>
      <c r="Q32" s="450">
        <v>3</v>
      </c>
      <c r="R32" s="450">
        <v>1.6</v>
      </c>
      <c r="S32" s="450">
        <v>10000</v>
      </c>
      <c r="T32" s="450">
        <v>1</v>
      </c>
    </row>
    <row r="33" spans="2:20" s="497" customFormat="1" ht="15">
      <c r="B33" s="453" t="s">
        <v>473</v>
      </c>
      <c r="C33" s="443"/>
      <c r="D33" s="443"/>
      <c r="E33" s="453">
        <v>1</v>
      </c>
      <c r="F33" s="458">
        <f>xx_2</f>
        <v>4.49</v>
      </c>
      <c r="G33" s="458">
        <f>yy_1</f>
        <v>0.8</v>
      </c>
      <c r="H33" s="458">
        <f>zz_2</f>
        <v>300</v>
      </c>
      <c r="I33" s="458">
        <f t="shared" si="9"/>
        <v>3.5920000000000005</v>
      </c>
      <c r="J33" s="458">
        <f t="shared" si="10"/>
        <v>1347</v>
      </c>
      <c r="K33" s="458">
        <f t="shared" si="11"/>
        <v>240</v>
      </c>
      <c r="L33" s="470">
        <f t="shared" si="12"/>
        <v>1077.6000000000001</v>
      </c>
      <c r="M33" s="458"/>
      <c r="N33" s="472">
        <f>f_212</f>
        <v>1</v>
      </c>
      <c r="O33" s="443"/>
      <c r="P33" s="447"/>
      <c r="Q33" s="450">
        <v>3</v>
      </c>
      <c r="R33" s="450">
        <v>2.4</v>
      </c>
      <c r="S33" s="450">
        <v>0</v>
      </c>
      <c r="T33" s="450">
        <v>1</v>
      </c>
    </row>
    <row r="34" spans="2:20" s="497" customFormat="1" ht="15">
      <c r="B34" s="453" t="s">
        <v>474</v>
      </c>
      <c r="C34" s="443"/>
      <c r="D34" s="443"/>
      <c r="E34" s="453">
        <v>1</v>
      </c>
      <c r="F34" s="458">
        <f>xx_1</f>
        <v>3.5</v>
      </c>
      <c r="G34" s="458">
        <f>yy_2</f>
        <v>1.2</v>
      </c>
      <c r="H34" s="458">
        <f>zz_2</f>
        <v>300</v>
      </c>
      <c r="I34" s="458">
        <f t="shared" si="9"/>
        <v>4.2</v>
      </c>
      <c r="J34" s="458">
        <f t="shared" si="10"/>
        <v>1050</v>
      </c>
      <c r="K34" s="458">
        <f t="shared" si="11"/>
        <v>360</v>
      </c>
      <c r="L34" s="470">
        <f t="shared" si="12"/>
        <v>1260</v>
      </c>
      <c r="M34" s="458"/>
      <c r="N34" s="472">
        <f>f_122</f>
        <v>1</v>
      </c>
      <c r="O34" s="443"/>
      <c r="P34" s="447"/>
      <c r="Q34" s="450">
        <v>3</v>
      </c>
      <c r="R34" s="450">
        <v>2.4</v>
      </c>
      <c r="S34" s="450">
        <v>300</v>
      </c>
      <c r="T34" s="450">
        <v>1</v>
      </c>
    </row>
    <row r="35" spans="2:20" s="497" customFormat="1" ht="15">
      <c r="B35" s="453" t="s">
        <v>475</v>
      </c>
      <c r="C35" s="443"/>
      <c r="D35" s="443"/>
      <c r="E35" s="453">
        <v>1</v>
      </c>
      <c r="F35" s="458">
        <f>xx_2</f>
        <v>4.49</v>
      </c>
      <c r="G35" s="458">
        <f>yy_2</f>
        <v>1.2</v>
      </c>
      <c r="H35" s="458">
        <f>zz_2</f>
        <v>300</v>
      </c>
      <c r="I35" s="458">
        <f t="shared" si="9"/>
        <v>5.3879999999999999</v>
      </c>
      <c r="J35" s="458">
        <f t="shared" si="10"/>
        <v>1347</v>
      </c>
      <c r="K35" s="458">
        <f t="shared" si="11"/>
        <v>360</v>
      </c>
      <c r="L35" s="470">
        <f t="shared" si="12"/>
        <v>1616.3999999999999</v>
      </c>
      <c r="M35" s="458"/>
      <c r="N35" s="472">
        <f>f_222</f>
        <v>1</v>
      </c>
      <c r="O35" s="443"/>
      <c r="P35" s="447"/>
      <c r="Q35" s="450">
        <v>3</v>
      </c>
      <c r="R35" s="450">
        <v>2.4</v>
      </c>
      <c r="S35" s="450">
        <v>300.01</v>
      </c>
      <c r="T35" s="450">
        <v>1</v>
      </c>
    </row>
    <row r="36" spans="2:20" s="497" customFormat="1" ht="15">
      <c r="B36" s="443"/>
      <c r="C36" s="443"/>
      <c r="D36" s="443"/>
      <c r="E36" s="458"/>
      <c r="F36" s="458"/>
      <c r="G36" s="458"/>
      <c r="H36" s="458"/>
      <c r="I36" s="458"/>
      <c r="J36" s="458"/>
      <c r="K36" s="458"/>
      <c r="L36" s="458"/>
      <c r="M36" s="458"/>
      <c r="N36" s="458"/>
      <c r="O36" s="443"/>
      <c r="P36" s="447"/>
      <c r="Q36" s="450">
        <v>3</v>
      </c>
      <c r="R36" s="450">
        <v>2.4</v>
      </c>
      <c r="S36" s="450">
        <v>600</v>
      </c>
      <c r="T36" s="450">
        <v>1</v>
      </c>
    </row>
    <row r="37" spans="2:20" s="497" customFormat="1" ht="15">
      <c r="B37" s="453" t="s">
        <v>442</v>
      </c>
      <c r="C37" s="443"/>
      <c r="D37" s="453">
        <f t="array" ref="D37:D44">MMULT(MINVERSE(E28:L35),N28:N35)</f>
        <v>0.99999999999999911</v>
      </c>
      <c r="E37" s="458"/>
      <c r="F37" s="458"/>
      <c r="G37" s="458"/>
      <c r="H37" s="458"/>
      <c r="I37" s="458"/>
      <c r="J37" s="458"/>
      <c r="K37" s="458"/>
      <c r="L37" s="458"/>
      <c r="M37" s="458"/>
      <c r="N37" s="458"/>
      <c r="O37" s="443"/>
      <c r="P37" s="447"/>
      <c r="Q37" s="450">
        <v>3</v>
      </c>
      <c r="R37" s="450">
        <v>2.4</v>
      </c>
      <c r="S37" s="450">
        <v>600.01</v>
      </c>
      <c r="T37" s="450">
        <v>1</v>
      </c>
    </row>
    <row r="38" spans="2:20" s="497" customFormat="1" ht="15">
      <c r="B38" s="453" t="s">
        <v>444</v>
      </c>
      <c r="C38" s="443"/>
      <c r="D38" s="453">
        <v>0</v>
      </c>
      <c r="E38" s="458"/>
      <c r="F38" s="458"/>
      <c r="G38" s="458"/>
      <c r="H38" s="458"/>
      <c r="I38" s="458"/>
      <c r="J38" s="458"/>
      <c r="K38" s="458"/>
      <c r="L38" s="458"/>
      <c r="M38" s="458"/>
      <c r="N38" s="458"/>
      <c r="O38" s="443"/>
      <c r="P38" s="447"/>
      <c r="Q38" s="450">
        <v>3</v>
      </c>
      <c r="R38" s="450">
        <v>2.4</v>
      </c>
      <c r="S38" s="450">
        <v>10000</v>
      </c>
      <c r="T38" s="450">
        <v>1</v>
      </c>
    </row>
    <row r="39" spans="2:20" s="497" customFormat="1" ht="15">
      <c r="B39" s="453" t="s">
        <v>445</v>
      </c>
      <c r="C39" s="443"/>
      <c r="D39" s="453">
        <v>0</v>
      </c>
      <c r="E39" s="458"/>
      <c r="F39" s="458"/>
      <c r="G39" s="458"/>
      <c r="H39" s="458"/>
      <c r="I39" s="458"/>
      <c r="J39" s="458"/>
      <c r="K39" s="458"/>
      <c r="L39" s="458"/>
      <c r="M39" s="458"/>
      <c r="N39" s="458"/>
      <c r="O39" s="443"/>
      <c r="P39" s="447"/>
      <c r="Q39" s="450">
        <v>3</v>
      </c>
      <c r="R39" s="450">
        <v>3.2</v>
      </c>
      <c r="S39" s="450">
        <v>0</v>
      </c>
      <c r="T39" s="450">
        <v>1</v>
      </c>
    </row>
    <row r="40" spans="2:20" s="497" customFormat="1" ht="15">
      <c r="B40" s="453" t="s">
        <v>448</v>
      </c>
      <c r="C40" s="443" t="s">
        <v>446</v>
      </c>
      <c r="D40" s="453">
        <v>0</v>
      </c>
      <c r="E40" s="458"/>
      <c r="F40" s="458"/>
      <c r="G40" s="458"/>
      <c r="H40" s="458"/>
      <c r="I40" s="458"/>
      <c r="J40" s="458"/>
      <c r="K40" s="458"/>
      <c r="L40" s="458"/>
      <c r="M40" s="458"/>
      <c r="N40" s="458"/>
      <c r="O40" s="443"/>
      <c r="P40" s="447"/>
      <c r="Q40" s="450">
        <v>3</v>
      </c>
      <c r="R40" s="450">
        <v>3.2</v>
      </c>
      <c r="S40" s="450">
        <v>300</v>
      </c>
      <c r="T40" s="450">
        <v>1</v>
      </c>
    </row>
    <row r="41" spans="2:20" s="497" customFormat="1" ht="15">
      <c r="B41" s="453" t="s">
        <v>472</v>
      </c>
      <c r="C41" s="443"/>
      <c r="D41" s="453">
        <v>0</v>
      </c>
      <c r="E41" s="458"/>
      <c r="F41" s="458"/>
      <c r="G41" s="458"/>
      <c r="H41" s="458"/>
      <c r="I41" s="458"/>
      <c r="J41" s="458"/>
      <c r="K41" s="458"/>
      <c r="L41" s="458"/>
      <c r="M41" s="458"/>
      <c r="N41" s="458"/>
      <c r="O41" s="443"/>
      <c r="P41" s="447"/>
      <c r="Q41" s="450">
        <v>3</v>
      </c>
      <c r="R41" s="450">
        <v>3.2</v>
      </c>
      <c r="S41" s="450">
        <v>300.01</v>
      </c>
      <c r="T41" s="450">
        <v>1</v>
      </c>
    </row>
    <row r="42" spans="2:20" s="497" customFormat="1" ht="15">
      <c r="B42" s="453" t="s">
        <v>473</v>
      </c>
      <c r="C42" s="443"/>
      <c r="D42" s="453">
        <v>0</v>
      </c>
      <c r="E42" s="458"/>
      <c r="F42" s="458"/>
      <c r="G42" s="458"/>
      <c r="H42" s="458"/>
      <c r="I42" s="458"/>
      <c r="J42" s="458"/>
      <c r="K42" s="458"/>
      <c r="L42" s="458"/>
      <c r="M42" s="458"/>
      <c r="N42" s="458"/>
      <c r="O42" s="443"/>
      <c r="P42" s="447"/>
      <c r="Q42" s="450">
        <v>3</v>
      </c>
      <c r="R42" s="450">
        <v>3.2</v>
      </c>
      <c r="S42" s="450">
        <v>600</v>
      </c>
      <c r="T42" s="450">
        <v>1</v>
      </c>
    </row>
    <row r="43" spans="2:20" s="497" customFormat="1" ht="15">
      <c r="B43" s="453" t="s">
        <v>474</v>
      </c>
      <c r="C43" s="443"/>
      <c r="D43" s="453">
        <v>0</v>
      </c>
      <c r="E43" s="458"/>
      <c r="F43" s="458"/>
      <c r="G43" s="458"/>
      <c r="H43" s="458"/>
      <c r="I43" s="458"/>
      <c r="J43" s="458"/>
      <c r="K43" s="458"/>
      <c r="L43" s="458"/>
      <c r="M43" s="458"/>
      <c r="N43" s="458"/>
      <c r="O43" s="443"/>
      <c r="P43" s="447"/>
      <c r="Q43" s="450">
        <v>3</v>
      </c>
      <c r="R43" s="450">
        <v>3.2</v>
      </c>
      <c r="S43" s="450">
        <v>600.01</v>
      </c>
      <c r="T43" s="450">
        <v>1</v>
      </c>
    </row>
    <row r="44" spans="2:20" s="497" customFormat="1" ht="15">
      <c r="B44" s="453" t="s">
        <v>475</v>
      </c>
      <c r="C44" s="443"/>
      <c r="D44" s="453">
        <v>0</v>
      </c>
      <c r="E44" s="458"/>
      <c r="F44" s="458"/>
      <c r="G44" s="458"/>
      <c r="H44" s="458"/>
      <c r="I44" s="458"/>
      <c r="J44" s="458"/>
      <c r="K44" s="458"/>
      <c r="L44" s="458"/>
      <c r="M44" s="458"/>
      <c r="N44" s="458"/>
      <c r="O44" s="443"/>
      <c r="P44" s="447"/>
      <c r="Q44" s="450">
        <v>3</v>
      </c>
      <c r="R44" s="450">
        <v>3.2</v>
      </c>
      <c r="S44" s="450">
        <v>10000</v>
      </c>
      <c r="T44" s="450">
        <v>1</v>
      </c>
    </row>
    <row r="45" spans="2:20" s="497" customFormat="1" ht="15">
      <c r="B45" s="443"/>
      <c r="C45" s="443"/>
      <c r="D45" s="443"/>
      <c r="E45" s="458"/>
      <c r="F45" s="458"/>
      <c r="G45" s="458"/>
      <c r="H45" s="458"/>
      <c r="I45" s="458"/>
      <c r="J45" s="458"/>
      <c r="K45" s="458"/>
      <c r="L45" s="458"/>
      <c r="M45" s="458"/>
      <c r="N45" s="458"/>
      <c r="O45" s="443"/>
      <c r="P45" s="447"/>
      <c r="Q45" s="450">
        <v>3</v>
      </c>
      <c r="R45" s="450">
        <v>4.8</v>
      </c>
      <c r="S45" s="450">
        <v>0</v>
      </c>
      <c r="T45" s="450">
        <v>1.4</v>
      </c>
    </row>
    <row r="46" spans="2:20" s="497" customFormat="1" ht="15">
      <c r="B46" s="453">
        <v>1</v>
      </c>
      <c r="C46" s="443"/>
      <c r="D46" s="453">
        <v>1</v>
      </c>
      <c r="E46" s="458"/>
      <c r="F46" s="458"/>
      <c r="G46" s="458"/>
      <c r="H46" s="458"/>
      <c r="I46" s="458"/>
      <c r="J46" s="458"/>
      <c r="K46" s="458"/>
      <c r="L46" s="458"/>
      <c r="M46" s="458"/>
      <c r="N46" s="458"/>
      <c r="O46" s="443"/>
      <c r="P46" s="447"/>
      <c r="Q46" s="450">
        <v>3</v>
      </c>
      <c r="R46" s="450">
        <v>4.8</v>
      </c>
      <c r="S46" s="450">
        <v>300</v>
      </c>
      <c r="T46" s="450">
        <v>1.4</v>
      </c>
    </row>
    <row r="47" spans="2:20" s="497" customFormat="1" ht="15">
      <c r="B47" s="453" t="s">
        <v>426</v>
      </c>
      <c r="C47" s="443"/>
      <c r="D47" s="453">
        <f>C3</f>
        <v>3.5008273438823068</v>
      </c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43"/>
      <c r="P47" s="447"/>
      <c r="Q47" s="450">
        <v>3</v>
      </c>
      <c r="R47" s="450">
        <v>4.8</v>
      </c>
      <c r="S47" s="450">
        <v>300.01</v>
      </c>
      <c r="T47" s="450">
        <v>1</v>
      </c>
    </row>
    <row r="48" spans="2:20" s="497" customFormat="1" ht="15">
      <c r="B48" s="453" t="s">
        <v>430</v>
      </c>
      <c r="C48" s="443"/>
      <c r="D48" s="453">
        <f>C4</f>
        <v>1.0629800000000103</v>
      </c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43"/>
      <c r="P48" s="447"/>
      <c r="Q48" s="450">
        <v>3</v>
      </c>
      <c r="R48" s="450">
        <v>4.8</v>
      </c>
      <c r="S48" s="450">
        <v>600</v>
      </c>
      <c r="T48" s="450">
        <v>1</v>
      </c>
    </row>
    <row r="49" spans="2:20" s="497" customFormat="1" ht="15">
      <c r="B49" s="453" t="s">
        <v>390</v>
      </c>
      <c r="C49" s="443" t="s">
        <v>446</v>
      </c>
      <c r="D49" s="453">
        <f>C5</f>
        <v>217.26688621904472</v>
      </c>
      <c r="E49" s="458"/>
      <c r="F49" s="458"/>
      <c r="G49" s="458"/>
      <c r="H49" s="458"/>
      <c r="I49" s="458"/>
      <c r="J49" s="458"/>
      <c r="K49" s="458"/>
      <c r="L49" s="458"/>
      <c r="M49" s="458"/>
      <c r="N49" s="458"/>
      <c r="O49" s="443"/>
      <c r="P49" s="447"/>
      <c r="Q49" s="450">
        <v>3</v>
      </c>
      <c r="R49" s="450">
        <v>4.8</v>
      </c>
      <c r="S49" s="450">
        <v>600.01</v>
      </c>
      <c r="T49" s="450">
        <v>1</v>
      </c>
    </row>
    <row r="50" spans="2:20" s="497" customFormat="1" ht="15">
      <c r="B50" s="453" t="s">
        <v>449</v>
      </c>
      <c r="C50" s="443"/>
      <c r="D50" s="453">
        <f>D47*D48</f>
        <v>3.7213094500000503</v>
      </c>
      <c r="E50" s="458"/>
      <c r="F50" s="458"/>
      <c r="G50" s="458"/>
      <c r="H50" s="458"/>
      <c r="I50" s="458"/>
      <c r="J50" s="458"/>
      <c r="K50" s="458"/>
      <c r="L50" s="458"/>
      <c r="M50" s="458"/>
      <c r="N50" s="458"/>
      <c r="O50" s="443"/>
      <c r="P50" s="447"/>
      <c r="Q50" s="450">
        <v>3</v>
      </c>
      <c r="R50" s="450">
        <v>4.8</v>
      </c>
      <c r="S50" s="450">
        <v>10000</v>
      </c>
      <c r="T50" s="450">
        <v>1</v>
      </c>
    </row>
    <row r="51" spans="2:20" s="497" customFormat="1" ht="15">
      <c r="B51" s="453" t="s">
        <v>476</v>
      </c>
      <c r="C51" s="443"/>
      <c r="D51" s="453">
        <f>D47*D49</f>
        <v>760.61385619579767</v>
      </c>
      <c r="E51" s="458"/>
      <c r="F51" s="458"/>
      <c r="G51" s="458"/>
      <c r="H51" s="458"/>
      <c r="I51" s="458"/>
      <c r="J51" s="458"/>
      <c r="K51" s="458"/>
      <c r="L51" s="458"/>
      <c r="M51" s="458"/>
      <c r="N51" s="458"/>
      <c r="O51" s="443"/>
      <c r="P51" s="447"/>
      <c r="Q51" s="450">
        <v>3</v>
      </c>
      <c r="R51" s="450">
        <v>6.4</v>
      </c>
      <c r="S51" s="450">
        <v>0</v>
      </c>
      <c r="T51" s="450">
        <v>1.5</v>
      </c>
    </row>
    <row r="52" spans="2:20" s="497" customFormat="1" ht="15">
      <c r="B52" s="453" t="s">
        <v>477</v>
      </c>
      <c r="C52" s="443"/>
      <c r="D52" s="453">
        <f>D48*D49</f>
        <v>230.95035471312238</v>
      </c>
      <c r="E52" s="458"/>
      <c r="F52" s="458"/>
      <c r="G52" s="458"/>
      <c r="H52" s="458"/>
      <c r="I52" s="458"/>
      <c r="J52" s="458"/>
      <c r="K52" s="458"/>
      <c r="L52" s="458"/>
      <c r="M52" s="458"/>
      <c r="N52" s="458"/>
      <c r="O52" s="443"/>
      <c r="P52" s="447"/>
      <c r="Q52" s="450">
        <v>3</v>
      </c>
      <c r="R52" s="450">
        <v>6.4</v>
      </c>
      <c r="S52" s="450">
        <v>300</v>
      </c>
      <c r="T52" s="450">
        <v>1.5</v>
      </c>
    </row>
    <row r="53" spans="2:20" s="497" customFormat="1" ht="15">
      <c r="B53" s="453" t="s">
        <v>478</v>
      </c>
      <c r="C53" s="443"/>
      <c r="D53" s="453">
        <f>D47*D48*D49</f>
        <v>808.51731685901677</v>
      </c>
      <c r="E53" s="458"/>
      <c r="F53" s="458"/>
      <c r="G53" s="458"/>
      <c r="H53" s="458"/>
      <c r="I53" s="458"/>
      <c r="J53" s="458"/>
      <c r="K53" s="458"/>
      <c r="L53" s="458"/>
      <c r="M53" s="458"/>
      <c r="N53" s="458"/>
      <c r="O53" s="443"/>
      <c r="P53" s="447"/>
      <c r="Q53" s="450">
        <v>3</v>
      </c>
      <c r="R53" s="450">
        <v>6.4</v>
      </c>
      <c r="S53" s="450">
        <v>300.01</v>
      </c>
      <c r="T53" s="450">
        <v>1</v>
      </c>
    </row>
    <row r="54" spans="2:20" s="497" customFormat="1" ht="15">
      <c r="B54" s="443"/>
      <c r="C54" s="443"/>
      <c r="D54" s="443"/>
      <c r="E54" s="458"/>
      <c r="F54" s="458"/>
      <c r="G54" s="458"/>
      <c r="H54" s="458"/>
      <c r="I54" s="458"/>
      <c r="J54" s="458"/>
      <c r="K54" s="458"/>
      <c r="L54" s="458"/>
      <c r="M54" s="458"/>
      <c r="N54" s="458"/>
      <c r="O54" s="443"/>
      <c r="P54" s="447"/>
      <c r="Q54" s="450">
        <v>3</v>
      </c>
      <c r="R54" s="450">
        <v>6.4</v>
      </c>
      <c r="S54" s="450">
        <v>600</v>
      </c>
      <c r="T54" s="450">
        <v>1</v>
      </c>
    </row>
    <row r="55" spans="2:20" s="497" customFormat="1" ht="15">
      <c r="B55" s="445" t="s">
        <v>450</v>
      </c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  <c r="N55" s="445"/>
      <c r="O55" s="443"/>
      <c r="P55" s="447"/>
      <c r="Q55" s="450">
        <v>3</v>
      </c>
      <c r="R55" s="450">
        <v>6.4</v>
      </c>
      <c r="S55" s="450">
        <v>600.01</v>
      </c>
      <c r="T55" s="450">
        <v>1</v>
      </c>
    </row>
    <row r="56" spans="2:20" s="497" customFormat="1" ht="15">
      <c r="B56" s="443"/>
      <c r="C56" s="443"/>
      <c r="D56" s="443"/>
      <c r="E56" s="458"/>
      <c r="F56" s="458"/>
      <c r="G56" s="458"/>
      <c r="H56" s="458"/>
      <c r="I56" s="458"/>
      <c r="J56" s="458"/>
      <c r="K56" s="458"/>
      <c r="L56" s="458"/>
      <c r="M56" s="458"/>
      <c r="N56" s="458"/>
      <c r="O56" s="443"/>
      <c r="P56" s="447"/>
      <c r="Q56" s="450">
        <v>3</v>
      </c>
      <c r="R56" s="450">
        <v>6.4</v>
      </c>
      <c r="S56" s="450">
        <v>10000</v>
      </c>
      <c r="T56" s="450">
        <v>1</v>
      </c>
    </row>
    <row r="57" spans="2:20" s="497" customFormat="1" ht="15">
      <c r="B57" s="443"/>
      <c r="C57" s="443"/>
      <c r="D57" s="443"/>
      <c r="E57" s="458"/>
      <c r="F57" s="458"/>
      <c r="G57" s="458"/>
      <c r="H57" s="458"/>
      <c r="I57" s="458"/>
      <c r="J57" s="458"/>
      <c r="K57" s="458"/>
      <c r="L57" s="458"/>
      <c r="M57" s="458"/>
      <c r="N57" s="458"/>
      <c r="O57" s="443"/>
      <c r="P57" s="447"/>
      <c r="Q57" s="450">
        <v>3</v>
      </c>
      <c r="R57" s="450">
        <v>100</v>
      </c>
      <c r="S57" s="450">
        <v>0</v>
      </c>
      <c r="T57" s="450">
        <v>1.5</v>
      </c>
    </row>
    <row r="58" spans="2:20" s="497" customFormat="1" ht="15">
      <c r="B58" s="443"/>
      <c r="C58" s="443"/>
      <c r="D58" s="443"/>
      <c r="E58" s="458"/>
      <c r="F58" s="458"/>
      <c r="G58" s="458"/>
      <c r="H58" s="458"/>
      <c r="I58" s="458"/>
      <c r="J58" s="458"/>
      <c r="K58" s="458"/>
      <c r="L58" s="458"/>
      <c r="M58" s="458"/>
      <c r="N58" s="458"/>
      <c r="O58" s="443"/>
      <c r="P58" s="447"/>
      <c r="Q58" s="450">
        <v>3</v>
      </c>
      <c r="R58" s="450">
        <v>100</v>
      </c>
      <c r="S58" s="450">
        <v>300</v>
      </c>
      <c r="T58" s="450">
        <v>1.5</v>
      </c>
    </row>
    <row r="59" spans="2:20" s="497" customFormat="1" ht="15">
      <c r="B59" s="443"/>
      <c r="C59" s="443"/>
      <c r="D59" s="443"/>
      <c r="E59" s="458"/>
      <c r="F59" s="458"/>
      <c r="G59" s="458"/>
      <c r="H59" s="458"/>
      <c r="I59" s="458"/>
      <c r="J59" s="458"/>
      <c r="K59" s="458"/>
      <c r="L59" s="458"/>
      <c r="M59" s="458"/>
      <c r="N59" s="458"/>
      <c r="O59" s="443"/>
      <c r="P59" s="447"/>
      <c r="Q59" s="450">
        <v>3</v>
      </c>
      <c r="R59" s="450">
        <v>100</v>
      </c>
      <c r="S59" s="450">
        <v>300.01</v>
      </c>
      <c r="T59" s="450">
        <v>1</v>
      </c>
    </row>
    <row r="60" spans="2:20" s="497" customFormat="1" ht="15">
      <c r="B60" s="443"/>
      <c r="C60" s="443"/>
      <c r="D60" s="443"/>
      <c r="E60" s="458"/>
      <c r="F60" s="458"/>
      <c r="G60" s="458"/>
      <c r="H60" s="458"/>
      <c r="I60" s="458"/>
      <c r="J60" s="458"/>
      <c r="K60" s="458"/>
      <c r="L60" s="458"/>
      <c r="M60" s="458"/>
      <c r="N60" s="458"/>
      <c r="O60" s="443"/>
      <c r="P60" s="447"/>
      <c r="Q60" s="450">
        <v>3</v>
      </c>
      <c r="R60" s="450">
        <v>100</v>
      </c>
      <c r="S60" s="450">
        <v>600</v>
      </c>
      <c r="T60" s="450">
        <v>1</v>
      </c>
    </row>
    <row r="61" spans="2:20" s="497" customFormat="1" ht="15">
      <c r="B61" s="443"/>
      <c r="C61" s="443"/>
      <c r="D61" s="443"/>
      <c r="E61" s="458"/>
      <c r="F61" s="458"/>
      <c r="G61" s="458"/>
      <c r="H61" s="458"/>
      <c r="I61" s="458"/>
      <c r="J61" s="458"/>
      <c r="K61" s="458"/>
      <c r="L61" s="458"/>
      <c r="M61" s="458"/>
      <c r="N61" s="458"/>
      <c r="O61" s="443"/>
      <c r="P61" s="447"/>
      <c r="Q61" s="450">
        <v>3</v>
      </c>
      <c r="R61" s="450">
        <v>100</v>
      </c>
      <c r="S61" s="450">
        <v>600.01</v>
      </c>
      <c r="T61" s="450">
        <v>1</v>
      </c>
    </row>
    <row r="62" spans="2:20" s="497" customFormat="1" ht="15">
      <c r="B62" s="443"/>
      <c r="C62" s="443"/>
      <c r="D62" s="443"/>
      <c r="E62" s="458"/>
      <c r="F62" s="458"/>
      <c r="G62" s="458"/>
      <c r="H62" s="458"/>
      <c r="I62" s="458"/>
      <c r="J62" s="458"/>
      <c r="K62" s="458"/>
      <c r="L62" s="458"/>
      <c r="M62" s="458"/>
      <c r="N62" s="458"/>
      <c r="O62" s="443"/>
      <c r="P62" s="447"/>
      <c r="Q62" s="450">
        <v>3</v>
      </c>
      <c r="R62" s="450">
        <v>100</v>
      </c>
      <c r="S62" s="450">
        <v>10000</v>
      </c>
      <c r="T62" s="450">
        <v>1</v>
      </c>
    </row>
    <row r="63" spans="2:20" s="497" customFormat="1" ht="15">
      <c r="B63" s="443"/>
      <c r="C63" s="443"/>
      <c r="D63" s="443"/>
      <c r="E63" s="458"/>
      <c r="F63" s="458"/>
      <c r="G63" s="458"/>
      <c r="H63" s="458"/>
      <c r="I63" s="458"/>
      <c r="J63" s="458"/>
      <c r="K63" s="458"/>
      <c r="L63" s="458"/>
      <c r="M63" s="458"/>
      <c r="N63" s="458"/>
      <c r="O63" s="443"/>
      <c r="P63" s="447"/>
      <c r="Q63" s="450">
        <v>3.49</v>
      </c>
      <c r="R63" s="450">
        <v>0</v>
      </c>
      <c r="S63" s="450">
        <v>0</v>
      </c>
      <c r="T63" s="450">
        <v>1</v>
      </c>
    </row>
    <row r="64" spans="2:20" s="497" customFormat="1" ht="15">
      <c r="B64" s="443"/>
      <c r="C64" s="443"/>
      <c r="D64" s="443"/>
      <c r="E64" s="458"/>
      <c r="F64" s="458"/>
      <c r="G64" s="458"/>
      <c r="H64" s="458"/>
      <c r="I64" s="458"/>
      <c r="J64" s="458"/>
      <c r="K64" s="458"/>
      <c r="L64" s="458"/>
      <c r="M64" s="458"/>
      <c r="N64" s="458"/>
      <c r="O64" s="443"/>
      <c r="P64" s="447"/>
      <c r="Q64" s="450">
        <v>3.49</v>
      </c>
      <c r="R64" s="450">
        <v>0</v>
      </c>
      <c r="S64" s="450">
        <v>300</v>
      </c>
      <c r="T64" s="450">
        <v>1</v>
      </c>
    </row>
    <row r="65" spans="16:20" s="497" customFormat="1" ht="15">
      <c r="P65" s="447"/>
      <c r="Q65" s="450">
        <v>3.49</v>
      </c>
      <c r="R65" s="450">
        <v>0</v>
      </c>
      <c r="S65" s="450">
        <v>300.01</v>
      </c>
      <c r="T65" s="450">
        <v>1</v>
      </c>
    </row>
    <row r="66" spans="16:20" s="497" customFormat="1" ht="15">
      <c r="P66" s="447"/>
      <c r="Q66" s="450">
        <v>3.49</v>
      </c>
      <c r="R66" s="450">
        <v>0</v>
      </c>
      <c r="S66" s="450">
        <v>600</v>
      </c>
      <c r="T66" s="450">
        <v>1</v>
      </c>
    </row>
    <row r="67" spans="16:20" s="497" customFormat="1" ht="15">
      <c r="P67" s="447"/>
      <c r="Q67" s="450">
        <v>3.49</v>
      </c>
      <c r="R67" s="450">
        <v>0</v>
      </c>
      <c r="S67" s="450">
        <v>600.01</v>
      </c>
      <c r="T67" s="450">
        <v>1</v>
      </c>
    </row>
    <row r="68" spans="16:20" s="497" customFormat="1" ht="15">
      <c r="P68" s="447"/>
      <c r="Q68" s="450">
        <v>3.49</v>
      </c>
      <c r="R68" s="450">
        <v>0</v>
      </c>
      <c r="S68" s="450">
        <v>10000</v>
      </c>
      <c r="T68" s="450">
        <v>1</v>
      </c>
    </row>
    <row r="69" spans="16:20" s="497" customFormat="1" ht="15">
      <c r="P69" s="447"/>
      <c r="Q69" s="450">
        <v>3.49</v>
      </c>
      <c r="R69" s="450">
        <v>0.4</v>
      </c>
      <c r="S69" s="450">
        <v>0</v>
      </c>
      <c r="T69" s="450">
        <v>1</v>
      </c>
    </row>
    <row r="70" spans="16:20" s="497" customFormat="1" ht="15">
      <c r="P70" s="447"/>
      <c r="Q70" s="450">
        <v>3.49</v>
      </c>
      <c r="R70" s="450">
        <v>0.4</v>
      </c>
      <c r="S70" s="450">
        <v>300</v>
      </c>
      <c r="T70" s="450">
        <v>1</v>
      </c>
    </row>
    <row r="71" spans="16:20" s="497" customFormat="1" ht="15">
      <c r="P71" s="447"/>
      <c r="Q71" s="450">
        <v>3.49</v>
      </c>
      <c r="R71" s="450">
        <v>0.4</v>
      </c>
      <c r="S71" s="450">
        <v>300.01</v>
      </c>
      <c r="T71" s="450">
        <v>1</v>
      </c>
    </row>
    <row r="72" spans="16:20" s="497" customFormat="1" ht="15">
      <c r="P72" s="447"/>
      <c r="Q72" s="450">
        <v>3.49</v>
      </c>
      <c r="R72" s="450">
        <v>0.4</v>
      </c>
      <c r="S72" s="450">
        <v>600</v>
      </c>
      <c r="T72" s="450">
        <v>1</v>
      </c>
    </row>
    <row r="73" spans="16:20" s="497" customFormat="1" ht="15">
      <c r="P73" s="447"/>
      <c r="Q73" s="450">
        <v>3.49</v>
      </c>
      <c r="R73" s="450">
        <v>0.4</v>
      </c>
      <c r="S73" s="450">
        <v>600.01</v>
      </c>
      <c r="T73" s="450">
        <v>1</v>
      </c>
    </row>
    <row r="74" spans="16:20" s="497" customFormat="1" ht="15">
      <c r="P74" s="447"/>
      <c r="Q74" s="450">
        <v>3.49</v>
      </c>
      <c r="R74" s="450">
        <v>0.4</v>
      </c>
      <c r="S74" s="450">
        <v>10000</v>
      </c>
      <c r="T74" s="450">
        <v>1</v>
      </c>
    </row>
    <row r="75" spans="16:20" s="497" customFormat="1" ht="15">
      <c r="P75" s="447"/>
      <c r="Q75" s="450">
        <v>3.49</v>
      </c>
      <c r="R75" s="450">
        <v>0.8</v>
      </c>
      <c r="S75" s="450">
        <v>0</v>
      </c>
      <c r="T75" s="450">
        <v>1</v>
      </c>
    </row>
    <row r="76" spans="16:20" s="497" customFormat="1" ht="15">
      <c r="P76" s="447"/>
      <c r="Q76" s="450">
        <v>3.49</v>
      </c>
      <c r="R76" s="450">
        <v>0.8</v>
      </c>
      <c r="S76" s="450">
        <v>300</v>
      </c>
      <c r="T76" s="450">
        <v>1</v>
      </c>
    </row>
    <row r="77" spans="16:20" s="497" customFormat="1" ht="15">
      <c r="P77" s="447"/>
      <c r="Q77" s="450">
        <v>3.49</v>
      </c>
      <c r="R77" s="450">
        <v>0.8</v>
      </c>
      <c r="S77" s="450">
        <v>300.01</v>
      </c>
      <c r="T77" s="450">
        <v>1</v>
      </c>
    </row>
    <row r="78" spans="16:20" s="497" customFormat="1" ht="15">
      <c r="P78" s="447"/>
      <c r="Q78" s="450">
        <v>3.49</v>
      </c>
      <c r="R78" s="450">
        <v>0.8</v>
      </c>
      <c r="S78" s="450">
        <v>600</v>
      </c>
      <c r="T78" s="450">
        <v>1</v>
      </c>
    </row>
    <row r="79" spans="16:20" s="497" customFormat="1" ht="15">
      <c r="P79" s="447"/>
      <c r="Q79" s="450">
        <v>3.49</v>
      </c>
      <c r="R79" s="450">
        <v>0.8</v>
      </c>
      <c r="S79" s="450">
        <v>600.01</v>
      </c>
      <c r="T79" s="450">
        <v>1</v>
      </c>
    </row>
    <row r="80" spans="16:20" s="497" customFormat="1" ht="15">
      <c r="P80" s="447"/>
      <c r="Q80" s="450">
        <v>3.49</v>
      </c>
      <c r="R80" s="450">
        <v>0.8</v>
      </c>
      <c r="S80" s="450">
        <v>10000</v>
      </c>
      <c r="T80" s="450">
        <v>1</v>
      </c>
    </row>
    <row r="81" spans="16:20" s="497" customFormat="1" ht="15">
      <c r="P81" s="447"/>
      <c r="Q81" s="450">
        <v>3.49</v>
      </c>
      <c r="R81" s="450">
        <v>1.2</v>
      </c>
      <c r="S81" s="450">
        <v>0</v>
      </c>
      <c r="T81" s="450">
        <v>1</v>
      </c>
    </row>
    <row r="82" spans="16:20" s="497" customFormat="1" ht="15">
      <c r="P82" s="447"/>
      <c r="Q82" s="450">
        <v>3.49</v>
      </c>
      <c r="R82" s="450">
        <v>1.2</v>
      </c>
      <c r="S82" s="450">
        <v>300</v>
      </c>
      <c r="T82" s="450">
        <v>1</v>
      </c>
    </row>
    <row r="83" spans="16:20" s="497" customFormat="1" ht="15">
      <c r="P83" s="447"/>
      <c r="Q83" s="450">
        <v>3.49</v>
      </c>
      <c r="R83" s="450">
        <v>1.2</v>
      </c>
      <c r="S83" s="450">
        <v>300.01</v>
      </c>
      <c r="T83" s="450">
        <v>1</v>
      </c>
    </row>
    <row r="84" spans="16:20" s="497" customFormat="1" ht="15">
      <c r="P84" s="447"/>
      <c r="Q84" s="450">
        <v>3.49</v>
      </c>
      <c r="R84" s="450">
        <v>1.2</v>
      </c>
      <c r="S84" s="450">
        <v>600</v>
      </c>
      <c r="T84" s="450">
        <v>1</v>
      </c>
    </row>
    <row r="85" spans="16:20" s="497" customFormat="1" ht="15">
      <c r="P85" s="447"/>
      <c r="Q85" s="450">
        <v>3.49</v>
      </c>
      <c r="R85" s="450">
        <v>1.2</v>
      </c>
      <c r="S85" s="450">
        <v>600.01</v>
      </c>
      <c r="T85" s="450">
        <v>1</v>
      </c>
    </row>
    <row r="86" spans="16:20" s="497" customFormat="1" ht="15">
      <c r="P86" s="447"/>
      <c r="Q86" s="450">
        <v>3.49</v>
      </c>
      <c r="R86" s="450">
        <v>1.2</v>
      </c>
      <c r="S86" s="450">
        <v>10000</v>
      </c>
      <c r="T86" s="450">
        <v>1</v>
      </c>
    </row>
    <row r="87" spans="16:20" s="497" customFormat="1" ht="15">
      <c r="P87" s="447"/>
      <c r="Q87" s="450">
        <v>3.49</v>
      </c>
      <c r="R87" s="450">
        <v>1.6</v>
      </c>
      <c r="S87" s="450">
        <v>0</v>
      </c>
      <c r="T87" s="450">
        <v>1</v>
      </c>
    </row>
    <row r="88" spans="16:20" s="497" customFormat="1" ht="15">
      <c r="P88" s="447"/>
      <c r="Q88" s="450">
        <v>3.49</v>
      </c>
      <c r="R88" s="450">
        <v>1.6</v>
      </c>
      <c r="S88" s="450">
        <v>300</v>
      </c>
      <c r="T88" s="450">
        <v>1</v>
      </c>
    </row>
    <row r="89" spans="16:20" s="497" customFormat="1" ht="15">
      <c r="P89" s="447"/>
      <c r="Q89" s="450">
        <v>3.49</v>
      </c>
      <c r="R89" s="450">
        <v>1.6</v>
      </c>
      <c r="S89" s="450">
        <v>300.01</v>
      </c>
      <c r="T89" s="450">
        <v>1</v>
      </c>
    </row>
    <row r="90" spans="16:20" s="497" customFormat="1" ht="15">
      <c r="P90" s="447"/>
      <c r="Q90" s="450">
        <v>3.49</v>
      </c>
      <c r="R90" s="450">
        <v>1.6</v>
      </c>
      <c r="S90" s="450">
        <v>600</v>
      </c>
      <c r="T90" s="450">
        <v>1</v>
      </c>
    </row>
    <row r="91" spans="16:20" s="497" customFormat="1" ht="15">
      <c r="P91" s="447"/>
      <c r="Q91" s="450">
        <v>3.49</v>
      </c>
      <c r="R91" s="450">
        <v>1.6</v>
      </c>
      <c r="S91" s="450">
        <v>600.01</v>
      </c>
      <c r="T91" s="450">
        <v>1</v>
      </c>
    </row>
    <row r="92" spans="16:20" s="497" customFormat="1" ht="15">
      <c r="P92" s="447"/>
      <c r="Q92" s="450">
        <v>3.49</v>
      </c>
      <c r="R92" s="450">
        <v>1.6</v>
      </c>
      <c r="S92" s="450">
        <v>10000</v>
      </c>
      <c r="T92" s="450">
        <v>1</v>
      </c>
    </row>
    <row r="93" spans="16:20" s="497" customFormat="1" ht="15">
      <c r="P93" s="447"/>
      <c r="Q93" s="450">
        <v>3.49</v>
      </c>
      <c r="R93" s="450">
        <v>2.4</v>
      </c>
      <c r="S93" s="450">
        <v>0</v>
      </c>
      <c r="T93" s="450">
        <v>1</v>
      </c>
    </row>
    <row r="94" spans="16:20" s="497" customFormat="1" ht="15">
      <c r="P94" s="447"/>
      <c r="Q94" s="450">
        <v>3.49</v>
      </c>
      <c r="R94" s="450">
        <v>2.4</v>
      </c>
      <c r="S94" s="450">
        <v>300</v>
      </c>
      <c r="T94" s="450">
        <v>1</v>
      </c>
    </row>
    <row r="95" spans="16:20" s="497" customFormat="1" ht="15">
      <c r="P95" s="447"/>
      <c r="Q95" s="450">
        <v>3.49</v>
      </c>
      <c r="R95" s="450">
        <v>2.4</v>
      </c>
      <c r="S95" s="450">
        <v>300.01</v>
      </c>
      <c r="T95" s="450">
        <v>1</v>
      </c>
    </row>
    <row r="96" spans="16:20" s="497" customFormat="1" ht="15">
      <c r="P96" s="447"/>
      <c r="Q96" s="450">
        <v>3.49</v>
      </c>
      <c r="R96" s="450">
        <v>2.4</v>
      </c>
      <c r="S96" s="450">
        <v>600</v>
      </c>
      <c r="T96" s="450">
        <v>1</v>
      </c>
    </row>
    <row r="97" spans="16:20" s="497" customFormat="1" ht="15">
      <c r="P97" s="447"/>
      <c r="Q97" s="450">
        <v>3.49</v>
      </c>
      <c r="R97" s="450">
        <v>2.4</v>
      </c>
      <c r="S97" s="450">
        <v>600.01</v>
      </c>
      <c r="T97" s="450">
        <v>1</v>
      </c>
    </row>
    <row r="98" spans="16:20" s="497" customFormat="1" ht="15">
      <c r="P98" s="447"/>
      <c r="Q98" s="450">
        <v>3.49</v>
      </c>
      <c r="R98" s="450">
        <v>2.4</v>
      </c>
      <c r="S98" s="450">
        <v>10000</v>
      </c>
      <c r="T98" s="450">
        <v>1</v>
      </c>
    </row>
    <row r="99" spans="16:20" s="497" customFormat="1" ht="15">
      <c r="P99" s="447"/>
      <c r="Q99" s="450">
        <v>3.49</v>
      </c>
      <c r="R99" s="450">
        <v>3.2</v>
      </c>
      <c r="S99" s="450">
        <v>0</v>
      </c>
      <c r="T99" s="450">
        <v>1</v>
      </c>
    </row>
    <row r="100" spans="16:20" s="497" customFormat="1" ht="15">
      <c r="P100" s="447"/>
      <c r="Q100" s="450">
        <v>3.49</v>
      </c>
      <c r="R100" s="450">
        <v>3.2</v>
      </c>
      <c r="S100" s="450">
        <v>300</v>
      </c>
      <c r="T100" s="450">
        <v>1</v>
      </c>
    </row>
    <row r="101" spans="16:20" s="497" customFormat="1" ht="15">
      <c r="P101" s="447"/>
      <c r="Q101" s="450">
        <v>3.49</v>
      </c>
      <c r="R101" s="450">
        <v>3.2</v>
      </c>
      <c r="S101" s="450">
        <v>300.01</v>
      </c>
      <c r="T101" s="450">
        <v>1</v>
      </c>
    </row>
    <row r="102" spans="16:20" s="497" customFormat="1" ht="15">
      <c r="P102" s="447"/>
      <c r="Q102" s="450">
        <v>3.49</v>
      </c>
      <c r="R102" s="450">
        <v>3.2</v>
      </c>
      <c r="S102" s="450">
        <v>600</v>
      </c>
      <c r="T102" s="450">
        <v>1</v>
      </c>
    </row>
    <row r="103" spans="16:20" s="497" customFormat="1" ht="15">
      <c r="P103" s="447"/>
      <c r="Q103" s="450">
        <v>3.49</v>
      </c>
      <c r="R103" s="450">
        <v>3.2</v>
      </c>
      <c r="S103" s="450">
        <v>600.01</v>
      </c>
      <c r="T103" s="450">
        <v>1</v>
      </c>
    </row>
    <row r="104" spans="16:20" s="497" customFormat="1" ht="15">
      <c r="P104" s="447"/>
      <c r="Q104" s="450">
        <v>3.49</v>
      </c>
      <c r="R104" s="450">
        <v>3.2</v>
      </c>
      <c r="S104" s="450">
        <v>10000</v>
      </c>
      <c r="T104" s="450">
        <v>1</v>
      </c>
    </row>
    <row r="105" spans="16:20" s="497" customFormat="1" ht="15">
      <c r="P105" s="447"/>
      <c r="Q105" s="450">
        <v>3.49</v>
      </c>
      <c r="R105" s="450">
        <v>4.8</v>
      </c>
      <c r="S105" s="450">
        <v>0</v>
      </c>
      <c r="T105" s="450">
        <v>1.4</v>
      </c>
    </row>
    <row r="106" spans="16:20" s="497" customFormat="1" ht="15">
      <c r="P106" s="447"/>
      <c r="Q106" s="450">
        <v>3.49</v>
      </c>
      <c r="R106" s="450">
        <v>4.8</v>
      </c>
      <c r="S106" s="450">
        <v>300</v>
      </c>
      <c r="T106" s="450">
        <v>1.4</v>
      </c>
    </row>
    <row r="107" spans="16:20" s="497" customFormat="1" ht="15">
      <c r="P107" s="447"/>
      <c r="Q107" s="450">
        <v>3.49</v>
      </c>
      <c r="R107" s="450">
        <v>4.8</v>
      </c>
      <c r="S107" s="450">
        <v>300.01</v>
      </c>
      <c r="T107" s="450">
        <v>1</v>
      </c>
    </row>
    <row r="108" spans="16:20" s="497" customFormat="1" ht="15">
      <c r="P108" s="447"/>
      <c r="Q108" s="450">
        <v>3.49</v>
      </c>
      <c r="R108" s="450">
        <v>4.8</v>
      </c>
      <c r="S108" s="450">
        <v>600</v>
      </c>
      <c r="T108" s="450">
        <v>1</v>
      </c>
    </row>
    <row r="109" spans="16:20" s="497" customFormat="1" ht="15">
      <c r="P109" s="447"/>
      <c r="Q109" s="450">
        <v>3.49</v>
      </c>
      <c r="R109" s="450">
        <v>4.8</v>
      </c>
      <c r="S109" s="450">
        <v>600.01</v>
      </c>
      <c r="T109" s="450">
        <v>1</v>
      </c>
    </row>
    <row r="110" spans="16:20" s="497" customFormat="1" ht="15">
      <c r="P110" s="447"/>
      <c r="Q110" s="450">
        <v>3.49</v>
      </c>
      <c r="R110" s="450">
        <v>4.8</v>
      </c>
      <c r="S110" s="450">
        <v>10000</v>
      </c>
      <c r="T110" s="450">
        <v>1</v>
      </c>
    </row>
    <row r="111" spans="16:20" s="497" customFormat="1" ht="15">
      <c r="P111" s="447"/>
      <c r="Q111" s="450">
        <v>3.49</v>
      </c>
      <c r="R111" s="450">
        <v>6.4</v>
      </c>
      <c r="S111" s="450">
        <v>0</v>
      </c>
      <c r="T111" s="450">
        <v>1.5</v>
      </c>
    </row>
    <row r="112" spans="16:20" s="497" customFormat="1" ht="15">
      <c r="P112" s="447"/>
      <c r="Q112" s="450">
        <v>3.49</v>
      </c>
      <c r="R112" s="450">
        <v>6.4</v>
      </c>
      <c r="S112" s="450">
        <v>300</v>
      </c>
      <c r="T112" s="450">
        <v>1.5</v>
      </c>
    </row>
    <row r="113" spans="16:20" s="497" customFormat="1" ht="15">
      <c r="P113" s="447"/>
      <c r="Q113" s="450">
        <v>3.49</v>
      </c>
      <c r="R113" s="450">
        <v>6.4</v>
      </c>
      <c r="S113" s="450">
        <v>300.01</v>
      </c>
      <c r="T113" s="450">
        <v>1</v>
      </c>
    </row>
    <row r="114" spans="16:20" s="497" customFormat="1" ht="15">
      <c r="P114" s="447"/>
      <c r="Q114" s="450">
        <v>3.49</v>
      </c>
      <c r="R114" s="450">
        <v>6.4</v>
      </c>
      <c r="S114" s="450">
        <v>600</v>
      </c>
      <c r="T114" s="450">
        <v>1</v>
      </c>
    </row>
    <row r="115" spans="16:20" s="497" customFormat="1" ht="15">
      <c r="P115" s="447"/>
      <c r="Q115" s="450">
        <v>3.49</v>
      </c>
      <c r="R115" s="450">
        <v>6.4</v>
      </c>
      <c r="S115" s="450">
        <v>600.01</v>
      </c>
      <c r="T115" s="450">
        <v>1</v>
      </c>
    </row>
    <row r="116" spans="16:20" s="497" customFormat="1" ht="15">
      <c r="P116" s="447"/>
      <c r="Q116" s="450">
        <v>3.49</v>
      </c>
      <c r="R116" s="450">
        <v>6.4</v>
      </c>
      <c r="S116" s="450">
        <v>10000</v>
      </c>
      <c r="T116" s="450">
        <v>1</v>
      </c>
    </row>
    <row r="117" spans="16:20" s="497" customFormat="1" ht="15">
      <c r="P117" s="447"/>
      <c r="Q117" s="450">
        <v>3.49</v>
      </c>
      <c r="R117" s="450">
        <v>100</v>
      </c>
      <c r="S117" s="450">
        <v>0</v>
      </c>
      <c r="T117" s="450">
        <v>1.5</v>
      </c>
    </row>
    <row r="118" spans="16:20" s="497" customFormat="1" ht="15">
      <c r="P118" s="447"/>
      <c r="Q118" s="450">
        <v>3.49</v>
      </c>
      <c r="R118" s="450">
        <v>100</v>
      </c>
      <c r="S118" s="450">
        <v>300</v>
      </c>
      <c r="T118" s="450">
        <v>1.5</v>
      </c>
    </row>
    <row r="119" spans="16:20" s="497" customFormat="1" ht="15">
      <c r="P119" s="447"/>
      <c r="Q119" s="450">
        <v>3.49</v>
      </c>
      <c r="R119" s="450">
        <v>100</v>
      </c>
      <c r="S119" s="450">
        <v>300.01</v>
      </c>
      <c r="T119" s="450">
        <v>1</v>
      </c>
    </row>
    <row r="120" spans="16:20" s="497" customFormat="1" ht="15">
      <c r="P120" s="447"/>
      <c r="Q120" s="450">
        <v>3.49</v>
      </c>
      <c r="R120" s="450">
        <v>100</v>
      </c>
      <c r="S120" s="450">
        <v>600</v>
      </c>
      <c r="T120" s="450">
        <v>1</v>
      </c>
    </row>
    <row r="121" spans="16:20" s="497" customFormat="1" ht="15">
      <c r="P121" s="447"/>
      <c r="Q121" s="450">
        <v>3.49</v>
      </c>
      <c r="R121" s="450">
        <v>100</v>
      </c>
      <c r="S121" s="450">
        <v>600.01</v>
      </c>
      <c r="T121" s="450">
        <v>1</v>
      </c>
    </row>
    <row r="122" spans="16:20" s="497" customFormat="1" ht="15">
      <c r="P122" s="447"/>
      <c r="Q122" s="450">
        <v>3.49</v>
      </c>
      <c r="R122" s="450">
        <v>100</v>
      </c>
      <c r="S122" s="450">
        <v>10000</v>
      </c>
      <c r="T122" s="450">
        <v>1</v>
      </c>
    </row>
    <row r="123" spans="16:20" s="497" customFormat="1" ht="15">
      <c r="P123" s="447"/>
      <c r="Q123" s="450">
        <v>3.5</v>
      </c>
      <c r="R123" s="450">
        <v>0</v>
      </c>
      <c r="S123" s="450">
        <v>0</v>
      </c>
      <c r="T123" s="450">
        <v>1</v>
      </c>
    </row>
    <row r="124" spans="16:20" s="497" customFormat="1" ht="15">
      <c r="P124" s="447"/>
      <c r="Q124" s="450">
        <v>3.5</v>
      </c>
      <c r="R124" s="450">
        <v>0</v>
      </c>
      <c r="S124" s="450">
        <v>300</v>
      </c>
      <c r="T124" s="450">
        <v>1</v>
      </c>
    </row>
    <row r="125" spans="16:20" s="497" customFormat="1" ht="15">
      <c r="P125" s="447"/>
      <c r="Q125" s="450">
        <v>3.5</v>
      </c>
      <c r="R125" s="450">
        <v>0</v>
      </c>
      <c r="S125" s="450">
        <v>300.01</v>
      </c>
      <c r="T125" s="450">
        <v>1</v>
      </c>
    </row>
    <row r="126" spans="16:20" s="497" customFormat="1" ht="15">
      <c r="P126" s="447"/>
      <c r="Q126" s="450">
        <v>3.5</v>
      </c>
      <c r="R126" s="450">
        <v>0</v>
      </c>
      <c r="S126" s="450">
        <v>600</v>
      </c>
      <c r="T126" s="450">
        <v>1</v>
      </c>
    </row>
    <row r="127" spans="16:20" s="497" customFormat="1" ht="15">
      <c r="P127" s="447"/>
      <c r="Q127" s="450">
        <v>3.5</v>
      </c>
      <c r="R127" s="450">
        <v>0</v>
      </c>
      <c r="S127" s="450">
        <v>600.01</v>
      </c>
      <c r="T127" s="450">
        <v>1</v>
      </c>
    </row>
    <row r="128" spans="16:20" s="497" customFormat="1" ht="15">
      <c r="P128" s="447"/>
      <c r="Q128" s="450">
        <v>3.5</v>
      </c>
      <c r="R128" s="450">
        <v>0</v>
      </c>
      <c r="S128" s="450">
        <v>10000</v>
      </c>
      <c r="T128" s="450">
        <v>1</v>
      </c>
    </row>
    <row r="129" spans="16:20" s="497" customFormat="1" ht="15">
      <c r="P129" s="447"/>
      <c r="Q129" s="450">
        <v>3.5</v>
      </c>
      <c r="R129" s="450">
        <v>0.4</v>
      </c>
      <c r="S129" s="450">
        <v>0</v>
      </c>
      <c r="T129" s="450">
        <v>1</v>
      </c>
    </row>
    <row r="130" spans="16:20" s="497" customFormat="1" ht="15">
      <c r="P130" s="447"/>
      <c r="Q130" s="450">
        <v>3.5</v>
      </c>
      <c r="R130" s="450">
        <v>0.4</v>
      </c>
      <c r="S130" s="450">
        <v>300</v>
      </c>
      <c r="T130" s="450">
        <v>1</v>
      </c>
    </row>
    <row r="131" spans="16:20" s="497" customFormat="1" ht="15">
      <c r="P131" s="447"/>
      <c r="Q131" s="450">
        <v>3.5</v>
      </c>
      <c r="R131" s="450">
        <v>0.4</v>
      </c>
      <c r="S131" s="450">
        <v>300.01</v>
      </c>
      <c r="T131" s="450">
        <v>1</v>
      </c>
    </row>
    <row r="132" spans="16:20" s="497" customFormat="1" ht="15">
      <c r="P132" s="447"/>
      <c r="Q132" s="450">
        <v>3.5</v>
      </c>
      <c r="R132" s="450">
        <v>0.4</v>
      </c>
      <c r="S132" s="450">
        <v>600</v>
      </c>
      <c r="T132" s="450">
        <v>1</v>
      </c>
    </row>
    <row r="133" spans="16:20" s="497" customFormat="1" ht="15">
      <c r="P133" s="447"/>
      <c r="Q133" s="450">
        <v>3.5</v>
      </c>
      <c r="R133" s="450">
        <v>0.4</v>
      </c>
      <c r="S133" s="450">
        <v>600.01</v>
      </c>
      <c r="T133" s="450">
        <v>1</v>
      </c>
    </row>
    <row r="134" spans="16:20" s="497" customFormat="1" ht="15">
      <c r="P134" s="447"/>
      <c r="Q134" s="450">
        <v>3.5</v>
      </c>
      <c r="R134" s="450">
        <v>0.4</v>
      </c>
      <c r="S134" s="450">
        <v>10000</v>
      </c>
      <c r="T134" s="450">
        <v>1</v>
      </c>
    </row>
    <row r="135" spans="16:20" s="497" customFormat="1" ht="15">
      <c r="P135" s="447"/>
      <c r="Q135" s="450">
        <v>3.5</v>
      </c>
      <c r="R135" s="450">
        <v>0.8</v>
      </c>
      <c r="S135" s="450">
        <v>0</v>
      </c>
      <c r="T135" s="450">
        <v>1</v>
      </c>
    </row>
    <row r="136" spans="16:20" s="497" customFormat="1" ht="15">
      <c r="P136" s="447"/>
      <c r="Q136" s="450">
        <v>3.5</v>
      </c>
      <c r="R136" s="450">
        <v>0.8</v>
      </c>
      <c r="S136" s="450">
        <v>300</v>
      </c>
      <c r="T136" s="450">
        <v>1</v>
      </c>
    </row>
    <row r="137" spans="16:20" s="497" customFormat="1" ht="15">
      <c r="P137" s="447"/>
      <c r="Q137" s="450">
        <v>3.5</v>
      </c>
      <c r="R137" s="450">
        <v>0.8</v>
      </c>
      <c r="S137" s="450">
        <v>300.01</v>
      </c>
      <c r="T137" s="450">
        <v>1</v>
      </c>
    </row>
    <row r="138" spans="16:20" s="497" customFormat="1" ht="15">
      <c r="P138" s="447"/>
      <c r="Q138" s="450">
        <v>3.5</v>
      </c>
      <c r="R138" s="450">
        <v>0.8</v>
      </c>
      <c r="S138" s="450">
        <v>600</v>
      </c>
      <c r="T138" s="450">
        <v>1</v>
      </c>
    </row>
    <row r="139" spans="16:20" s="497" customFormat="1" ht="15">
      <c r="P139" s="447"/>
      <c r="Q139" s="450">
        <v>3.5</v>
      </c>
      <c r="R139" s="450">
        <v>0.8</v>
      </c>
      <c r="S139" s="450">
        <v>600.01</v>
      </c>
      <c r="T139" s="450">
        <v>1</v>
      </c>
    </row>
    <row r="140" spans="16:20" s="497" customFormat="1" ht="15">
      <c r="P140" s="447"/>
      <c r="Q140" s="450">
        <v>3.5</v>
      </c>
      <c r="R140" s="450">
        <v>0.8</v>
      </c>
      <c r="S140" s="450">
        <v>10000</v>
      </c>
      <c r="T140" s="450">
        <v>1</v>
      </c>
    </row>
    <row r="141" spans="16:20" s="497" customFormat="1" ht="15">
      <c r="P141" s="447"/>
      <c r="Q141" s="450">
        <v>3.5</v>
      </c>
      <c r="R141" s="450">
        <v>1.2</v>
      </c>
      <c r="S141" s="450">
        <v>0</v>
      </c>
      <c r="T141" s="450">
        <v>1</v>
      </c>
    </row>
    <row r="142" spans="16:20" s="497" customFormat="1" ht="15">
      <c r="P142" s="447"/>
      <c r="Q142" s="450">
        <v>3.5</v>
      </c>
      <c r="R142" s="450">
        <v>1.2</v>
      </c>
      <c r="S142" s="450">
        <v>300</v>
      </c>
      <c r="T142" s="450">
        <v>1</v>
      </c>
    </row>
    <row r="143" spans="16:20" s="497" customFormat="1" ht="15">
      <c r="P143" s="447"/>
      <c r="Q143" s="450">
        <v>3.5</v>
      </c>
      <c r="R143" s="450">
        <v>1.2</v>
      </c>
      <c r="S143" s="450">
        <v>300.01</v>
      </c>
      <c r="T143" s="450">
        <v>1</v>
      </c>
    </row>
    <row r="144" spans="16:20" s="497" customFormat="1" ht="15">
      <c r="P144" s="447"/>
      <c r="Q144" s="450">
        <v>3.5</v>
      </c>
      <c r="R144" s="450">
        <v>1.2</v>
      </c>
      <c r="S144" s="450">
        <v>600</v>
      </c>
      <c r="T144" s="450">
        <v>1</v>
      </c>
    </row>
    <row r="145" spans="16:20" s="497" customFormat="1" ht="15">
      <c r="P145" s="447"/>
      <c r="Q145" s="450">
        <v>3.5</v>
      </c>
      <c r="R145" s="450">
        <v>1.2</v>
      </c>
      <c r="S145" s="450">
        <v>600.01</v>
      </c>
      <c r="T145" s="450">
        <v>1</v>
      </c>
    </row>
    <row r="146" spans="16:20" s="497" customFormat="1" ht="15">
      <c r="P146" s="447"/>
      <c r="Q146" s="450">
        <v>3.5</v>
      </c>
      <c r="R146" s="450">
        <v>1.2</v>
      </c>
      <c r="S146" s="450">
        <v>10000</v>
      </c>
      <c r="T146" s="450">
        <v>1</v>
      </c>
    </row>
    <row r="147" spans="16:20" s="497" customFormat="1" ht="15">
      <c r="P147" s="447"/>
      <c r="Q147" s="450">
        <v>3.5</v>
      </c>
      <c r="R147" s="450">
        <v>1.6</v>
      </c>
      <c r="S147" s="450">
        <v>0</v>
      </c>
      <c r="T147" s="450">
        <v>1</v>
      </c>
    </row>
    <row r="148" spans="16:20" s="497" customFormat="1" ht="15">
      <c r="P148" s="447"/>
      <c r="Q148" s="450">
        <v>3.5</v>
      </c>
      <c r="R148" s="450">
        <v>1.6</v>
      </c>
      <c r="S148" s="450">
        <v>300</v>
      </c>
      <c r="T148" s="450">
        <v>1</v>
      </c>
    </row>
    <row r="149" spans="16:20" s="497" customFormat="1" ht="15">
      <c r="P149" s="447"/>
      <c r="Q149" s="450">
        <v>3.5</v>
      </c>
      <c r="R149" s="450">
        <v>1.6</v>
      </c>
      <c r="S149" s="450">
        <v>300.01</v>
      </c>
      <c r="T149" s="450">
        <v>1</v>
      </c>
    </row>
    <row r="150" spans="16:20" s="497" customFormat="1" ht="15">
      <c r="P150" s="447"/>
      <c r="Q150" s="450">
        <v>3.5</v>
      </c>
      <c r="R150" s="450">
        <v>1.6</v>
      </c>
      <c r="S150" s="450">
        <v>600</v>
      </c>
      <c r="T150" s="450">
        <v>1</v>
      </c>
    </row>
    <row r="151" spans="16:20" s="497" customFormat="1" ht="15">
      <c r="P151" s="447"/>
      <c r="Q151" s="450">
        <v>3.5</v>
      </c>
      <c r="R151" s="450">
        <v>1.6</v>
      </c>
      <c r="S151" s="450">
        <v>600.01</v>
      </c>
      <c r="T151" s="450">
        <v>1</v>
      </c>
    </row>
    <row r="152" spans="16:20" s="497" customFormat="1" ht="15">
      <c r="P152" s="447"/>
      <c r="Q152" s="450">
        <v>3.5</v>
      </c>
      <c r="R152" s="450">
        <v>1.6</v>
      </c>
      <c r="S152" s="450">
        <v>10000</v>
      </c>
      <c r="T152" s="450">
        <v>1</v>
      </c>
    </row>
    <row r="153" spans="16:20" s="497" customFormat="1" ht="15">
      <c r="P153" s="447"/>
      <c r="Q153" s="450">
        <v>3.5</v>
      </c>
      <c r="R153" s="450">
        <v>2.4</v>
      </c>
      <c r="S153" s="450">
        <v>0</v>
      </c>
      <c r="T153" s="450">
        <v>1.1000000000000001</v>
      </c>
    </row>
    <row r="154" spans="16:20" s="497" customFormat="1" ht="15">
      <c r="P154" s="447"/>
      <c r="Q154" s="450">
        <v>3.5</v>
      </c>
      <c r="R154" s="450">
        <v>2.4</v>
      </c>
      <c r="S154" s="450">
        <v>300</v>
      </c>
      <c r="T154" s="450">
        <v>1.1000000000000001</v>
      </c>
    </row>
    <row r="155" spans="16:20" s="497" customFormat="1" ht="15">
      <c r="P155" s="447"/>
      <c r="Q155" s="450">
        <v>3.5</v>
      </c>
      <c r="R155" s="450">
        <v>2.4</v>
      </c>
      <c r="S155" s="450">
        <v>300.01</v>
      </c>
      <c r="T155" s="450">
        <v>1</v>
      </c>
    </row>
    <row r="156" spans="16:20" s="497" customFormat="1" ht="15">
      <c r="P156" s="447"/>
      <c r="Q156" s="450">
        <v>3.5</v>
      </c>
      <c r="R156" s="450">
        <v>2.4</v>
      </c>
      <c r="S156" s="450">
        <v>600</v>
      </c>
      <c r="T156" s="450">
        <v>1</v>
      </c>
    </row>
    <row r="157" spans="16:20" s="497" customFormat="1" ht="15">
      <c r="P157" s="447"/>
      <c r="Q157" s="450">
        <v>3.5</v>
      </c>
      <c r="R157" s="450">
        <v>2.4</v>
      </c>
      <c r="S157" s="450">
        <v>600.01</v>
      </c>
      <c r="T157" s="450">
        <v>1</v>
      </c>
    </row>
    <row r="158" spans="16:20" s="497" customFormat="1" ht="15">
      <c r="P158" s="447"/>
      <c r="Q158" s="450">
        <v>3.5</v>
      </c>
      <c r="R158" s="450">
        <v>2.4</v>
      </c>
      <c r="S158" s="450">
        <v>10000</v>
      </c>
      <c r="T158" s="450">
        <v>1</v>
      </c>
    </row>
    <row r="159" spans="16:20" s="497" customFormat="1" ht="15">
      <c r="P159" s="447"/>
      <c r="Q159" s="450">
        <v>3.5</v>
      </c>
      <c r="R159" s="450">
        <v>3.2</v>
      </c>
      <c r="S159" s="450">
        <v>0</v>
      </c>
      <c r="T159" s="450">
        <v>1.4</v>
      </c>
    </row>
    <row r="160" spans="16:20" s="497" customFormat="1" ht="15">
      <c r="P160" s="447"/>
      <c r="Q160" s="450">
        <v>3.5</v>
      </c>
      <c r="R160" s="450">
        <v>3.2</v>
      </c>
      <c r="S160" s="450">
        <v>300</v>
      </c>
      <c r="T160" s="450">
        <v>1.4</v>
      </c>
    </row>
    <row r="161" spans="16:20" s="497" customFormat="1" ht="15">
      <c r="P161" s="447"/>
      <c r="Q161" s="450">
        <v>3.5</v>
      </c>
      <c r="R161" s="450">
        <v>3.2</v>
      </c>
      <c r="S161" s="450">
        <v>300.01</v>
      </c>
      <c r="T161" s="450">
        <v>1</v>
      </c>
    </row>
    <row r="162" spans="16:20" s="497" customFormat="1" ht="15">
      <c r="P162" s="447"/>
      <c r="Q162" s="450">
        <v>3.5</v>
      </c>
      <c r="R162" s="450">
        <v>3.2</v>
      </c>
      <c r="S162" s="450">
        <v>600</v>
      </c>
      <c r="T162" s="450">
        <v>1</v>
      </c>
    </row>
    <row r="163" spans="16:20" s="497" customFormat="1" ht="15">
      <c r="P163" s="447"/>
      <c r="Q163" s="450">
        <v>3.5</v>
      </c>
      <c r="R163" s="450">
        <v>3.2</v>
      </c>
      <c r="S163" s="450">
        <v>600.01</v>
      </c>
      <c r="T163" s="450">
        <v>1</v>
      </c>
    </row>
    <row r="164" spans="16:20" s="497" customFormat="1" ht="15">
      <c r="P164" s="447"/>
      <c r="Q164" s="450">
        <v>3.5</v>
      </c>
      <c r="R164" s="450">
        <v>3.2</v>
      </c>
      <c r="S164" s="450">
        <v>10000</v>
      </c>
      <c r="T164" s="450">
        <v>1</v>
      </c>
    </row>
    <row r="165" spans="16:20" s="497" customFormat="1" ht="15">
      <c r="P165" s="447"/>
      <c r="Q165" s="450">
        <v>3.5</v>
      </c>
      <c r="R165" s="450">
        <v>4.8</v>
      </c>
      <c r="S165" s="450">
        <v>0</v>
      </c>
      <c r="T165" s="450">
        <v>1.7</v>
      </c>
    </row>
    <row r="166" spans="16:20" s="497" customFormat="1" ht="15">
      <c r="P166" s="447"/>
      <c r="Q166" s="450">
        <v>3.5</v>
      </c>
      <c r="R166" s="450">
        <v>4.8</v>
      </c>
      <c r="S166" s="450">
        <v>300</v>
      </c>
      <c r="T166" s="450">
        <v>1.7</v>
      </c>
    </row>
    <row r="167" spans="16:20" s="497" customFormat="1" ht="15">
      <c r="P167" s="447"/>
      <c r="Q167" s="450">
        <v>3.5</v>
      </c>
      <c r="R167" s="450">
        <v>4.8</v>
      </c>
      <c r="S167" s="450">
        <v>300.01</v>
      </c>
      <c r="T167" s="450">
        <v>1.1000000000000001</v>
      </c>
    </row>
    <row r="168" spans="16:20" s="497" customFormat="1" ht="15">
      <c r="P168" s="447"/>
      <c r="Q168" s="450">
        <v>3.5</v>
      </c>
      <c r="R168" s="450">
        <v>4.8</v>
      </c>
      <c r="S168" s="450">
        <v>600</v>
      </c>
      <c r="T168" s="450">
        <v>1.1000000000000001</v>
      </c>
    </row>
    <row r="169" spans="16:20" s="497" customFormat="1" ht="15">
      <c r="P169" s="447"/>
      <c r="Q169" s="450">
        <v>3.5</v>
      </c>
      <c r="R169" s="450">
        <v>4.8</v>
      </c>
      <c r="S169" s="450">
        <v>600.01</v>
      </c>
      <c r="T169" s="450">
        <v>1.2</v>
      </c>
    </row>
    <row r="170" spans="16:20" s="497" customFormat="1" ht="15">
      <c r="P170" s="447"/>
      <c r="Q170" s="450">
        <v>3.5</v>
      </c>
      <c r="R170" s="450">
        <v>4.8</v>
      </c>
      <c r="S170" s="450">
        <v>10000</v>
      </c>
      <c r="T170" s="450">
        <v>1.2</v>
      </c>
    </row>
    <row r="171" spans="16:20" s="497" customFormat="1" ht="15">
      <c r="P171" s="447"/>
      <c r="Q171" s="450">
        <v>3.5</v>
      </c>
      <c r="R171" s="450">
        <v>6.4</v>
      </c>
      <c r="S171" s="450">
        <v>0</v>
      </c>
      <c r="T171" s="450">
        <v>2</v>
      </c>
    </row>
    <row r="172" spans="16:20" s="497" customFormat="1" ht="15">
      <c r="P172" s="447"/>
      <c r="Q172" s="450">
        <v>3.5</v>
      </c>
      <c r="R172" s="450">
        <v>6.4</v>
      </c>
      <c r="S172" s="450">
        <v>300</v>
      </c>
      <c r="T172" s="450">
        <v>2</v>
      </c>
    </row>
    <row r="173" spans="16:20" s="497" customFormat="1" ht="15">
      <c r="P173" s="447"/>
      <c r="Q173" s="450">
        <v>3.5</v>
      </c>
      <c r="R173" s="450">
        <v>6.4</v>
      </c>
      <c r="S173" s="450">
        <v>300.01</v>
      </c>
      <c r="T173" s="450">
        <v>1.5</v>
      </c>
    </row>
    <row r="174" spans="16:20" s="497" customFormat="1" ht="15">
      <c r="P174" s="447"/>
      <c r="Q174" s="450">
        <v>3.5</v>
      </c>
      <c r="R174" s="450">
        <v>6.4</v>
      </c>
      <c r="S174" s="450">
        <v>600</v>
      </c>
      <c r="T174" s="450">
        <v>1.5</v>
      </c>
    </row>
    <row r="175" spans="16:20" s="497" customFormat="1" ht="15">
      <c r="P175" s="447"/>
      <c r="Q175" s="450">
        <v>3.5</v>
      </c>
      <c r="R175" s="450">
        <v>6.4</v>
      </c>
      <c r="S175" s="450">
        <v>600.01</v>
      </c>
      <c r="T175" s="450">
        <v>1.4</v>
      </c>
    </row>
    <row r="176" spans="16:20" s="497" customFormat="1" ht="15">
      <c r="P176" s="447"/>
      <c r="Q176" s="450">
        <v>3.5</v>
      </c>
      <c r="R176" s="450">
        <v>6.4</v>
      </c>
      <c r="S176" s="450">
        <v>10000</v>
      </c>
      <c r="T176" s="450">
        <v>1.4</v>
      </c>
    </row>
    <row r="177" spans="16:20" s="497" customFormat="1" ht="15">
      <c r="P177" s="447"/>
      <c r="Q177" s="450">
        <v>3.5</v>
      </c>
      <c r="R177" s="450">
        <v>100</v>
      </c>
      <c r="S177" s="450">
        <v>0</v>
      </c>
      <c r="T177" s="450">
        <v>2</v>
      </c>
    </row>
    <row r="178" spans="16:20" s="497" customFormat="1" ht="15">
      <c r="P178" s="447"/>
      <c r="Q178" s="450">
        <v>3.5</v>
      </c>
      <c r="R178" s="450">
        <v>100</v>
      </c>
      <c r="S178" s="450">
        <v>300</v>
      </c>
      <c r="T178" s="450">
        <v>2</v>
      </c>
    </row>
    <row r="179" spans="16:20" s="497" customFormat="1" ht="15">
      <c r="P179" s="447"/>
      <c r="Q179" s="450">
        <v>3.5</v>
      </c>
      <c r="R179" s="450">
        <v>100</v>
      </c>
      <c r="S179" s="450">
        <v>300.01</v>
      </c>
      <c r="T179" s="450">
        <v>1.5</v>
      </c>
    </row>
    <row r="180" spans="16:20" s="497" customFormat="1" ht="15">
      <c r="P180" s="447"/>
      <c r="Q180" s="450">
        <v>3.5</v>
      </c>
      <c r="R180" s="450">
        <v>100</v>
      </c>
      <c r="S180" s="450">
        <v>600</v>
      </c>
      <c r="T180" s="450">
        <v>1.5</v>
      </c>
    </row>
    <row r="181" spans="16:20" s="497" customFormat="1" ht="15">
      <c r="P181" s="447"/>
      <c r="Q181" s="450">
        <v>3.5</v>
      </c>
      <c r="R181" s="450">
        <v>100</v>
      </c>
      <c r="S181" s="450">
        <v>600.01</v>
      </c>
      <c r="T181" s="450">
        <v>1.4</v>
      </c>
    </row>
    <row r="182" spans="16:20" s="497" customFormat="1" ht="15">
      <c r="P182" s="447"/>
      <c r="Q182" s="450">
        <v>3.5</v>
      </c>
      <c r="R182" s="450">
        <v>100</v>
      </c>
      <c r="S182" s="450">
        <v>10000</v>
      </c>
      <c r="T182" s="450">
        <v>1.4</v>
      </c>
    </row>
    <row r="183" spans="16:20" s="497" customFormat="1" ht="15">
      <c r="P183" s="447"/>
      <c r="Q183" s="450">
        <v>4.49</v>
      </c>
      <c r="R183" s="450">
        <v>0</v>
      </c>
      <c r="S183" s="450">
        <v>0</v>
      </c>
      <c r="T183" s="450">
        <v>1</v>
      </c>
    </row>
    <row r="184" spans="16:20" s="497" customFormat="1" ht="15">
      <c r="P184" s="447"/>
      <c r="Q184" s="450">
        <v>4.49</v>
      </c>
      <c r="R184" s="450">
        <v>0</v>
      </c>
      <c r="S184" s="450">
        <v>300</v>
      </c>
      <c r="T184" s="450">
        <v>1</v>
      </c>
    </row>
    <row r="185" spans="16:20" s="497" customFormat="1" ht="15">
      <c r="P185" s="447"/>
      <c r="Q185" s="450">
        <v>4.49</v>
      </c>
      <c r="R185" s="450">
        <v>0</v>
      </c>
      <c r="S185" s="450">
        <v>300.01</v>
      </c>
      <c r="T185" s="450">
        <v>1</v>
      </c>
    </row>
    <row r="186" spans="16:20" s="497" customFormat="1" ht="15">
      <c r="P186" s="447"/>
      <c r="Q186" s="450">
        <v>4.49</v>
      </c>
      <c r="R186" s="450">
        <v>0</v>
      </c>
      <c r="S186" s="450">
        <v>600</v>
      </c>
      <c r="T186" s="450">
        <v>1</v>
      </c>
    </row>
    <row r="187" spans="16:20" s="497" customFormat="1" ht="15">
      <c r="P187" s="447"/>
      <c r="Q187" s="450">
        <v>4.49</v>
      </c>
      <c r="R187" s="450">
        <v>0</v>
      </c>
      <c r="S187" s="450">
        <v>600.01</v>
      </c>
      <c r="T187" s="450">
        <v>1</v>
      </c>
    </row>
    <row r="188" spans="16:20" s="497" customFormat="1" ht="15">
      <c r="P188" s="447"/>
      <c r="Q188" s="450">
        <v>4.49</v>
      </c>
      <c r="R188" s="450">
        <v>0</v>
      </c>
      <c r="S188" s="450">
        <v>10000</v>
      </c>
      <c r="T188" s="450">
        <v>1</v>
      </c>
    </row>
    <row r="189" spans="16:20" s="497" customFormat="1" ht="15">
      <c r="P189" s="447"/>
      <c r="Q189" s="450">
        <v>4.49</v>
      </c>
      <c r="R189" s="450">
        <v>0.4</v>
      </c>
      <c r="S189" s="450">
        <v>0</v>
      </c>
      <c r="T189" s="450">
        <v>1</v>
      </c>
    </row>
    <row r="190" spans="16:20" s="497" customFormat="1" ht="15">
      <c r="P190" s="447"/>
      <c r="Q190" s="450">
        <v>4.49</v>
      </c>
      <c r="R190" s="450">
        <v>0.4</v>
      </c>
      <c r="S190" s="450">
        <v>300</v>
      </c>
      <c r="T190" s="450">
        <v>1</v>
      </c>
    </row>
    <row r="191" spans="16:20" s="497" customFormat="1" ht="15">
      <c r="P191" s="447"/>
      <c r="Q191" s="450">
        <v>4.49</v>
      </c>
      <c r="R191" s="450">
        <v>0.4</v>
      </c>
      <c r="S191" s="450">
        <v>300.01</v>
      </c>
      <c r="T191" s="450">
        <v>1</v>
      </c>
    </row>
    <row r="192" spans="16:20" s="497" customFormat="1" ht="15">
      <c r="P192" s="447"/>
      <c r="Q192" s="450">
        <v>4.49</v>
      </c>
      <c r="R192" s="450">
        <v>0.4</v>
      </c>
      <c r="S192" s="450">
        <v>600</v>
      </c>
      <c r="T192" s="450">
        <v>1</v>
      </c>
    </row>
    <row r="193" spans="16:20" s="497" customFormat="1" ht="15">
      <c r="P193" s="447"/>
      <c r="Q193" s="450">
        <v>4.49</v>
      </c>
      <c r="R193" s="450">
        <v>0.4</v>
      </c>
      <c r="S193" s="450">
        <v>600.01</v>
      </c>
      <c r="T193" s="450">
        <v>1</v>
      </c>
    </row>
    <row r="194" spans="16:20" s="497" customFormat="1" ht="15">
      <c r="P194" s="447"/>
      <c r="Q194" s="450">
        <v>4.49</v>
      </c>
      <c r="R194" s="450">
        <v>0.4</v>
      </c>
      <c r="S194" s="450">
        <v>10000</v>
      </c>
      <c r="T194" s="450">
        <v>1</v>
      </c>
    </row>
    <row r="195" spans="16:20" s="497" customFormat="1" ht="15">
      <c r="P195" s="447"/>
      <c r="Q195" s="450">
        <v>4.49</v>
      </c>
      <c r="R195" s="450">
        <v>0.8</v>
      </c>
      <c r="S195" s="450">
        <v>0</v>
      </c>
      <c r="T195" s="450">
        <v>1</v>
      </c>
    </row>
    <row r="196" spans="16:20" s="497" customFormat="1" ht="15">
      <c r="P196" s="447"/>
      <c r="Q196" s="450">
        <v>4.49</v>
      </c>
      <c r="R196" s="450">
        <v>0.8</v>
      </c>
      <c r="S196" s="450">
        <v>300</v>
      </c>
      <c r="T196" s="450">
        <v>1</v>
      </c>
    </row>
    <row r="197" spans="16:20" s="497" customFormat="1" ht="15">
      <c r="P197" s="447"/>
      <c r="Q197" s="450">
        <v>4.49</v>
      </c>
      <c r="R197" s="450">
        <v>0.8</v>
      </c>
      <c r="S197" s="450">
        <v>300.01</v>
      </c>
      <c r="T197" s="450">
        <v>1</v>
      </c>
    </row>
    <row r="198" spans="16:20" s="497" customFormat="1" ht="15">
      <c r="P198" s="447"/>
      <c r="Q198" s="450">
        <v>4.49</v>
      </c>
      <c r="R198" s="450">
        <v>0.8</v>
      </c>
      <c r="S198" s="450">
        <v>600</v>
      </c>
      <c r="T198" s="450">
        <v>1</v>
      </c>
    </row>
    <row r="199" spans="16:20" s="497" customFormat="1" ht="15">
      <c r="P199" s="447"/>
      <c r="Q199" s="450">
        <v>4.49</v>
      </c>
      <c r="R199" s="450">
        <v>0.8</v>
      </c>
      <c r="S199" s="450">
        <v>600.01</v>
      </c>
      <c r="T199" s="450">
        <v>1</v>
      </c>
    </row>
    <row r="200" spans="16:20" s="497" customFormat="1" ht="15">
      <c r="P200" s="447"/>
      <c r="Q200" s="450">
        <v>4.49</v>
      </c>
      <c r="R200" s="450">
        <v>0.8</v>
      </c>
      <c r="S200" s="450">
        <v>10000</v>
      </c>
      <c r="T200" s="450">
        <v>1</v>
      </c>
    </row>
    <row r="201" spans="16:20" s="497" customFormat="1" ht="15">
      <c r="P201" s="447"/>
      <c r="Q201" s="450">
        <v>4.49</v>
      </c>
      <c r="R201" s="450">
        <v>1.2</v>
      </c>
      <c r="S201" s="450">
        <v>0</v>
      </c>
      <c r="T201" s="450">
        <v>1</v>
      </c>
    </row>
    <row r="202" spans="16:20" s="497" customFormat="1" ht="15">
      <c r="P202" s="447"/>
      <c r="Q202" s="450">
        <v>4.49</v>
      </c>
      <c r="R202" s="450">
        <v>1.2</v>
      </c>
      <c r="S202" s="450">
        <v>300</v>
      </c>
      <c r="T202" s="450">
        <v>1</v>
      </c>
    </row>
    <row r="203" spans="16:20" s="497" customFormat="1" ht="15">
      <c r="P203" s="447"/>
      <c r="Q203" s="450">
        <v>4.49</v>
      </c>
      <c r="R203" s="450">
        <v>1.2</v>
      </c>
      <c r="S203" s="450">
        <v>300.01</v>
      </c>
      <c r="T203" s="450">
        <v>1</v>
      </c>
    </row>
    <row r="204" spans="16:20" s="497" customFormat="1" ht="15">
      <c r="P204" s="447"/>
      <c r="Q204" s="450">
        <v>4.49</v>
      </c>
      <c r="R204" s="450">
        <v>1.2</v>
      </c>
      <c r="S204" s="450">
        <v>600</v>
      </c>
      <c r="T204" s="450">
        <v>1</v>
      </c>
    </row>
    <row r="205" spans="16:20" s="497" customFormat="1" ht="15">
      <c r="P205" s="447"/>
      <c r="Q205" s="450">
        <v>4.49</v>
      </c>
      <c r="R205" s="450">
        <v>1.2</v>
      </c>
      <c r="S205" s="450">
        <v>600.01</v>
      </c>
      <c r="T205" s="450">
        <v>1</v>
      </c>
    </row>
    <row r="206" spans="16:20" s="497" customFormat="1" ht="15">
      <c r="P206" s="447"/>
      <c r="Q206" s="450">
        <v>4.49</v>
      </c>
      <c r="R206" s="450">
        <v>1.2</v>
      </c>
      <c r="S206" s="450">
        <v>10000</v>
      </c>
      <c r="T206" s="450">
        <v>1</v>
      </c>
    </row>
    <row r="207" spans="16:20" s="497" customFormat="1" ht="15">
      <c r="P207" s="447"/>
      <c r="Q207" s="450">
        <v>4.49</v>
      </c>
      <c r="R207" s="450">
        <v>1.6</v>
      </c>
      <c r="S207" s="450">
        <v>0</v>
      </c>
      <c r="T207" s="450">
        <v>1</v>
      </c>
    </row>
    <row r="208" spans="16:20" s="497" customFormat="1" ht="15">
      <c r="P208" s="447"/>
      <c r="Q208" s="450">
        <v>4.49</v>
      </c>
      <c r="R208" s="450">
        <v>1.6</v>
      </c>
      <c r="S208" s="450">
        <v>300</v>
      </c>
      <c r="T208" s="450">
        <v>1</v>
      </c>
    </row>
    <row r="209" spans="16:20" s="497" customFormat="1" ht="15">
      <c r="P209" s="447"/>
      <c r="Q209" s="450">
        <v>4.49</v>
      </c>
      <c r="R209" s="450">
        <v>1.6</v>
      </c>
      <c r="S209" s="450">
        <v>300.01</v>
      </c>
      <c r="T209" s="450">
        <v>1</v>
      </c>
    </row>
    <row r="210" spans="16:20" s="497" customFormat="1" ht="15">
      <c r="P210" s="447"/>
      <c r="Q210" s="450">
        <v>4.49</v>
      </c>
      <c r="R210" s="450">
        <v>1.6</v>
      </c>
      <c r="S210" s="450">
        <v>600</v>
      </c>
      <c r="T210" s="450">
        <v>1</v>
      </c>
    </row>
    <row r="211" spans="16:20" s="497" customFormat="1" ht="15">
      <c r="P211" s="447"/>
      <c r="Q211" s="450">
        <v>4.49</v>
      </c>
      <c r="R211" s="450">
        <v>1.6</v>
      </c>
      <c r="S211" s="450">
        <v>600.01</v>
      </c>
      <c r="T211" s="450">
        <v>1</v>
      </c>
    </row>
    <row r="212" spans="16:20" s="497" customFormat="1" ht="15">
      <c r="P212" s="447"/>
      <c r="Q212" s="450">
        <v>4.49</v>
      </c>
      <c r="R212" s="450">
        <v>1.6</v>
      </c>
      <c r="S212" s="450">
        <v>10000</v>
      </c>
      <c r="T212" s="450">
        <v>1</v>
      </c>
    </row>
    <row r="213" spans="16:20" s="497" customFormat="1" ht="15">
      <c r="P213" s="447"/>
      <c r="Q213" s="450">
        <v>4.49</v>
      </c>
      <c r="R213" s="450">
        <v>2.4</v>
      </c>
      <c r="S213" s="450">
        <v>0</v>
      </c>
      <c r="T213" s="450">
        <v>1.1000000000000001</v>
      </c>
    </row>
    <row r="214" spans="16:20" s="497" customFormat="1" ht="15">
      <c r="P214" s="447"/>
      <c r="Q214" s="450">
        <v>4.49</v>
      </c>
      <c r="R214" s="450">
        <v>2.4</v>
      </c>
      <c r="S214" s="450">
        <v>300</v>
      </c>
      <c r="T214" s="450">
        <v>1.1000000000000001</v>
      </c>
    </row>
    <row r="215" spans="16:20" s="497" customFormat="1" ht="15">
      <c r="P215" s="447"/>
      <c r="Q215" s="450">
        <v>4.49</v>
      </c>
      <c r="R215" s="450">
        <v>2.4</v>
      </c>
      <c r="S215" s="450">
        <v>300.01</v>
      </c>
      <c r="T215" s="450">
        <v>1</v>
      </c>
    </row>
    <row r="216" spans="16:20" s="497" customFormat="1" ht="15">
      <c r="P216" s="447"/>
      <c r="Q216" s="450">
        <v>4.49</v>
      </c>
      <c r="R216" s="450">
        <v>2.4</v>
      </c>
      <c r="S216" s="450">
        <v>600</v>
      </c>
      <c r="T216" s="450">
        <v>1</v>
      </c>
    </row>
    <row r="217" spans="16:20" s="497" customFormat="1" ht="15">
      <c r="P217" s="447"/>
      <c r="Q217" s="450">
        <v>4.49</v>
      </c>
      <c r="R217" s="450">
        <v>2.4</v>
      </c>
      <c r="S217" s="450">
        <v>600.01</v>
      </c>
      <c r="T217" s="450">
        <v>1</v>
      </c>
    </row>
    <row r="218" spans="16:20" s="497" customFormat="1" ht="15">
      <c r="P218" s="447"/>
      <c r="Q218" s="450">
        <v>4.49</v>
      </c>
      <c r="R218" s="450">
        <v>2.4</v>
      </c>
      <c r="S218" s="450">
        <v>10000</v>
      </c>
      <c r="T218" s="450">
        <v>1</v>
      </c>
    </row>
    <row r="219" spans="16:20" s="497" customFormat="1" ht="15">
      <c r="P219" s="447"/>
      <c r="Q219" s="450">
        <v>4.49</v>
      </c>
      <c r="R219" s="450">
        <v>3.2</v>
      </c>
      <c r="S219" s="450">
        <v>0</v>
      </c>
      <c r="T219" s="450">
        <v>1.4</v>
      </c>
    </row>
    <row r="220" spans="16:20" s="497" customFormat="1" ht="15">
      <c r="P220" s="447"/>
      <c r="Q220" s="450">
        <v>4.49</v>
      </c>
      <c r="R220" s="450">
        <v>3.2</v>
      </c>
      <c r="S220" s="450">
        <v>300</v>
      </c>
      <c r="T220" s="450">
        <v>1.4</v>
      </c>
    </row>
    <row r="221" spans="16:20" s="497" customFormat="1" ht="15">
      <c r="P221" s="447"/>
      <c r="Q221" s="450">
        <v>4.49</v>
      </c>
      <c r="R221" s="450">
        <v>3.2</v>
      </c>
      <c r="S221" s="450">
        <v>300.01</v>
      </c>
      <c r="T221" s="450">
        <v>1</v>
      </c>
    </row>
    <row r="222" spans="16:20" s="497" customFormat="1" ht="15">
      <c r="P222" s="447"/>
      <c r="Q222" s="450">
        <v>4.49</v>
      </c>
      <c r="R222" s="450">
        <v>3.2</v>
      </c>
      <c r="S222" s="450">
        <v>600</v>
      </c>
      <c r="T222" s="450">
        <v>1</v>
      </c>
    </row>
    <row r="223" spans="16:20" s="497" customFormat="1" ht="15">
      <c r="P223" s="447"/>
      <c r="Q223" s="450">
        <v>4.49</v>
      </c>
      <c r="R223" s="450">
        <v>3.2</v>
      </c>
      <c r="S223" s="450">
        <v>600.01</v>
      </c>
      <c r="T223" s="450">
        <v>1</v>
      </c>
    </row>
    <row r="224" spans="16:20" s="497" customFormat="1" ht="15">
      <c r="P224" s="447"/>
      <c r="Q224" s="450">
        <v>4.49</v>
      </c>
      <c r="R224" s="450">
        <v>3.2</v>
      </c>
      <c r="S224" s="450">
        <v>10000</v>
      </c>
      <c r="T224" s="450">
        <v>1</v>
      </c>
    </row>
    <row r="225" spans="16:20" s="497" customFormat="1" ht="15">
      <c r="P225" s="447"/>
      <c r="Q225" s="450">
        <v>4.49</v>
      </c>
      <c r="R225" s="450">
        <v>4.8</v>
      </c>
      <c r="S225" s="450">
        <v>0</v>
      </c>
      <c r="T225" s="450">
        <v>1.7</v>
      </c>
    </row>
    <row r="226" spans="16:20" s="497" customFormat="1" ht="15">
      <c r="P226" s="447"/>
      <c r="Q226" s="450">
        <v>4.49</v>
      </c>
      <c r="R226" s="450">
        <v>4.8</v>
      </c>
      <c r="S226" s="450">
        <v>300</v>
      </c>
      <c r="T226" s="450">
        <v>1.7</v>
      </c>
    </row>
    <row r="227" spans="16:20" s="497" customFormat="1" ht="15">
      <c r="P227" s="447"/>
      <c r="Q227" s="450">
        <v>4.49</v>
      </c>
      <c r="R227" s="450">
        <v>4.8</v>
      </c>
      <c r="S227" s="450">
        <v>300.01</v>
      </c>
      <c r="T227" s="450">
        <v>1.1000000000000001</v>
      </c>
    </row>
    <row r="228" spans="16:20" s="497" customFormat="1" ht="15">
      <c r="P228" s="447"/>
      <c r="Q228" s="450">
        <v>4.49</v>
      </c>
      <c r="R228" s="450">
        <v>4.8</v>
      </c>
      <c r="S228" s="450">
        <v>600</v>
      </c>
      <c r="T228" s="450">
        <v>1.1000000000000001</v>
      </c>
    </row>
    <row r="229" spans="16:20" s="497" customFormat="1" ht="15">
      <c r="P229" s="447"/>
      <c r="Q229" s="450">
        <v>4.49</v>
      </c>
      <c r="R229" s="450">
        <v>4.8</v>
      </c>
      <c r="S229" s="450">
        <v>600.01</v>
      </c>
      <c r="T229" s="450">
        <v>1.2</v>
      </c>
    </row>
    <row r="230" spans="16:20" s="497" customFormat="1" ht="15">
      <c r="P230" s="447"/>
      <c r="Q230" s="450">
        <v>4.49</v>
      </c>
      <c r="R230" s="450">
        <v>4.8</v>
      </c>
      <c r="S230" s="450">
        <v>10000</v>
      </c>
      <c r="T230" s="450">
        <v>1.2</v>
      </c>
    </row>
    <row r="231" spans="16:20" s="497" customFormat="1" ht="15">
      <c r="P231" s="447"/>
      <c r="Q231" s="450">
        <v>4.49</v>
      </c>
      <c r="R231" s="450">
        <v>6.4</v>
      </c>
      <c r="S231" s="450">
        <v>0</v>
      </c>
      <c r="T231" s="450">
        <v>2</v>
      </c>
    </row>
    <row r="232" spans="16:20" s="497" customFormat="1" ht="15">
      <c r="P232" s="447"/>
      <c r="Q232" s="450">
        <v>4.49</v>
      </c>
      <c r="R232" s="450">
        <v>6.4</v>
      </c>
      <c r="S232" s="450">
        <v>300</v>
      </c>
      <c r="T232" s="450">
        <v>2</v>
      </c>
    </row>
    <row r="233" spans="16:20" s="497" customFormat="1" ht="15">
      <c r="P233" s="447"/>
      <c r="Q233" s="450">
        <v>4.49</v>
      </c>
      <c r="R233" s="450">
        <v>6.4</v>
      </c>
      <c r="S233" s="450">
        <v>300.01</v>
      </c>
      <c r="T233" s="450">
        <v>1.5</v>
      </c>
    </row>
    <row r="234" spans="16:20" s="497" customFormat="1" ht="15">
      <c r="P234" s="447"/>
      <c r="Q234" s="450">
        <v>4.49</v>
      </c>
      <c r="R234" s="450">
        <v>6.4</v>
      </c>
      <c r="S234" s="450">
        <v>600</v>
      </c>
      <c r="T234" s="450">
        <v>1.5</v>
      </c>
    </row>
    <row r="235" spans="16:20" s="497" customFormat="1" ht="15">
      <c r="P235" s="447"/>
      <c r="Q235" s="450">
        <v>4.49</v>
      </c>
      <c r="R235" s="450">
        <v>6.4</v>
      </c>
      <c r="S235" s="450">
        <v>600.01</v>
      </c>
      <c r="T235" s="450">
        <v>1.4</v>
      </c>
    </row>
    <row r="236" spans="16:20" s="497" customFormat="1" ht="15">
      <c r="P236" s="447"/>
      <c r="Q236" s="450">
        <v>4.49</v>
      </c>
      <c r="R236" s="450">
        <v>6.4</v>
      </c>
      <c r="S236" s="450">
        <v>10000</v>
      </c>
      <c r="T236" s="450">
        <v>1.4</v>
      </c>
    </row>
    <row r="237" spans="16:20" s="497" customFormat="1" ht="15">
      <c r="P237" s="447"/>
      <c r="Q237" s="450">
        <v>4.49</v>
      </c>
      <c r="R237" s="450">
        <v>100</v>
      </c>
      <c r="S237" s="450">
        <v>0</v>
      </c>
      <c r="T237" s="450">
        <v>2</v>
      </c>
    </row>
    <row r="238" spans="16:20" s="497" customFormat="1" ht="15">
      <c r="P238" s="447"/>
      <c r="Q238" s="450">
        <v>4.49</v>
      </c>
      <c r="R238" s="450">
        <v>100</v>
      </c>
      <c r="S238" s="450">
        <v>300</v>
      </c>
      <c r="T238" s="450">
        <v>2</v>
      </c>
    </row>
    <row r="239" spans="16:20" s="497" customFormat="1" ht="15">
      <c r="P239" s="447"/>
      <c r="Q239" s="450">
        <v>4.49</v>
      </c>
      <c r="R239" s="450">
        <v>100</v>
      </c>
      <c r="S239" s="450">
        <v>300.01</v>
      </c>
      <c r="T239" s="450">
        <v>1.5</v>
      </c>
    </row>
    <row r="240" spans="16:20" s="497" customFormat="1" ht="15">
      <c r="P240" s="447"/>
      <c r="Q240" s="450">
        <v>4.49</v>
      </c>
      <c r="R240" s="450">
        <v>100</v>
      </c>
      <c r="S240" s="450">
        <v>600</v>
      </c>
      <c r="T240" s="450">
        <v>1.5</v>
      </c>
    </row>
    <row r="241" spans="16:20" s="497" customFormat="1" ht="15">
      <c r="P241" s="447"/>
      <c r="Q241" s="450">
        <v>4.49</v>
      </c>
      <c r="R241" s="450">
        <v>100</v>
      </c>
      <c r="S241" s="450">
        <v>600.01</v>
      </c>
      <c r="T241" s="450">
        <v>1.4</v>
      </c>
    </row>
    <row r="242" spans="16:20" s="497" customFormat="1" ht="15">
      <c r="P242" s="447"/>
      <c r="Q242" s="450">
        <v>4.49</v>
      </c>
      <c r="R242" s="450">
        <v>100</v>
      </c>
      <c r="S242" s="450">
        <v>10000</v>
      </c>
      <c r="T242" s="450">
        <v>1.4</v>
      </c>
    </row>
    <row r="243" spans="16:20" s="497" customFormat="1" ht="15">
      <c r="P243" s="447"/>
      <c r="Q243" s="450">
        <v>4.5</v>
      </c>
      <c r="R243" s="450">
        <v>0</v>
      </c>
      <c r="S243" s="450">
        <v>0</v>
      </c>
      <c r="T243" s="450">
        <v>1</v>
      </c>
    </row>
    <row r="244" spans="16:20" s="497" customFormat="1" ht="15">
      <c r="P244" s="447"/>
      <c r="Q244" s="450">
        <v>4.5</v>
      </c>
      <c r="R244" s="450">
        <v>0</v>
      </c>
      <c r="S244" s="450">
        <v>300</v>
      </c>
      <c r="T244" s="450">
        <v>1</v>
      </c>
    </row>
    <row r="245" spans="16:20" s="497" customFormat="1" ht="15">
      <c r="P245" s="447"/>
      <c r="Q245" s="450">
        <v>4.5</v>
      </c>
      <c r="R245" s="450">
        <v>0</v>
      </c>
      <c r="S245" s="450">
        <v>300.01</v>
      </c>
      <c r="T245" s="450">
        <v>1</v>
      </c>
    </row>
    <row r="246" spans="16:20" s="497" customFormat="1" ht="15">
      <c r="P246" s="447"/>
      <c r="Q246" s="450">
        <v>4.5</v>
      </c>
      <c r="R246" s="450">
        <v>0</v>
      </c>
      <c r="S246" s="450">
        <v>600</v>
      </c>
      <c r="T246" s="450">
        <v>1</v>
      </c>
    </row>
    <row r="247" spans="16:20" s="497" customFormat="1" ht="15">
      <c r="P247" s="447"/>
      <c r="Q247" s="450">
        <v>4.5</v>
      </c>
      <c r="R247" s="450">
        <v>0</v>
      </c>
      <c r="S247" s="450">
        <v>600.01</v>
      </c>
      <c r="T247" s="450">
        <v>1</v>
      </c>
    </row>
    <row r="248" spans="16:20" s="497" customFormat="1" ht="15">
      <c r="P248" s="447"/>
      <c r="Q248" s="450">
        <v>4.5</v>
      </c>
      <c r="R248" s="450">
        <v>0</v>
      </c>
      <c r="S248" s="450">
        <v>10000</v>
      </c>
      <c r="T248" s="450">
        <v>1</v>
      </c>
    </row>
    <row r="249" spans="16:20" s="497" customFormat="1" ht="15">
      <c r="P249" s="447"/>
      <c r="Q249" s="450">
        <v>4.5</v>
      </c>
      <c r="R249" s="450">
        <v>0.4</v>
      </c>
      <c r="S249" s="450">
        <v>0</v>
      </c>
      <c r="T249" s="450">
        <v>1</v>
      </c>
    </row>
    <row r="250" spans="16:20" s="497" customFormat="1" ht="15">
      <c r="P250" s="447"/>
      <c r="Q250" s="450">
        <v>4.5</v>
      </c>
      <c r="R250" s="450">
        <v>0.4</v>
      </c>
      <c r="S250" s="450">
        <v>300</v>
      </c>
      <c r="T250" s="450">
        <v>1</v>
      </c>
    </row>
    <row r="251" spans="16:20" s="497" customFormat="1" ht="15">
      <c r="P251" s="447"/>
      <c r="Q251" s="450">
        <v>4.5</v>
      </c>
      <c r="R251" s="450">
        <v>0.4</v>
      </c>
      <c r="S251" s="450">
        <v>300.01</v>
      </c>
      <c r="T251" s="450">
        <v>1</v>
      </c>
    </row>
    <row r="252" spans="16:20" s="497" customFormat="1" ht="15">
      <c r="P252" s="447"/>
      <c r="Q252" s="450">
        <v>4.5</v>
      </c>
      <c r="R252" s="450">
        <v>0.4</v>
      </c>
      <c r="S252" s="450">
        <v>600</v>
      </c>
      <c r="T252" s="450">
        <v>1</v>
      </c>
    </row>
    <row r="253" spans="16:20" s="497" customFormat="1" ht="15">
      <c r="P253" s="447"/>
      <c r="Q253" s="450">
        <v>4.5</v>
      </c>
      <c r="R253" s="450">
        <v>0.4</v>
      </c>
      <c r="S253" s="450">
        <v>600.01</v>
      </c>
      <c r="T253" s="450">
        <v>1</v>
      </c>
    </row>
    <row r="254" spans="16:20" s="497" customFormat="1" ht="15">
      <c r="P254" s="447"/>
      <c r="Q254" s="450">
        <v>4.5</v>
      </c>
      <c r="R254" s="450">
        <v>0.4</v>
      </c>
      <c r="S254" s="450">
        <v>10000</v>
      </c>
      <c r="T254" s="450">
        <v>1</v>
      </c>
    </row>
    <row r="255" spans="16:20" s="497" customFormat="1" ht="15">
      <c r="P255" s="447"/>
      <c r="Q255" s="450">
        <v>4.5</v>
      </c>
      <c r="R255" s="450">
        <v>0.8</v>
      </c>
      <c r="S255" s="450">
        <v>0</v>
      </c>
      <c r="T255" s="450">
        <v>1</v>
      </c>
    </row>
    <row r="256" spans="16:20" s="497" customFormat="1" ht="15">
      <c r="P256" s="447"/>
      <c r="Q256" s="450">
        <v>4.5</v>
      </c>
      <c r="R256" s="450">
        <v>0.8</v>
      </c>
      <c r="S256" s="450">
        <v>300</v>
      </c>
      <c r="T256" s="450">
        <v>1</v>
      </c>
    </row>
    <row r="257" spans="16:20" s="497" customFormat="1" ht="15">
      <c r="P257" s="447"/>
      <c r="Q257" s="450">
        <v>4.5</v>
      </c>
      <c r="R257" s="450">
        <v>0.8</v>
      </c>
      <c r="S257" s="450">
        <v>300.01</v>
      </c>
      <c r="T257" s="450">
        <v>1</v>
      </c>
    </row>
    <row r="258" spans="16:20" s="497" customFormat="1" ht="15">
      <c r="P258" s="447"/>
      <c r="Q258" s="450">
        <v>4.5</v>
      </c>
      <c r="R258" s="450">
        <v>0.8</v>
      </c>
      <c r="S258" s="450">
        <v>600</v>
      </c>
      <c r="T258" s="450">
        <v>1</v>
      </c>
    </row>
    <row r="259" spans="16:20" s="497" customFormat="1" ht="15">
      <c r="P259" s="447"/>
      <c r="Q259" s="450">
        <v>4.5</v>
      </c>
      <c r="R259" s="450">
        <v>0.8</v>
      </c>
      <c r="S259" s="450">
        <v>600.01</v>
      </c>
      <c r="T259" s="450">
        <v>1</v>
      </c>
    </row>
    <row r="260" spans="16:20" s="497" customFormat="1" ht="15">
      <c r="P260" s="447"/>
      <c r="Q260" s="450">
        <v>4.5</v>
      </c>
      <c r="R260" s="450">
        <v>0.8</v>
      </c>
      <c r="S260" s="450">
        <v>10000</v>
      </c>
      <c r="T260" s="450">
        <v>1</v>
      </c>
    </row>
    <row r="261" spans="16:20" s="497" customFormat="1" ht="15">
      <c r="P261" s="447"/>
      <c r="Q261" s="450">
        <v>4.5</v>
      </c>
      <c r="R261" s="450">
        <v>1.2</v>
      </c>
      <c r="S261" s="450">
        <v>0</v>
      </c>
      <c r="T261" s="450">
        <v>1</v>
      </c>
    </row>
    <row r="262" spans="16:20" s="497" customFormat="1" ht="15">
      <c r="P262" s="447"/>
      <c r="Q262" s="450">
        <v>4.5</v>
      </c>
      <c r="R262" s="450">
        <v>1.2</v>
      </c>
      <c r="S262" s="450">
        <v>300</v>
      </c>
      <c r="T262" s="450">
        <v>1</v>
      </c>
    </row>
    <row r="263" spans="16:20" s="497" customFormat="1" ht="15">
      <c r="P263" s="447"/>
      <c r="Q263" s="450">
        <v>4.5</v>
      </c>
      <c r="R263" s="450">
        <v>1.2</v>
      </c>
      <c r="S263" s="450">
        <v>300.01</v>
      </c>
      <c r="T263" s="450">
        <v>1</v>
      </c>
    </row>
    <row r="264" spans="16:20" s="497" customFormat="1" ht="15">
      <c r="P264" s="447"/>
      <c r="Q264" s="450">
        <v>4.5</v>
      </c>
      <c r="R264" s="450">
        <v>1.2</v>
      </c>
      <c r="S264" s="450">
        <v>600</v>
      </c>
      <c r="T264" s="450">
        <v>1</v>
      </c>
    </row>
    <row r="265" spans="16:20" s="497" customFormat="1" ht="15">
      <c r="P265" s="447"/>
      <c r="Q265" s="450">
        <v>4.5</v>
      </c>
      <c r="R265" s="450">
        <v>1.2</v>
      </c>
      <c r="S265" s="450">
        <v>600.01</v>
      </c>
      <c r="T265" s="450">
        <v>1</v>
      </c>
    </row>
    <row r="266" spans="16:20" s="497" customFormat="1" ht="15">
      <c r="P266" s="447"/>
      <c r="Q266" s="450">
        <v>4.5</v>
      </c>
      <c r="R266" s="450">
        <v>1.2</v>
      </c>
      <c r="S266" s="450">
        <v>10000</v>
      </c>
      <c r="T266" s="450">
        <v>1</v>
      </c>
    </row>
    <row r="267" spans="16:20" s="497" customFormat="1" ht="15">
      <c r="P267" s="447"/>
      <c r="Q267" s="450">
        <v>4.5</v>
      </c>
      <c r="R267" s="450">
        <v>1.6</v>
      </c>
      <c r="S267" s="450">
        <v>0</v>
      </c>
      <c r="T267" s="450">
        <v>1</v>
      </c>
    </row>
    <row r="268" spans="16:20" s="497" customFormat="1" ht="15">
      <c r="P268" s="447"/>
      <c r="Q268" s="450">
        <v>4.5</v>
      </c>
      <c r="R268" s="450">
        <v>1.6</v>
      </c>
      <c r="S268" s="450">
        <v>300</v>
      </c>
      <c r="T268" s="450">
        <v>1</v>
      </c>
    </row>
    <row r="269" spans="16:20" s="497" customFormat="1" ht="15">
      <c r="P269" s="447"/>
      <c r="Q269" s="450">
        <v>4.5</v>
      </c>
      <c r="R269" s="450">
        <v>1.6</v>
      </c>
      <c r="S269" s="450">
        <v>300.01</v>
      </c>
      <c r="T269" s="450">
        <v>1</v>
      </c>
    </row>
    <row r="270" spans="16:20" s="497" customFormat="1" ht="15">
      <c r="P270" s="447"/>
      <c r="Q270" s="450">
        <v>4.5</v>
      </c>
      <c r="R270" s="450">
        <v>1.6</v>
      </c>
      <c r="S270" s="450">
        <v>600</v>
      </c>
      <c r="T270" s="450">
        <v>1</v>
      </c>
    </row>
    <row r="271" spans="16:20" s="497" customFormat="1" ht="15">
      <c r="P271" s="447"/>
      <c r="Q271" s="450">
        <v>4.5</v>
      </c>
      <c r="R271" s="450">
        <v>1.6</v>
      </c>
      <c r="S271" s="450">
        <v>600.01</v>
      </c>
      <c r="T271" s="450">
        <v>1</v>
      </c>
    </row>
    <row r="272" spans="16:20" s="497" customFormat="1" ht="15">
      <c r="P272" s="447"/>
      <c r="Q272" s="450">
        <v>4.5</v>
      </c>
      <c r="R272" s="450">
        <v>1.6</v>
      </c>
      <c r="S272" s="450">
        <v>10000</v>
      </c>
      <c r="T272" s="450">
        <v>1</v>
      </c>
    </row>
    <row r="273" spans="16:20" s="497" customFormat="1" ht="15">
      <c r="P273" s="447"/>
      <c r="Q273" s="450">
        <v>4.5</v>
      </c>
      <c r="R273" s="450">
        <v>2.4</v>
      </c>
      <c r="S273" s="450">
        <v>0</v>
      </c>
      <c r="T273" s="450">
        <v>1.1000000000000001</v>
      </c>
    </row>
    <row r="274" spans="16:20" s="497" customFormat="1" ht="15">
      <c r="P274" s="447"/>
      <c r="Q274" s="450">
        <v>4.5</v>
      </c>
      <c r="R274" s="450">
        <v>2.4</v>
      </c>
      <c r="S274" s="450">
        <v>300</v>
      </c>
      <c r="T274" s="450">
        <v>1.1000000000000001</v>
      </c>
    </row>
    <row r="275" spans="16:20" s="497" customFormat="1" ht="15">
      <c r="P275" s="447"/>
      <c r="Q275" s="450">
        <v>4.5</v>
      </c>
      <c r="R275" s="450">
        <v>2.4</v>
      </c>
      <c r="S275" s="450">
        <v>300.01</v>
      </c>
      <c r="T275" s="450">
        <v>1.2</v>
      </c>
    </row>
    <row r="276" spans="16:20" s="497" customFormat="1" ht="15">
      <c r="P276" s="447"/>
      <c r="Q276" s="450">
        <v>4.5</v>
      </c>
      <c r="R276" s="450">
        <v>2.4</v>
      </c>
      <c r="S276" s="450">
        <v>600</v>
      </c>
      <c r="T276" s="450">
        <v>1.2</v>
      </c>
    </row>
    <row r="277" spans="16:20" s="497" customFormat="1" ht="15">
      <c r="P277" s="447"/>
      <c r="Q277" s="450">
        <v>4.5</v>
      </c>
      <c r="R277" s="450">
        <v>2.4</v>
      </c>
      <c r="S277" s="450">
        <v>600.01</v>
      </c>
      <c r="T277" s="450">
        <v>1.2</v>
      </c>
    </row>
    <row r="278" spans="16:20" s="497" customFormat="1" ht="15">
      <c r="P278" s="447"/>
      <c r="Q278" s="498">
        <v>4.5</v>
      </c>
      <c r="R278" s="498">
        <v>2.4</v>
      </c>
      <c r="S278" s="498">
        <v>10000</v>
      </c>
      <c r="T278" s="498">
        <v>1.2</v>
      </c>
    </row>
    <row r="279" spans="16:20" s="497" customFormat="1" ht="15">
      <c r="P279" s="447"/>
      <c r="Q279" s="498">
        <v>4.5</v>
      </c>
      <c r="R279" s="498">
        <v>3.2</v>
      </c>
      <c r="S279" s="498">
        <v>0</v>
      </c>
      <c r="T279" s="498">
        <v>1.6</v>
      </c>
    </row>
    <row r="280" spans="16:20" s="497" customFormat="1" ht="15">
      <c r="P280" s="447"/>
      <c r="Q280" s="498">
        <v>4.5</v>
      </c>
      <c r="R280" s="498">
        <v>3.2</v>
      </c>
      <c r="S280" s="498">
        <v>300</v>
      </c>
      <c r="T280" s="498">
        <v>1.6</v>
      </c>
    </row>
    <row r="281" spans="16:20" s="497" customFormat="1" ht="15">
      <c r="P281" s="447"/>
      <c r="Q281" s="498">
        <v>4.5</v>
      </c>
      <c r="R281" s="498">
        <v>3.2</v>
      </c>
      <c r="S281" s="498">
        <v>300.01</v>
      </c>
      <c r="T281" s="498">
        <v>1.3</v>
      </c>
    </row>
    <row r="282" spans="16:20" s="497" customFormat="1" ht="15">
      <c r="P282" s="447"/>
      <c r="Q282" s="498">
        <v>4.5</v>
      </c>
      <c r="R282" s="498">
        <v>3.2</v>
      </c>
      <c r="S282" s="498">
        <v>600</v>
      </c>
      <c r="T282" s="498">
        <v>1.3</v>
      </c>
    </row>
    <row r="283" spans="16:20" s="497" customFormat="1" ht="15">
      <c r="P283" s="447"/>
      <c r="Q283" s="498">
        <v>4.5</v>
      </c>
      <c r="R283" s="498">
        <v>3.2</v>
      </c>
      <c r="S283" s="498">
        <v>600.01</v>
      </c>
      <c r="T283" s="498">
        <v>1.5</v>
      </c>
    </row>
    <row r="284" spans="16:20" s="497" customFormat="1" ht="15">
      <c r="P284" s="447"/>
      <c r="Q284" s="498">
        <v>4.5</v>
      </c>
      <c r="R284" s="498">
        <v>3.2</v>
      </c>
      <c r="S284" s="498">
        <v>10000</v>
      </c>
      <c r="T284" s="498">
        <v>1.5</v>
      </c>
    </row>
    <row r="285" spans="16:20" s="497" customFormat="1" ht="15">
      <c r="P285" s="447"/>
      <c r="Q285" s="498">
        <v>4.5</v>
      </c>
      <c r="R285" s="498">
        <v>4.8</v>
      </c>
      <c r="S285" s="498">
        <v>0</v>
      </c>
      <c r="T285" s="498">
        <v>2.2999999999999998</v>
      </c>
    </row>
    <row r="286" spans="16:20" s="497" customFormat="1" ht="15">
      <c r="P286" s="447"/>
      <c r="Q286" s="498">
        <v>4.5</v>
      </c>
      <c r="R286" s="498">
        <v>4.8</v>
      </c>
      <c r="S286" s="498">
        <v>300</v>
      </c>
      <c r="T286" s="498">
        <v>2.2999999999999998</v>
      </c>
    </row>
    <row r="287" spans="16:20" s="497" customFormat="1" ht="15">
      <c r="P287" s="447"/>
      <c r="Q287" s="498">
        <v>4.5</v>
      </c>
      <c r="R287" s="498">
        <v>4.8</v>
      </c>
      <c r="S287" s="498">
        <v>300.01</v>
      </c>
      <c r="T287" s="498">
        <v>1.9</v>
      </c>
    </row>
    <row r="288" spans="16:20" s="497" customFormat="1" ht="15">
      <c r="P288" s="447"/>
      <c r="Q288" s="498">
        <v>4.5</v>
      </c>
      <c r="R288" s="498">
        <v>4.8</v>
      </c>
      <c r="S288" s="498">
        <v>600</v>
      </c>
      <c r="T288" s="498">
        <v>1.9</v>
      </c>
    </row>
    <row r="289" spans="16:20" s="497" customFormat="1" ht="15">
      <c r="P289" s="447"/>
      <c r="Q289" s="498">
        <v>4.5</v>
      </c>
      <c r="R289" s="498">
        <v>4.8</v>
      </c>
      <c r="S289" s="498">
        <v>600.01</v>
      </c>
      <c r="T289" s="498">
        <v>1.7</v>
      </c>
    </row>
    <row r="290" spans="16:20" s="497" customFormat="1" ht="15">
      <c r="P290" s="447"/>
      <c r="Q290" s="498">
        <v>4.5</v>
      </c>
      <c r="R290" s="498">
        <v>4.8</v>
      </c>
      <c r="S290" s="498">
        <v>10000</v>
      </c>
      <c r="T290" s="498">
        <v>1.7</v>
      </c>
    </row>
    <row r="291" spans="16:20" s="497" customFormat="1" ht="15">
      <c r="P291" s="447"/>
      <c r="Q291" s="498">
        <v>4.5</v>
      </c>
      <c r="R291" s="498">
        <v>6.4</v>
      </c>
      <c r="S291" s="498">
        <v>0</v>
      </c>
      <c r="T291" s="498">
        <v>3.3</v>
      </c>
    </row>
    <row r="292" spans="16:20" s="497" customFormat="1" ht="15">
      <c r="P292" s="447"/>
      <c r="Q292" s="498">
        <v>4.5</v>
      </c>
      <c r="R292" s="498">
        <v>6.4</v>
      </c>
      <c r="S292" s="498">
        <v>300</v>
      </c>
      <c r="T292" s="498">
        <v>3.3</v>
      </c>
    </row>
    <row r="293" spans="16:20" s="497" customFormat="1" ht="15">
      <c r="P293" s="447"/>
      <c r="Q293" s="498">
        <v>4.5</v>
      </c>
      <c r="R293" s="498">
        <v>6.4</v>
      </c>
      <c r="S293" s="498">
        <v>300.01</v>
      </c>
      <c r="T293" s="498">
        <v>2.1</v>
      </c>
    </row>
    <row r="294" spans="16:20" s="497" customFormat="1" ht="15">
      <c r="P294" s="447"/>
      <c r="Q294" s="498">
        <v>4.5</v>
      </c>
      <c r="R294" s="498">
        <v>6.4</v>
      </c>
      <c r="S294" s="498">
        <v>600</v>
      </c>
      <c r="T294" s="498">
        <v>2.1</v>
      </c>
    </row>
    <row r="295" spans="16:20" s="497" customFormat="1" ht="15">
      <c r="P295" s="447"/>
      <c r="Q295" s="498">
        <v>4.5</v>
      </c>
      <c r="R295" s="498">
        <v>6.4</v>
      </c>
      <c r="S295" s="498">
        <v>600.01</v>
      </c>
      <c r="T295" s="498">
        <v>1.8</v>
      </c>
    </row>
    <row r="296" spans="16:20" s="497" customFormat="1" ht="15">
      <c r="P296" s="447"/>
      <c r="Q296" s="498">
        <v>4.5</v>
      </c>
      <c r="R296" s="498">
        <v>6.4</v>
      </c>
      <c r="S296" s="498">
        <v>10000</v>
      </c>
      <c r="T296" s="498">
        <v>1.8</v>
      </c>
    </row>
    <row r="297" spans="16:20" s="497" customFormat="1" ht="15">
      <c r="P297" s="447"/>
      <c r="Q297" s="498">
        <v>4.5</v>
      </c>
      <c r="R297" s="498">
        <v>100</v>
      </c>
      <c r="S297" s="498">
        <v>0</v>
      </c>
      <c r="T297" s="498">
        <v>3.3</v>
      </c>
    </row>
    <row r="298" spans="16:20" s="497" customFormat="1" ht="15">
      <c r="P298" s="447"/>
      <c r="Q298" s="498">
        <v>4.5</v>
      </c>
      <c r="R298" s="498">
        <v>100</v>
      </c>
      <c r="S298" s="498">
        <v>300</v>
      </c>
      <c r="T298" s="498">
        <v>3.3</v>
      </c>
    </row>
    <row r="299" spans="16:20" s="497" customFormat="1" ht="15">
      <c r="P299" s="447"/>
      <c r="Q299" s="498">
        <v>4.5</v>
      </c>
      <c r="R299" s="498">
        <v>100</v>
      </c>
      <c r="S299" s="498">
        <v>300.01</v>
      </c>
      <c r="T299" s="498">
        <v>2.1</v>
      </c>
    </row>
    <row r="300" spans="16:20" s="497" customFormat="1" ht="15">
      <c r="P300" s="447"/>
      <c r="Q300" s="498">
        <v>4.5</v>
      </c>
      <c r="R300" s="498">
        <v>100</v>
      </c>
      <c r="S300" s="498">
        <v>600</v>
      </c>
      <c r="T300" s="498">
        <v>2.1</v>
      </c>
    </row>
    <row r="301" spans="16:20" s="497" customFormat="1" ht="15">
      <c r="P301" s="447"/>
      <c r="Q301" s="498">
        <v>4.5</v>
      </c>
      <c r="R301" s="498">
        <v>100</v>
      </c>
      <c r="S301" s="498">
        <v>600.01</v>
      </c>
      <c r="T301" s="498">
        <v>1.8</v>
      </c>
    </row>
    <row r="302" spans="16:20" s="497" customFormat="1" ht="15">
      <c r="P302" s="447"/>
      <c r="Q302" s="498">
        <v>4.5</v>
      </c>
      <c r="R302" s="498">
        <v>100</v>
      </c>
      <c r="S302" s="498">
        <v>10000</v>
      </c>
      <c r="T302" s="498">
        <v>1.8</v>
      </c>
    </row>
    <row r="303" spans="16:20" s="497" customFormat="1" ht="15">
      <c r="P303" s="447"/>
      <c r="Q303" s="498">
        <v>5.49</v>
      </c>
      <c r="R303" s="498">
        <v>0</v>
      </c>
      <c r="S303" s="498">
        <v>0</v>
      </c>
      <c r="T303" s="498">
        <v>1</v>
      </c>
    </row>
    <row r="304" spans="16:20" s="497" customFormat="1" ht="15">
      <c r="P304" s="447"/>
      <c r="Q304" s="498">
        <v>5.49</v>
      </c>
      <c r="R304" s="498">
        <v>0</v>
      </c>
      <c r="S304" s="498">
        <v>300</v>
      </c>
      <c r="T304" s="498">
        <v>1</v>
      </c>
    </row>
    <row r="305" spans="16:20" s="497" customFormat="1" ht="15">
      <c r="P305" s="447"/>
      <c r="Q305" s="498">
        <v>5.49</v>
      </c>
      <c r="R305" s="498">
        <v>0</v>
      </c>
      <c r="S305" s="498">
        <v>300.01</v>
      </c>
      <c r="T305" s="498">
        <v>1</v>
      </c>
    </row>
    <row r="306" spans="16:20" s="497" customFormat="1" ht="15">
      <c r="P306" s="447"/>
      <c r="Q306" s="498">
        <v>5.49</v>
      </c>
      <c r="R306" s="498">
        <v>0</v>
      </c>
      <c r="S306" s="498">
        <v>600</v>
      </c>
      <c r="T306" s="498">
        <v>1</v>
      </c>
    </row>
    <row r="307" spans="16:20" s="497" customFormat="1" ht="15">
      <c r="P307" s="447"/>
      <c r="Q307" s="498">
        <v>5.49</v>
      </c>
      <c r="R307" s="498">
        <v>0</v>
      </c>
      <c r="S307" s="498">
        <v>600.01</v>
      </c>
      <c r="T307" s="498">
        <v>1</v>
      </c>
    </row>
    <row r="308" spans="16:20" s="497" customFormat="1" ht="15">
      <c r="P308" s="447"/>
      <c r="Q308" s="498">
        <v>5.49</v>
      </c>
      <c r="R308" s="498">
        <v>0</v>
      </c>
      <c r="S308" s="498">
        <v>10000</v>
      </c>
      <c r="T308" s="498">
        <v>1</v>
      </c>
    </row>
    <row r="309" spans="16:20" s="497" customFormat="1" ht="15">
      <c r="P309" s="447"/>
      <c r="Q309" s="473">
        <v>5.49</v>
      </c>
      <c r="R309" s="473">
        <v>0.4</v>
      </c>
      <c r="S309" s="473">
        <v>0</v>
      </c>
      <c r="T309" s="473">
        <v>1</v>
      </c>
    </row>
    <row r="310" spans="16:20" s="497" customFormat="1" ht="15">
      <c r="P310" s="447"/>
      <c r="Q310" s="473">
        <v>5.49</v>
      </c>
      <c r="R310" s="473">
        <v>0.4</v>
      </c>
      <c r="S310" s="473">
        <v>300</v>
      </c>
      <c r="T310" s="473">
        <v>1</v>
      </c>
    </row>
    <row r="311" spans="16:20" s="497" customFormat="1" ht="15">
      <c r="P311" s="447"/>
      <c r="Q311" s="473">
        <v>5.49</v>
      </c>
      <c r="R311" s="473">
        <v>0.4</v>
      </c>
      <c r="S311" s="473">
        <v>300.01</v>
      </c>
      <c r="T311" s="473">
        <v>1</v>
      </c>
    </row>
    <row r="312" spans="16:20" s="497" customFormat="1" ht="15">
      <c r="P312" s="447"/>
      <c r="Q312" s="473">
        <v>5.49</v>
      </c>
      <c r="R312" s="473">
        <v>0.4</v>
      </c>
      <c r="S312" s="473">
        <v>600</v>
      </c>
      <c r="T312" s="473">
        <v>1</v>
      </c>
    </row>
    <row r="313" spans="16:20" s="497" customFormat="1" ht="15">
      <c r="P313" s="447"/>
      <c r="Q313" s="473">
        <v>5.49</v>
      </c>
      <c r="R313" s="473">
        <v>0.4</v>
      </c>
      <c r="S313" s="473">
        <v>600.01</v>
      </c>
      <c r="T313" s="473">
        <v>1</v>
      </c>
    </row>
    <row r="314" spans="16:20" s="497" customFormat="1" ht="15">
      <c r="P314" s="447"/>
      <c r="Q314" s="473">
        <v>5.49</v>
      </c>
      <c r="R314" s="473">
        <v>0.4</v>
      </c>
      <c r="S314" s="473">
        <v>10000</v>
      </c>
      <c r="T314" s="473">
        <v>1</v>
      </c>
    </row>
    <row r="315" spans="16:20" s="497" customFormat="1" ht="15">
      <c r="P315" s="447"/>
      <c r="Q315" s="473">
        <v>5.49</v>
      </c>
      <c r="R315" s="473">
        <v>0.8</v>
      </c>
      <c r="S315" s="473">
        <v>0</v>
      </c>
      <c r="T315" s="473">
        <v>1</v>
      </c>
    </row>
    <row r="316" spans="16:20" s="497" customFormat="1" ht="15">
      <c r="P316" s="447"/>
      <c r="Q316" s="473">
        <v>5.49</v>
      </c>
      <c r="R316" s="473">
        <v>0.8</v>
      </c>
      <c r="S316" s="473">
        <v>300</v>
      </c>
      <c r="T316" s="473">
        <v>1</v>
      </c>
    </row>
    <row r="317" spans="16:20" s="497" customFormat="1" ht="15">
      <c r="P317" s="447"/>
      <c r="Q317" s="473">
        <v>5.49</v>
      </c>
      <c r="R317" s="473">
        <v>0.8</v>
      </c>
      <c r="S317" s="473">
        <v>300.01</v>
      </c>
      <c r="T317" s="473">
        <v>1</v>
      </c>
    </row>
    <row r="318" spans="16:20" s="497" customFormat="1" ht="15">
      <c r="P318" s="447"/>
      <c r="Q318" s="473">
        <v>5.49</v>
      </c>
      <c r="R318" s="473">
        <v>0.8</v>
      </c>
      <c r="S318" s="473">
        <v>600</v>
      </c>
      <c r="T318" s="473">
        <v>1</v>
      </c>
    </row>
    <row r="319" spans="16:20" s="497" customFormat="1" ht="15">
      <c r="P319" s="447"/>
      <c r="Q319" s="473">
        <v>5.49</v>
      </c>
      <c r="R319" s="473">
        <v>0.8</v>
      </c>
      <c r="S319" s="473">
        <v>600.01</v>
      </c>
      <c r="T319" s="473">
        <v>1</v>
      </c>
    </row>
    <row r="320" spans="16:20" s="497" customFormat="1" ht="15">
      <c r="P320" s="447"/>
      <c r="Q320" s="473">
        <v>5.49</v>
      </c>
      <c r="R320" s="473">
        <v>0.8</v>
      </c>
      <c r="S320" s="473">
        <v>10000</v>
      </c>
      <c r="T320" s="473">
        <v>1</v>
      </c>
    </row>
    <row r="321" spans="16:20" ht="15">
      <c r="P321" s="447"/>
      <c r="Q321" s="473">
        <v>5.49</v>
      </c>
      <c r="R321" s="473">
        <v>1.2</v>
      </c>
      <c r="S321" s="473">
        <v>0</v>
      </c>
      <c r="T321" s="473">
        <v>1</v>
      </c>
    </row>
    <row r="322" spans="16:20" ht="15">
      <c r="P322" s="447"/>
      <c r="Q322" s="473">
        <v>5.49</v>
      </c>
      <c r="R322" s="473">
        <v>1.2</v>
      </c>
      <c r="S322" s="473">
        <v>300</v>
      </c>
      <c r="T322" s="473">
        <v>1</v>
      </c>
    </row>
    <row r="323" spans="16:20" ht="15">
      <c r="P323" s="447"/>
      <c r="Q323" s="473">
        <v>5.49</v>
      </c>
      <c r="R323" s="473">
        <v>1.2</v>
      </c>
      <c r="S323" s="473">
        <v>300.01</v>
      </c>
      <c r="T323" s="473">
        <v>1</v>
      </c>
    </row>
    <row r="324" spans="16:20" ht="15">
      <c r="P324" s="447"/>
      <c r="Q324" s="473">
        <v>5.49</v>
      </c>
      <c r="R324" s="473">
        <v>1.2</v>
      </c>
      <c r="S324" s="473">
        <v>600</v>
      </c>
      <c r="T324" s="473">
        <v>1</v>
      </c>
    </row>
    <row r="325" spans="16:20" ht="15">
      <c r="P325" s="447"/>
      <c r="Q325" s="473">
        <v>5.49</v>
      </c>
      <c r="R325" s="473">
        <v>1.2</v>
      </c>
      <c r="S325" s="473">
        <v>600.01</v>
      </c>
      <c r="T325" s="473">
        <v>1</v>
      </c>
    </row>
    <row r="326" spans="16:20" ht="15">
      <c r="P326" s="447"/>
      <c r="Q326" s="473">
        <v>5.49</v>
      </c>
      <c r="R326" s="473">
        <v>1.2</v>
      </c>
      <c r="S326" s="473">
        <v>10000</v>
      </c>
      <c r="T326" s="473">
        <v>1</v>
      </c>
    </row>
    <row r="327" spans="16:20" ht="15">
      <c r="P327" s="447"/>
      <c r="Q327" s="473">
        <v>5.49</v>
      </c>
      <c r="R327" s="473">
        <v>1.6</v>
      </c>
      <c r="S327" s="473">
        <v>0</v>
      </c>
      <c r="T327" s="473">
        <v>1</v>
      </c>
    </row>
    <row r="328" spans="16:20" ht="15">
      <c r="P328" s="447"/>
      <c r="Q328" s="473">
        <v>5.49</v>
      </c>
      <c r="R328" s="473">
        <v>1.6</v>
      </c>
      <c r="S328" s="473">
        <v>300</v>
      </c>
      <c r="T328" s="473">
        <v>1</v>
      </c>
    </row>
    <row r="329" spans="16:20" ht="15">
      <c r="P329" s="447"/>
      <c r="Q329" s="473">
        <v>5.49</v>
      </c>
      <c r="R329" s="473">
        <v>1.6</v>
      </c>
      <c r="S329" s="473">
        <v>300.01</v>
      </c>
      <c r="T329" s="473">
        <v>1</v>
      </c>
    </row>
    <row r="330" spans="16:20" ht="15">
      <c r="P330" s="447"/>
      <c r="Q330" s="473">
        <v>5.49</v>
      </c>
      <c r="R330" s="473">
        <v>1.6</v>
      </c>
      <c r="S330" s="473">
        <v>600</v>
      </c>
      <c r="T330" s="473">
        <v>1</v>
      </c>
    </row>
    <row r="331" spans="16:20" ht="15">
      <c r="P331" s="447"/>
      <c r="Q331" s="473">
        <v>5.49</v>
      </c>
      <c r="R331" s="473">
        <v>1.6</v>
      </c>
      <c r="S331" s="473">
        <v>600.01</v>
      </c>
      <c r="T331" s="473">
        <v>1</v>
      </c>
    </row>
    <row r="332" spans="16:20" ht="15">
      <c r="P332" s="447"/>
      <c r="Q332" s="473">
        <v>5.49</v>
      </c>
      <c r="R332" s="473">
        <v>1.6</v>
      </c>
      <c r="S332" s="473">
        <v>10000</v>
      </c>
      <c r="T332" s="473">
        <v>1</v>
      </c>
    </row>
    <row r="333" spans="16:20" ht="15">
      <c r="P333" s="447"/>
      <c r="Q333" s="473">
        <v>5.49</v>
      </c>
      <c r="R333" s="473">
        <v>2.4</v>
      </c>
      <c r="S333" s="473">
        <v>0</v>
      </c>
      <c r="T333" s="473">
        <v>1.1000000000000001</v>
      </c>
    </row>
    <row r="334" spans="16:20" ht="15">
      <c r="P334" s="447"/>
      <c r="Q334" s="473">
        <v>5.49</v>
      </c>
      <c r="R334" s="473">
        <v>2.4</v>
      </c>
      <c r="S334" s="473">
        <v>300</v>
      </c>
      <c r="T334" s="473">
        <v>1.1000000000000001</v>
      </c>
    </row>
    <row r="335" spans="16:20" ht="15">
      <c r="P335" s="447"/>
      <c r="Q335" s="473">
        <v>5.49</v>
      </c>
      <c r="R335" s="473">
        <v>2.4</v>
      </c>
      <c r="S335" s="473">
        <v>300.01</v>
      </c>
      <c r="T335" s="473">
        <v>1.2</v>
      </c>
    </row>
    <row r="336" spans="16:20" ht="15">
      <c r="P336" s="447"/>
      <c r="Q336" s="473">
        <v>5.49</v>
      </c>
      <c r="R336" s="473">
        <v>2.4</v>
      </c>
      <c r="S336" s="473">
        <v>600</v>
      </c>
      <c r="T336" s="473">
        <v>1.2</v>
      </c>
    </row>
    <row r="337" spans="16:20" ht="15">
      <c r="P337" s="447"/>
      <c r="Q337" s="473">
        <v>5.49</v>
      </c>
      <c r="R337" s="473">
        <v>2.4</v>
      </c>
      <c r="S337" s="473">
        <v>600.01</v>
      </c>
      <c r="T337" s="473">
        <v>1.2</v>
      </c>
    </row>
    <row r="338" spans="16:20" ht="15">
      <c r="P338" s="447"/>
      <c r="Q338" s="473">
        <v>5.49</v>
      </c>
      <c r="R338" s="473">
        <v>2.4</v>
      </c>
      <c r="S338" s="473">
        <v>10000</v>
      </c>
      <c r="T338" s="473">
        <v>1.2</v>
      </c>
    </row>
    <row r="339" spans="16:20" ht="15">
      <c r="P339" s="447"/>
      <c r="Q339" s="473">
        <v>5.49</v>
      </c>
      <c r="R339" s="473">
        <v>3.2</v>
      </c>
      <c r="S339" s="473">
        <v>0</v>
      </c>
      <c r="T339" s="473">
        <v>1.6</v>
      </c>
    </row>
    <row r="340" spans="16:20" ht="15">
      <c r="P340" s="447"/>
      <c r="Q340" s="473">
        <v>5.49</v>
      </c>
      <c r="R340" s="473">
        <v>3.2</v>
      </c>
      <c r="S340" s="473">
        <v>300</v>
      </c>
      <c r="T340" s="473">
        <v>1.6</v>
      </c>
    </row>
    <row r="341" spans="16:20" ht="15">
      <c r="P341" s="447"/>
      <c r="Q341" s="473">
        <v>5.49</v>
      </c>
      <c r="R341" s="473">
        <v>3.2</v>
      </c>
      <c r="S341" s="473">
        <v>300.01</v>
      </c>
      <c r="T341" s="473">
        <v>1.3</v>
      </c>
    </row>
    <row r="342" spans="16:20" ht="15">
      <c r="P342" s="447"/>
      <c r="Q342" s="473">
        <v>5.49</v>
      </c>
      <c r="R342" s="473">
        <v>3.2</v>
      </c>
      <c r="S342" s="473">
        <v>600</v>
      </c>
      <c r="T342" s="473">
        <v>1.3</v>
      </c>
    </row>
    <row r="343" spans="16:20" ht="15">
      <c r="P343" s="447"/>
      <c r="Q343" s="473">
        <v>5.49</v>
      </c>
      <c r="R343" s="473">
        <v>3.2</v>
      </c>
      <c r="S343" s="473">
        <v>600.01</v>
      </c>
      <c r="T343" s="473">
        <v>1.5</v>
      </c>
    </row>
    <row r="344" spans="16:20" ht="15">
      <c r="P344" s="447"/>
      <c r="Q344" s="473">
        <v>5.49</v>
      </c>
      <c r="R344" s="473">
        <v>3.2</v>
      </c>
      <c r="S344" s="473">
        <v>10000</v>
      </c>
      <c r="T344" s="473">
        <v>1.5</v>
      </c>
    </row>
    <row r="345" spans="16:20" ht="15">
      <c r="P345" s="447"/>
      <c r="Q345" s="473">
        <v>5.49</v>
      </c>
      <c r="R345" s="473">
        <v>4.8</v>
      </c>
      <c r="S345" s="473">
        <v>0</v>
      </c>
      <c r="T345" s="473">
        <v>2.2999999999999998</v>
      </c>
    </row>
    <row r="346" spans="16:20" ht="15">
      <c r="P346" s="447"/>
      <c r="Q346" s="473">
        <v>5.49</v>
      </c>
      <c r="R346" s="473">
        <v>4.8</v>
      </c>
      <c r="S346" s="473">
        <v>300</v>
      </c>
      <c r="T346" s="473">
        <v>2.2999999999999998</v>
      </c>
    </row>
    <row r="347" spans="16:20" ht="15">
      <c r="P347" s="447"/>
      <c r="Q347" s="473">
        <v>5.49</v>
      </c>
      <c r="R347" s="473">
        <v>4.8</v>
      </c>
      <c r="S347" s="473">
        <v>300.01</v>
      </c>
      <c r="T347" s="473">
        <v>1.9</v>
      </c>
    </row>
    <row r="348" spans="16:20" ht="15">
      <c r="P348" s="447"/>
      <c r="Q348" s="473">
        <v>5.49</v>
      </c>
      <c r="R348" s="473">
        <v>4.8</v>
      </c>
      <c r="S348" s="473">
        <v>600</v>
      </c>
      <c r="T348" s="473">
        <v>1.9</v>
      </c>
    </row>
    <row r="349" spans="16:20" ht="15">
      <c r="P349" s="447"/>
      <c r="Q349" s="473">
        <v>5.49</v>
      </c>
      <c r="R349" s="473">
        <v>4.8</v>
      </c>
      <c r="S349" s="473">
        <v>600.01</v>
      </c>
      <c r="T349" s="473">
        <v>1.7</v>
      </c>
    </row>
    <row r="350" spans="16:20" ht="15">
      <c r="P350" s="447"/>
      <c r="Q350" s="473">
        <v>5.49</v>
      </c>
      <c r="R350" s="473">
        <v>4.8</v>
      </c>
      <c r="S350" s="473">
        <v>10000</v>
      </c>
      <c r="T350" s="473">
        <v>1.7</v>
      </c>
    </row>
    <row r="351" spans="16:20" ht="15">
      <c r="P351" s="447"/>
      <c r="Q351" s="473">
        <v>5.49</v>
      </c>
      <c r="R351" s="473">
        <v>6.4</v>
      </c>
      <c r="S351" s="473">
        <v>0</v>
      </c>
      <c r="T351" s="473">
        <v>3.3</v>
      </c>
    </row>
    <row r="352" spans="16:20" ht="15">
      <c r="P352" s="447"/>
      <c r="Q352" s="473">
        <v>5.49</v>
      </c>
      <c r="R352" s="473">
        <v>6.4</v>
      </c>
      <c r="S352" s="473">
        <v>300</v>
      </c>
      <c r="T352" s="473">
        <v>3.3</v>
      </c>
    </row>
    <row r="353" spans="16:20" ht="15">
      <c r="P353" s="447"/>
      <c r="Q353" s="473">
        <v>5.49</v>
      </c>
      <c r="R353" s="473">
        <v>6.4</v>
      </c>
      <c r="S353" s="473">
        <v>300.01</v>
      </c>
      <c r="T353" s="473">
        <v>2.1</v>
      </c>
    </row>
    <row r="354" spans="16:20" ht="15">
      <c r="P354" s="447"/>
      <c r="Q354" s="473">
        <v>5.49</v>
      </c>
      <c r="R354" s="473">
        <v>6.4</v>
      </c>
      <c r="S354" s="473">
        <v>600</v>
      </c>
      <c r="T354" s="473">
        <v>2.1</v>
      </c>
    </row>
    <row r="355" spans="16:20" ht="15">
      <c r="P355" s="447"/>
      <c r="Q355" s="473">
        <v>5.49</v>
      </c>
      <c r="R355" s="473">
        <v>6.4</v>
      </c>
      <c r="S355" s="473">
        <v>600.01</v>
      </c>
      <c r="T355" s="473">
        <v>1.8</v>
      </c>
    </row>
    <row r="356" spans="16:20" ht="15">
      <c r="P356" s="447"/>
      <c r="Q356" s="473">
        <v>5.49</v>
      </c>
      <c r="R356" s="473">
        <v>6.4</v>
      </c>
      <c r="S356" s="473">
        <v>10000</v>
      </c>
      <c r="T356" s="473">
        <v>1.8</v>
      </c>
    </row>
    <row r="357" spans="16:20" ht="15">
      <c r="P357" s="447"/>
      <c r="Q357" s="473">
        <v>5.49</v>
      </c>
      <c r="R357" s="473">
        <v>100</v>
      </c>
      <c r="S357" s="473">
        <v>0</v>
      </c>
      <c r="T357" s="473">
        <v>3.3</v>
      </c>
    </row>
    <row r="358" spans="16:20" ht="15">
      <c r="P358" s="447"/>
      <c r="Q358" s="473">
        <v>5.49</v>
      </c>
      <c r="R358" s="473">
        <v>100</v>
      </c>
      <c r="S358" s="473">
        <v>300</v>
      </c>
      <c r="T358" s="473">
        <v>3.3</v>
      </c>
    </row>
    <row r="359" spans="16:20" ht="15">
      <c r="P359" s="447"/>
      <c r="Q359" s="473">
        <v>5.49</v>
      </c>
      <c r="R359" s="473">
        <v>100</v>
      </c>
      <c r="S359" s="473">
        <v>300.01</v>
      </c>
      <c r="T359" s="473">
        <v>2.1</v>
      </c>
    </row>
    <row r="360" spans="16:20" ht="15">
      <c r="P360" s="447"/>
      <c r="Q360" s="473">
        <v>5.49</v>
      </c>
      <c r="R360" s="473">
        <v>100</v>
      </c>
      <c r="S360" s="473">
        <v>600</v>
      </c>
      <c r="T360" s="473">
        <v>2.1</v>
      </c>
    </row>
    <row r="361" spans="16:20" ht="15">
      <c r="P361" s="447"/>
      <c r="Q361" s="473">
        <v>5.49</v>
      </c>
      <c r="R361" s="473">
        <v>100</v>
      </c>
      <c r="S361" s="473">
        <v>600.01</v>
      </c>
      <c r="T361" s="473">
        <v>1.8</v>
      </c>
    </row>
    <row r="362" spans="16:20" ht="15">
      <c r="P362" s="447"/>
      <c r="Q362" s="473">
        <v>5.49</v>
      </c>
      <c r="R362" s="473">
        <v>100</v>
      </c>
      <c r="S362" s="473">
        <v>10000</v>
      </c>
      <c r="T362" s="473">
        <v>1.8</v>
      </c>
    </row>
    <row r="363" spans="16:20" ht="15">
      <c r="P363" s="447"/>
      <c r="Q363" s="473">
        <v>5.5</v>
      </c>
      <c r="R363" s="473">
        <v>0</v>
      </c>
      <c r="S363" s="473">
        <v>0</v>
      </c>
      <c r="T363" s="473">
        <v>1</v>
      </c>
    </row>
    <row r="364" spans="16:20" ht="15">
      <c r="P364" s="447"/>
      <c r="Q364" s="473">
        <v>5.5</v>
      </c>
      <c r="R364" s="473">
        <v>0</v>
      </c>
      <c r="S364" s="473">
        <v>300</v>
      </c>
      <c r="T364" s="473">
        <v>1</v>
      </c>
    </row>
    <row r="365" spans="16:20" ht="15">
      <c r="P365" s="447"/>
      <c r="Q365" s="473">
        <v>5.5</v>
      </c>
      <c r="R365" s="473">
        <v>0</v>
      </c>
      <c r="S365" s="473">
        <v>300.01</v>
      </c>
      <c r="T365" s="473">
        <v>1</v>
      </c>
    </row>
    <row r="366" spans="16:20" ht="15">
      <c r="P366" s="447"/>
      <c r="Q366" s="473">
        <v>5.5</v>
      </c>
      <c r="R366" s="473">
        <v>0</v>
      </c>
      <c r="S366" s="473">
        <v>600</v>
      </c>
      <c r="T366" s="473">
        <v>1</v>
      </c>
    </row>
    <row r="367" spans="16:20" ht="15">
      <c r="P367" s="447"/>
      <c r="Q367" s="473">
        <v>5.5</v>
      </c>
      <c r="R367" s="473">
        <v>0</v>
      </c>
      <c r="S367" s="473">
        <v>600.01</v>
      </c>
      <c r="T367" s="473">
        <v>1</v>
      </c>
    </row>
    <row r="368" spans="16:20" ht="15">
      <c r="P368" s="447"/>
      <c r="Q368" s="473">
        <v>5.5</v>
      </c>
      <c r="R368" s="473">
        <v>0</v>
      </c>
      <c r="S368" s="473">
        <v>10000</v>
      </c>
      <c r="T368" s="473">
        <v>1</v>
      </c>
    </row>
    <row r="369" spans="16:20" ht="15">
      <c r="P369" s="447"/>
      <c r="Q369" s="473">
        <v>5.5</v>
      </c>
      <c r="R369" s="473">
        <v>0.4</v>
      </c>
      <c r="S369" s="473">
        <v>0</v>
      </c>
      <c r="T369" s="473">
        <v>1</v>
      </c>
    </row>
    <row r="370" spans="16:20" ht="15">
      <c r="P370" s="447"/>
      <c r="Q370" s="473">
        <v>5.5</v>
      </c>
      <c r="R370" s="473">
        <v>0.4</v>
      </c>
      <c r="S370" s="473">
        <v>300</v>
      </c>
      <c r="T370" s="473">
        <v>1</v>
      </c>
    </row>
    <row r="371" spans="16:20" ht="15">
      <c r="P371" s="447"/>
      <c r="Q371" s="473">
        <v>5.5</v>
      </c>
      <c r="R371" s="473">
        <v>0.4</v>
      </c>
      <c r="S371" s="473">
        <v>300.01</v>
      </c>
      <c r="T371" s="473">
        <v>1</v>
      </c>
    </row>
    <row r="372" spans="16:20" ht="15">
      <c r="P372" s="447"/>
      <c r="Q372" s="473">
        <v>5.5</v>
      </c>
      <c r="R372" s="473">
        <v>0.4</v>
      </c>
      <c r="S372" s="473">
        <v>600</v>
      </c>
      <c r="T372" s="473">
        <v>1</v>
      </c>
    </row>
    <row r="373" spans="16:20" ht="15">
      <c r="P373" s="447"/>
      <c r="Q373" s="473">
        <v>5.5</v>
      </c>
      <c r="R373" s="473">
        <v>0.4</v>
      </c>
      <c r="S373" s="473">
        <v>600.01</v>
      </c>
      <c r="T373" s="473">
        <v>1</v>
      </c>
    </row>
    <row r="374" spans="16:20" ht="15">
      <c r="P374" s="447"/>
      <c r="Q374" s="473">
        <v>5.5</v>
      </c>
      <c r="R374" s="473">
        <v>0.4</v>
      </c>
      <c r="S374" s="473">
        <v>10000</v>
      </c>
      <c r="T374" s="473">
        <v>1</v>
      </c>
    </row>
    <row r="375" spans="16:20" ht="15">
      <c r="P375" s="447"/>
      <c r="Q375" s="473">
        <v>5.5</v>
      </c>
      <c r="R375" s="473">
        <v>0.8</v>
      </c>
      <c r="S375" s="473">
        <v>0</v>
      </c>
      <c r="T375" s="473">
        <v>1</v>
      </c>
    </row>
    <row r="376" spans="16:20" ht="15">
      <c r="P376" s="447"/>
      <c r="Q376" s="473">
        <v>5.5</v>
      </c>
      <c r="R376" s="473">
        <v>0.8</v>
      </c>
      <c r="S376" s="473">
        <v>300</v>
      </c>
      <c r="T376" s="473">
        <v>1</v>
      </c>
    </row>
    <row r="377" spans="16:20" ht="15">
      <c r="P377" s="447"/>
      <c r="Q377" s="473">
        <v>5.5</v>
      </c>
      <c r="R377" s="473">
        <v>0.8</v>
      </c>
      <c r="S377" s="473">
        <v>300.01</v>
      </c>
      <c r="T377" s="473">
        <v>1</v>
      </c>
    </row>
    <row r="378" spans="16:20" ht="15">
      <c r="P378" s="447"/>
      <c r="Q378" s="473">
        <v>5.5</v>
      </c>
      <c r="R378" s="473">
        <v>0.8</v>
      </c>
      <c r="S378" s="473">
        <v>600</v>
      </c>
      <c r="T378" s="473">
        <v>1</v>
      </c>
    </row>
    <row r="379" spans="16:20" ht="15">
      <c r="P379" s="447"/>
      <c r="Q379" s="473">
        <v>5.5</v>
      </c>
      <c r="R379" s="473">
        <v>0.8</v>
      </c>
      <c r="S379" s="473">
        <v>600.01</v>
      </c>
      <c r="T379" s="473">
        <v>1</v>
      </c>
    </row>
    <row r="380" spans="16:20" ht="15">
      <c r="P380" s="447"/>
      <c r="Q380" s="473">
        <v>5.5</v>
      </c>
      <c r="R380" s="473">
        <v>0.8</v>
      </c>
      <c r="S380" s="473">
        <v>10000</v>
      </c>
      <c r="T380" s="473">
        <v>1</v>
      </c>
    </row>
    <row r="381" spans="16:20" ht="15">
      <c r="P381" s="447"/>
      <c r="Q381" s="473">
        <v>5.5</v>
      </c>
      <c r="R381" s="473">
        <v>1.2</v>
      </c>
      <c r="S381" s="473">
        <v>0</v>
      </c>
      <c r="T381" s="473">
        <v>1</v>
      </c>
    </row>
    <row r="382" spans="16:20" ht="15">
      <c r="P382" s="447"/>
      <c r="Q382" s="473">
        <v>5.5</v>
      </c>
      <c r="R382" s="473">
        <v>1.2</v>
      </c>
      <c r="S382" s="473">
        <v>300</v>
      </c>
      <c r="T382" s="473">
        <v>1</v>
      </c>
    </row>
    <row r="383" spans="16:20" ht="15">
      <c r="P383" s="447"/>
      <c r="Q383" s="473">
        <v>5.5</v>
      </c>
      <c r="R383" s="473">
        <v>1.2</v>
      </c>
      <c r="S383" s="473">
        <v>300.01</v>
      </c>
      <c r="T383" s="473">
        <v>1</v>
      </c>
    </row>
    <row r="384" spans="16:20" ht="15">
      <c r="P384" s="447"/>
      <c r="Q384" s="473">
        <v>5.5</v>
      </c>
      <c r="R384" s="473">
        <v>1.2</v>
      </c>
      <c r="S384" s="473">
        <v>600</v>
      </c>
      <c r="T384" s="473">
        <v>1</v>
      </c>
    </row>
    <row r="385" spans="16:20" ht="15">
      <c r="P385" s="447"/>
      <c r="Q385" s="473">
        <v>5.5</v>
      </c>
      <c r="R385" s="473">
        <v>1.2</v>
      </c>
      <c r="S385" s="473">
        <v>600.01</v>
      </c>
      <c r="T385" s="473">
        <v>1</v>
      </c>
    </row>
    <row r="386" spans="16:20" ht="15">
      <c r="P386" s="447"/>
      <c r="Q386" s="473">
        <v>5.5</v>
      </c>
      <c r="R386" s="473">
        <v>1.2</v>
      </c>
      <c r="S386" s="473">
        <v>10000</v>
      </c>
      <c r="T386" s="473">
        <v>1</v>
      </c>
    </row>
    <row r="387" spans="16:20" ht="15">
      <c r="P387" s="447"/>
      <c r="Q387" s="473">
        <v>5.5</v>
      </c>
      <c r="R387" s="473">
        <v>1.6</v>
      </c>
      <c r="S387" s="473">
        <v>0</v>
      </c>
      <c r="T387" s="473">
        <v>1</v>
      </c>
    </row>
    <row r="388" spans="16:20" ht="15">
      <c r="P388" s="447"/>
      <c r="Q388" s="473">
        <v>5.5</v>
      </c>
      <c r="R388" s="473">
        <v>1.6</v>
      </c>
      <c r="S388" s="473">
        <v>300</v>
      </c>
      <c r="T388" s="473">
        <v>1</v>
      </c>
    </row>
    <row r="389" spans="16:20" ht="15">
      <c r="P389" s="447"/>
      <c r="Q389" s="473">
        <v>5.5</v>
      </c>
      <c r="R389" s="473">
        <v>1.6</v>
      </c>
      <c r="S389" s="473">
        <v>300.01</v>
      </c>
      <c r="T389" s="473">
        <v>1.2</v>
      </c>
    </row>
    <row r="390" spans="16:20" ht="15">
      <c r="P390" s="447"/>
      <c r="Q390" s="473">
        <v>5.5</v>
      </c>
      <c r="R390" s="473">
        <v>1.6</v>
      </c>
      <c r="S390" s="473">
        <v>600</v>
      </c>
      <c r="T390" s="473">
        <v>1.2</v>
      </c>
    </row>
    <row r="391" spans="16:20" ht="15">
      <c r="P391" s="447"/>
      <c r="Q391" s="473">
        <v>5.5</v>
      </c>
      <c r="R391" s="473">
        <v>1.6</v>
      </c>
      <c r="S391" s="473">
        <v>600.01</v>
      </c>
      <c r="T391" s="473">
        <v>1.2</v>
      </c>
    </row>
    <row r="392" spans="16:20" ht="15">
      <c r="P392" s="447"/>
      <c r="Q392" s="473">
        <v>5.5</v>
      </c>
      <c r="R392" s="473">
        <v>1.6</v>
      </c>
      <c r="S392" s="473">
        <v>10000</v>
      </c>
      <c r="T392" s="473">
        <v>1.2</v>
      </c>
    </row>
    <row r="393" spans="16:20" ht="15">
      <c r="P393" s="447"/>
      <c r="Q393" s="473">
        <v>5.5</v>
      </c>
      <c r="R393" s="473">
        <v>2.4</v>
      </c>
      <c r="S393" s="473">
        <v>0</v>
      </c>
      <c r="T393" s="473">
        <v>1.5</v>
      </c>
    </row>
    <row r="394" spans="16:20" ht="15">
      <c r="P394" s="447"/>
      <c r="Q394" s="473">
        <v>5.5</v>
      </c>
      <c r="R394" s="473">
        <v>2.4</v>
      </c>
      <c r="S394" s="473">
        <v>300</v>
      </c>
      <c r="T394" s="473">
        <v>1.5</v>
      </c>
    </row>
    <row r="395" spans="16:20" ht="15">
      <c r="P395" s="447"/>
      <c r="Q395" s="473">
        <v>5.5</v>
      </c>
      <c r="R395" s="473">
        <v>2.4</v>
      </c>
      <c r="S395" s="473">
        <v>300.01</v>
      </c>
      <c r="T395" s="473">
        <v>1.6</v>
      </c>
    </row>
    <row r="396" spans="16:20" ht="15">
      <c r="P396" s="447"/>
      <c r="Q396" s="473">
        <v>5.5</v>
      </c>
      <c r="R396" s="473">
        <v>2.4</v>
      </c>
      <c r="S396" s="473">
        <v>600</v>
      </c>
      <c r="T396" s="473">
        <v>1.6</v>
      </c>
    </row>
    <row r="397" spans="16:20" ht="15">
      <c r="P397" s="447"/>
      <c r="Q397" s="473">
        <v>5.5</v>
      </c>
      <c r="R397" s="473">
        <v>2.4</v>
      </c>
      <c r="S397" s="473">
        <v>600.01</v>
      </c>
      <c r="T397" s="473">
        <v>1.6</v>
      </c>
    </row>
    <row r="398" spans="16:20" ht="15">
      <c r="P398" s="447"/>
      <c r="Q398" s="473">
        <v>5.5</v>
      </c>
      <c r="R398" s="473">
        <v>2.4</v>
      </c>
      <c r="S398" s="473">
        <v>10000</v>
      </c>
      <c r="T398" s="473">
        <v>1.6</v>
      </c>
    </row>
    <row r="399" spans="16:20" ht="15">
      <c r="P399" s="447"/>
      <c r="Q399" s="473">
        <v>5.5</v>
      </c>
      <c r="R399" s="473">
        <v>3.2</v>
      </c>
      <c r="S399" s="473">
        <v>0</v>
      </c>
      <c r="T399" s="473">
        <v>1.9</v>
      </c>
    </row>
    <row r="400" spans="16:20" ht="15">
      <c r="P400" s="447"/>
      <c r="Q400" s="473">
        <v>5.5</v>
      </c>
      <c r="R400" s="473">
        <v>3.2</v>
      </c>
      <c r="S400" s="473">
        <v>300</v>
      </c>
      <c r="T400" s="473">
        <v>1.9</v>
      </c>
    </row>
    <row r="401" spans="16:20" ht="15">
      <c r="P401" s="447"/>
      <c r="Q401" s="473">
        <v>5.5</v>
      </c>
      <c r="R401" s="473">
        <v>3.2</v>
      </c>
      <c r="S401" s="473">
        <v>300.01</v>
      </c>
      <c r="T401" s="473">
        <v>1.9</v>
      </c>
    </row>
    <row r="402" spans="16:20" ht="15">
      <c r="P402" s="447"/>
      <c r="Q402" s="473">
        <v>5.5</v>
      </c>
      <c r="R402" s="473">
        <v>3.2</v>
      </c>
      <c r="S402" s="473">
        <v>600</v>
      </c>
      <c r="T402" s="473">
        <v>1.9</v>
      </c>
    </row>
    <row r="403" spans="16:20" ht="15">
      <c r="P403" s="447"/>
      <c r="Q403" s="473">
        <v>5.5</v>
      </c>
      <c r="R403" s="473">
        <v>3.2</v>
      </c>
      <c r="S403" s="473">
        <v>600.01</v>
      </c>
      <c r="T403" s="473">
        <v>1.8</v>
      </c>
    </row>
    <row r="404" spans="16:20" ht="15">
      <c r="P404" s="447"/>
      <c r="Q404" s="473">
        <v>5.5</v>
      </c>
      <c r="R404" s="473">
        <v>3.2</v>
      </c>
      <c r="S404" s="473">
        <v>10000</v>
      </c>
      <c r="T404" s="473">
        <v>1.8</v>
      </c>
    </row>
    <row r="405" spans="16:20" ht="15">
      <c r="P405" s="447"/>
      <c r="Q405" s="473">
        <v>5.5</v>
      </c>
      <c r="R405" s="473">
        <v>4.8</v>
      </c>
      <c r="S405" s="473">
        <v>0</v>
      </c>
      <c r="T405" s="473">
        <v>3.3</v>
      </c>
    </row>
    <row r="406" spans="16:20" ht="15">
      <c r="P406" s="447"/>
      <c r="Q406" s="473">
        <v>5.5</v>
      </c>
      <c r="R406" s="473">
        <v>4.8</v>
      </c>
      <c r="S406" s="473">
        <v>300</v>
      </c>
      <c r="T406" s="473">
        <v>3.3</v>
      </c>
    </row>
    <row r="407" spans="16:20" ht="15">
      <c r="P407" s="447"/>
      <c r="Q407" s="473">
        <v>5.5</v>
      </c>
      <c r="R407" s="473">
        <v>4.8</v>
      </c>
      <c r="S407" s="473">
        <v>300.01</v>
      </c>
      <c r="T407" s="473">
        <v>2.5</v>
      </c>
    </row>
    <row r="408" spans="16:20" ht="15">
      <c r="P408" s="447"/>
      <c r="Q408" s="473">
        <v>5.5</v>
      </c>
      <c r="R408" s="473">
        <v>4.8</v>
      </c>
      <c r="S408" s="473">
        <v>600</v>
      </c>
      <c r="T408" s="473">
        <v>2.5</v>
      </c>
    </row>
    <row r="409" spans="16:20" ht="15">
      <c r="P409" s="447"/>
      <c r="Q409" s="473">
        <v>5.5</v>
      </c>
      <c r="R409" s="473">
        <v>4.8</v>
      </c>
      <c r="S409" s="473">
        <v>600.01</v>
      </c>
      <c r="T409" s="473">
        <v>2</v>
      </c>
    </row>
    <row r="410" spans="16:20" ht="15">
      <c r="P410" s="447"/>
      <c r="Q410" s="473">
        <v>5.5</v>
      </c>
      <c r="R410" s="473">
        <v>4.8</v>
      </c>
      <c r="S410" s="473">
        <v>10000</v>
      </c>
      <c r="T410" s="473">
        <v>2</v>
      </c>
    </row>
    <row r="411" spans="16:20" ht="15">
      <c r="P411" s="447"/>
      <c r="Q411" s="473">
        <v>5.5</v>
      </c>
      <c r="R411" s="473">
        <v>6.4</v>
      </c>
      <c r="S411" s="473">
        <v>0</v>
      </c>
      <c r="T411" s="473">
        <v>4.3</v>
      </c>
    </row>
    <row r="412" spans="16:20" ht="15">
      <c r="P412" s="447"/>
      <c r="Q412" s="473">
        <v>5.5</v>
      </c>
      <c r="R412" s="473">
        <v>6.4</v>
      </c>
      <c r="S412" s="473">
        <v>300</v>
      </c>
      <c r="T412" s="473">
        <v>4.3</v>
      </c>
    </row>
    <row r="413" spans="16:20" ht="15">
      <c r="P413" s="447"/>
      <c r="Q413" s="473">
        <v>5.5</v>
      </c>
      <c r="R413" s="473">
        <v>6.4</v>
      </c>
      <c r="S413" s="473">
        <v>300.01</v>
      </c>
      <c r="T413" s="473">
        <v>3.1</v>
      </c>
    </row>
    <row r="414" spans="16:20" ht="15">
      <c r="P414" s="447"/>
      <c r="Q414" s="473">
        <v>5.5</v>
      </c>
      <c r="R414" s="473">
        <v>6.4</v>
      </c>
      <c r="S414" s="473">
        <v>600</v>
      </c>
      <c r="T414" s="473">
        <v>3.1</v>
      </c>
    </row>
    <row r="415" spans="16:20" ht="15">
      <c r="P415" s="447"/>
      <c r="Q415" s="473">
        <v>5.5</v>
      </c>
      <c r="R415" s="473">
        <v>6.4</v>
      </c>
      <c r="S415" s="473">
        <v>600.01</v>
      </c>
      <c r="T415" s="473">
        <v>2</v>
      </c>
    </row>
    <row r="416" spans="16:20" ht="15">
      <c r="P416" s="447"/>
      <c r="Q416" s="473">
        <v>5.5</v>
      </c>
      <c r="R416" s="473">
        <v>6.4</v>
      </c>
      <c r="S416" s="473">
        <v>10000</v>
      </c>
      <c r="T416" s="473">
        <v>2</v>
      </c>
    </row>
    <row r="417" spans="16:20" ht="15">
      <c r="P417" s="447"/>
      <c r="Q417" s="473">
        <v>5.5</v>
      </c>
      <c r="R417" s="473">
        <v>100</v>
      </c>
      <c r="S417" s="473">
        <v>0</v>
      </c>
      <c r="T417" s="473">
        <v>4.3</v>
      </c>
    </row>
    <row r="418" spans="16:20" ht="15">
      <c r="P418" s="447"/>
      <c r="Q418" s="473">
        <v>5.5</v>
      </c>
      <c r="R418" s="473">
        <v>100</v>
      </c>
      <c r="S418" s="473">
        <v>300</v>
      </c>
      <c r="T418" s="473">
        <v>4.3</v>
      </c>
    </row>
    <row r="419" spans="16:20" ht="15">
      <c r="P419" s="447"/>
      <c r="Q419" s="473">
        <v>5.5</v>
      </c>
      <c r="R419" s="473">
        <v>100</v>
      </c>
      <c r="S419" s="473">
        <v>300.01</v>
      </c>
      <c r="T419" s="473">
        <v>3.1</v>
      </c>
    </row>
    <row r="420" spans="16:20" ht="15">
      <c r="P420" s="447"/>
      <c r="Q420" s="473">
        <v>5.5</v>
      </c>
      <c r="R420" s="473">
        <v>100</v>
      </c>
      <c r="S420" s="473">
        <v>600</v>
      </c>
      <c r="T420" s="473">
        <v>3.1</v>
      </c>
    </row>
    <row r="421" spans="16:20" ht="15">
      <c r="P421" s="447"/>
      <c r="Q421" s="473">
        <v>5.5</v>
      </c>
      <c r="R421" s="473">
        <v>100</v>
      </c>
      <c r="S421" s="473">
        <v>600.01</v>
      </c>
      <c r="T421" s="473">
        <v>2</v>
      </c>
    </row>
    <row r="422" spans="16:20" ht="15">
      <c r="P422" s="447"/>
      <c r="Q422" s="473">
        <v>5.5</v>
      </c>
      <c r="R422" s="473">
        <v>100</v>
      </c>
      <c r="S422" s="473">
        <v>10000</v>
      </c>
      <c r="T422" s="473">
        <v>2</v>
      </c>
    </row>
    <row r="423" spans="16:20" ht="15">
      <c r="P423" s="447"/>
      <c r="Q423" s="473">
        <v>6.49</v>
      </c>
      <c r="R423" s="473">
        <v>0</v>
      </c>
      <c r="S423" s="473">
        <v>0</v>
      </c>
      <c r="T423" s="473">
        <v>1</v>
      </c>
    </row>
    <row r="424" spans="16:20" ht="15">
      <c r="P424" s="447"/>
      <c r="Q424" s="473">
        <v>6.49</v>
      </c>
      <c r="R424" s="473">
        <v>0</v>
      </c>
      <c r="S424" s="473">
        <v>300</v>
      </c>
      <c r="T424" s="473">
        <v>1</v>
      </c>
    </row>
    <row r="425" spans="16:20" ht="15">
      <c r="P425" s="447"/>
      <c r="Q425" s="473">
        <v>6.49</v>
      </c>
      <c r="R425" s="473">
        <v>0</v>
      </c>
      <c r="S425" s="473">
        <v>300.01</v>
      </c>
      <c r="T425" s="473">
        <v>1</v>
      </c>
    </row>
    <row r="426" spans="16:20" ht="15">
      <c r="P426" s="447"/>
      <c r="Q426" s="473">
        <v>6.49</v>
      </c>
      <c r="R426" s="473">
        <v>0</v>
      </c>
      <c r="S426" s="473">
        <v>600</v>
      </c>
      <c r="T426" s="473">
        <v>1</v>
      </c>
    </row>
    <row r="427" spans="16:20" ht="15">
      <c r="P427" s="447"/>
      <c r="Q427" s="473">
        <v>6.49</v>
      </c>
      <c r="R427" s="473">
        <v>0</v>
      </c>
      <c r="S427" s="473">
        <v>600.01</v>
      </c>
      <c r="T427" s="473">
        <v>1</v>
      </c>
    </row>
    <row r="428" spans="16:20" ht="15">
      <c r="P428" s="447"/>
      <c r="Q428" s="473">
        <v>6.49</v>
      </c>
      <c r="R428" s="473">
        <v>0</v>
      </c>
      <c r="S428" s="473">
        <v>10000</v>
      </c>
      <c r="T428" s="473">
        <v>1</v>
      </c>
    </row>
    <row r="429" spans="16:20" ht="15">
      <c r="P429" s="447"/>
      <c r="Q429" s="473">
        <v>6.49</v>
      </c>
      <c r="R429" s="473">
        <v>0.4</v>
      </c>
      <c r="S429" s="473">
        <v>0</v>
      </c>
      <c r="T429" s="473">
        <v>1</v>
      </c>
    </row>
    <row r="430" spans="16:20" ht="15">
      <c r="P430" s="447"/>
      <c r="Q430" s="473">
        <v>6.49</v>
      </c>
      <c r="R430" s="473">
        <v>0.4</v>
      </c>
      <c r="S430" s="473">
        <v>300</v>
      </c>
      <c r="T430" s="473">
        <v>1</v>
      </c>
    </row>
    <row r="431" spans="16:20" ht="15">
      <c r="P431" s="447"/>
      <c r="Q431" s="473">
        <v>6.49</v>
      </c>
      <c r="R431" s="473">
        <v>0.4</v>
      </c>
      <c r="S431" s="473">
        <v>300.01</v>
      </c>
      <c r="T431" s="473">
        <v>1</v>
      </c>
    </row>
    <row r="432" spans="16:20" ht="15">
      <c r="P432" s="447"/>
      <c r="Q432" s="473">
        <v>6.49</v>
      </c>
      <c r="R432" s="473">
        <v>0.4</v>
      </c>
      <c r="S432" s="473">
        <v>600</v>
      </c>
      <c r="T432" s="473">
        <v>1</v>
      </c>
    </row>
    <row r="433" spans="16:20" ht="15">
      <c r="P433" s="447"/>
      <c r="Q433" s="473">
        <v>6.49</v>
      </c>
      <c r="R433" s="473">
        <v>0.4</v>
      </c>
      <c r="S433" s="473">
        <v>600.01</v>
      </c>
      <c r="T433" s="473">
        <v>1</v>
      </c>
    </row>
    <row r="434" spans="16:20" ht="15">
      <c r="P434" s="447"/>
      <c r="Q434" s="473">
        <v>6.49</v>
      </c>
      <c r="R434" s="473">
        <v>0.4</v>
      </c>
      <c r="S434" s="473">
        <v>10000</v>
      </c>
      <c r="T434" s="473">
        <v>1</v>
      </c>
    </row>
    <row r="435" spans="16:20" ht="15">
      <c r="P435" s="447"/>
      <c r="Q435" s="473">
        <v>6.49</v>
      </c>
      <c r="R435" s="473">
        <v>0.8</v>
      </c>
      <c r="S435" s="473">
        <v>0</v>
      </c>
      <c r="T435" s="473">
        <v>1</v>
      </c>
    </row>
    <row r="436" spans="16:20" ht="15">
      <c r="P436" s="447"/>
      <c r="Q436" s="473">
        <v>6.49</v>
      </c>
      <c r="R436" s="473">
        <v>0.8</v>
      </c>
      <c r="S436" s="473">
        <v>300</v>
      </c>
      <c r="T436" s="473">
        <v>1</v>
      </c>
    </row>
    <row r="437" spans="16:20" ht="15">
      <c r="P437" s="447"/>
      <c r="Q437" s="473">
        <v>6.49</v>
      </c>
      <c r="R437" s="473">
        <v>0.8</v>
      </c>
      <c r="S437" s="473">
        <v>300.01</v>
      </c>
      <c r="T437" s="473">
        <v>1</v>
      </c>
    </row>
    <row r="438" spans="16:20" ht="15">
      <c r="P438" s="447"/>
      <c r="Q438" s="473">
        <v>6.49</v>
      </c>
      <c r="R438" s="473">
        <v>0.8</v>
      </c>
      <c r="S438" s="473">
        <v>600</v>
      </c>
      <c r="T438" s="473">
        <v>1</v>
      </c>
    </row>
    <row r="439" spans="16:20" ht="15">
      <c r="P439" s="447"/>
      <c r="Q439" s="473">
        <v>6.49</v>
      </c>
      <c r="R439" s="473">
        <v>0.8</v>
      </c>
      <c r="S439" s="473">
        <v>600.01</v>
      </c>
      <c r="T439" s="473">
        <v>1</v>
      </c>
    </row>
    <row r="440" spans="16:20" ht="15">
      <c r="P440" s="447"/>
      <c r="Q440" s="473">
        <v>6.49</v>
      </c>
      <c r="R440" s="473">
        <v>0.8</v>
      </c>
      <c r="S440" s="473">
        <v>10000</v>
      </c>
      <c r="T440" s="473">
        <v>1</v>
      </c>
    </row>
    <row r="441" spans="16:20" ht="15">
      <c r="P441" s="447"/>
      <c r="Q441" s="473">
        <v>6.49</v>
      </c>
      <c r="R441" s="473">
        <v>1.2</v>
      </c>
      <c r="S441" s="473">
        <v>0</v>
      </c>
      <c r="T441" s="473">
        <v>1</v>
      </c>
    </row>
    <row r="442" spans="16:20" ht="15">
      <c r="P442" s="447"/>
      <c r="Q442" s="473">
        <v>6.49</v>
      </c>
      <c r="R442" s="473">
        <v>1.2</v>
      </c>
      <c r="S442" s="473">
        <v>300</v>
      </c>
      <c r="T442" s="473">
        <v>1</v>
      </c>
    </row>
    <row r="443" spans="16:20" ht="15">
      <c r="P443" s="447"/>
      <c r="Q443" s="473">
        <v>6.49</v>
      </c>
      <c r="R443" s="473">
        <v>1.2</v>
      </c>
      <c r="S443" s="473">
        <v>300.01</v>
      </c>
      <c r="T443" s="473">
        <v>1</v>
      </c>
    </row>
    <row r="444" spans="16:20" ht="15">
      <c r="P444" s="447"/>
      <c r="Q444" s="473">
        <v>6.49</v>
      </c>
      <c r="R444" s="473">
        <v>1.2</v>
      </c>
      <c r="S444" s="473">
        <v>600</v>
      </c>
      <c r="T444" s="473">
        <v>1</v>
      </c>
    </row>
    <row r="445" spans="16:20" ht="15">
      <c r="P445" s="447"/>
      <c r="Q445" s="473">
        <v>6.49</v>
      </c>
      <c r="R445" s="473">
        <v>1.2</v>
      </c>
      <c r="S445" s="473">
        <v>600.01</v>
      </c>
      <c r="T445" s="473">
        <v>1</v>
      </c>
    </row>
    <row r="446" spans="16:20" ht="15">
      <c r="P446" s="447"/>
      <c r="Q446" s="473">
        <v>6.49</v>
      </c>
      <c r="R446" s="473">
        <v>1.2</v>
      </c>
      <c r="S446" s="473">
        <v>10000</v>
      </c>
      <c r="T446" s="473">
        <v>1</v>
      </c>
    </row>
    <row r="447" spans="16:20" ht="15">
      <c r="P447" s="447"/>
      <c r="Q447" s="473">
        <v>6.49</v>
      </c>
      <c r="R447" s="473">
        <v>1.6</v>
      </c>
      <c r="S447" s="473">
        <v>0</v>
      </c>
      <c r="T447" s="473">
        <v>1</v>
      </c>
    </row>
    <row r="448" spans="16:20" ht="15">
      <c r="P448" s="447"/>
      <c r="Q448" s="473">
        <v>6.49</v>
      </c>
      <c r="R448" s="473">
        <v>1.6</v>
      </c>
      <c r="S448" s="473">
        <v>300</v>
      </c>
      <c r="T448" s="473">
        <v>1</v>
      </c>
    </row>
    <row r="449" spans="16:20" ht="15">
      <c r="P449" s="447"/>
      <c r="Q449" s="473">
        <v>6.49</v>
      </c>
      <c r="R449" s="473">
        <v>1.6</v>
      </c>
      <c r="S449" s="473">
        <v>300.01</v>
      </c>
      <c r="T449" s="473">
        <v>1.2</v>
      </c>
    </row>
    <row r="450" spans="16:20" ht="15">
      <c r="P450" s="447"/>
      <c r="Q450" s="473">
        <v>6.49</v>
      </c>
      <c r="R450" s="473">
        <v>1.6</v>
      </c>
      <c r="S450" s="473">
        <v>600</v>
      </c>
      <c r="T450" s="473">
        <v>1.2</v>
      </c>
    </row>
    <row r="451" spans="16:20" ht="15">
      <c r="P451" s="447"/>
      <c r="Q451" s="473">
        <v>6.49</v>
      </c>
      <c r="R451" s="473">
        <v>1.6</v>
      </c>
      <c r="S451" s="473">
        <v>600.01</v>
      </c>
      <c r="T451" s="473">
        <v>1.2</v>
      </c>
    </row>
    <row r="452" spans="16:20" ht="15">
      <c r="P452" s="447"/>
      <c r="Q452" s="473">
        <v>6.49</v>
      </c>
      <c r="R452" s="473">
        <v>1.6</v>
      </c>
      <c r="S452" s="473">
        <v>10000</v>
      </c>
      <c r="T452" s="473">
        <v>1.2</v>
      </c>
    </row>
    <row r="453" spans="16:20" ht="15">
      <c r="P453" s="447"/>
      <c r="Q453" s="473">
        <v>6.49</v>
      </c>
      <c r="R453" s="473">
        <v>2.4</v>
      </c>
      <c r="S453" s="473">
        <v>0</v>
      </c>
      <c r="T453" s="473">
        <v>1.5</v>
      </c>
    </row>
    <row r="454" spans="16:20" ht="15">
      <c r="P454" s="447"/>
      <c r="Q454" s="473">
        <v>6.49</v>
      </c>
      <c r="R454" s="473">
        <v>2.4</v>
      </c>
      <c r="S454" s="473">
        <v>300</v>
      </c>
      <c r="T454" s="473">
        <v>1.5</v>
      </c>
    </row>
    <row r="455" spans="16:20" ht="15">
      <c r="P455" s="447"/>
      <c r="Q455" s="473">
        <v>6.49</v>
      </c>
      <c r="R455" s="473">
        <v>2.4</v>
      </c>
      <c r="S455" s="473">
        <v>300.01</v>
      </c>
      <c r="T455" s="473">
        <v>1.6</v>
      </c>
    </row>
    <row r="456" spans="16:20" ht="15">
      <c r="P456" s="447"/>
      <c r="Q456" s="473">
        <v>6.49</v>
      </c>
      <c r="R456" s="473">
        <v>2.4</v>
      </c>
      <c r="S456" s="473">
        <v>600</v>
      </c>
      <c r="T456" s="473">
        <v>1.6</v>
      </c>
    </row>
    <row r="457" spans="16:20" ht="15">
      <c r="P457" s="447"/>
      <c r="Q457" s="473">
        <v>6.49</v>
      </c>
      <c r="R457" s="473">
        <v>2.4</v>
      </c>
      <c r="S457" s="473">
        <v>600.01</v>
      </c>
      <c r="T457" s="473">
        <v>1.6</v>
      </c>
    </row>
    <row r="458" spans="16:20" ht="15">
      <c r="P458" s="447"/>
      <c r="Q458" s="473">
        <v>6.49</v>
      </c>
      <c r="R458" s="473">
        <v>2.4</v>
      </c>
      <c r="S458" s="473">
        <v>10000</v>
      </c>
      <c r="T458" s="473">
        <v>1.6</v>
      </c>
    </row>
    <row r="459" spans="16:20" ht="15">
      <c r="P459" s="447"/>
      <c r="Q459" s="473">
        <v>6.49</v>
      </c>
      <c r="R459" s="473">
        <v>3.2</v>
      </c>
      <c r="S459" s="473">
        <v>0</v>
      </c>
      <c r="T459" s="473">
        <v>1.9</v>
      </c>
    </row>
    <row r="460" spans="16:20" ht="15">
      <c r="P460" s="447"/>
      <c r="Q460" s="473">
        <v>6.49</v>
      </c>
      <c r="R460" s="473">
        <v>3.2</v>
      </c>
      <c r="S460" s="473">
        <v>300</v>
      </c>
      <c r="T460" s="473">
        <v>1.9</v>
      </c>
    </row>
    <row r="461" spans="16:20" ht="15">
      <c r="P461" s="447"/>
      <c r="Q461" s="473">
        <v>6.49</v>
      </c>
      <c r="R461" s="473">
        <v>3.2</v>
      </c>
      <c r="S461" s="473">
        <v>300.01</v>
      </c>
      <c r="T461" s="473">
        <v>1.9</v>
      </c>
    </row>
    <row r="462" spans="16:20" ht="15">
      <c r="P462" s="447"/>
      <c r="Q462" s="473">
        <v>6.49</v>
      </c>
      <c r="R462" s="473">
        <v>3.2</v>
      </c>
      <c r="S462" s="473">
        <v>600</v>
      </c>
      <c r="T462" s="473">
        <v>1.9</v>
      </c>
    </row>
    <row r="463" spans="16:20" ht="15">
      <c r="P463" s="447"/>
      <c r="Q463" s="473">
        <v>6.49</v>
      </c>
      <c r="R463" s="473">
        <v>3.2</v>
      </c>
      <c r="S463" s="473">
        <v>600.01</v>
      </c>
      <c r="T463" s="473">
        <v>1.8</v>
      </c>
    </row>
    <row r="464" spans="16:20" ht="15">
      <c r="P464" s="447"/>
      <c r="Q464" s="473">
        <v>6.49</v>
      </c>
      <c r="R464" s="473">
        <v>3.2</v>
      </c>
      <c r="S464" s="473">
        <v>10000</v>
      </c>
      <c r="T464" s="473">
        <v>1.8</v>
      </c>
    </row>
    <row r="465" spans="16:20" ht="15">
      <c r="P465" s="447"/>
      <c r="Q465" s="473">
        <v>6.49</v>
      </c>
      <c r="R465" s="473">
        <v>4.8</v>
      </c>
      <c r="S465" s="473">
        <v>0</v>
      </c>
      <c r="T465" s="473">
        <v>3.3</v>
      </c>
    </row>
    <row r="466" spans="16:20" ht="15">
      <c r="P466" s="447"/>
      <c r="Q466" s="473">
        <v>6.49</v>
      </c>
      <c r="R466" s="473">
        <v>4.8</v>
      </c>
      <c r="S466" s="473">
        <v>300</v>
      </c>
      <c r="T466" s="473">
        <v>3.3</v>
      </c>
    </row>
    <row r="467" spans="16:20" ht="15">
      <c r="P467" s="447"/>
      <c r="Q467" s="473">
        <v>6.49</v>
      </c>
      <c r="R467" s="473">
        <v>4.8</v>
      </c>
      <c r="S467" s="473">
        <v>300.01</v>
      </c>
      <c r="T467" s="473">
        <v>2.5</v>
      </c>
    </row>
    <row r="468" spans="16:20" ht="15">
      <c r="P468" s="447"/>
      <c r="Q468" s="473">
        <v>6.49</v>
      </c>
      <c r="R468" s="473">
        <v>4.8</v>
      </c>
      <c r="S468" s="473">
        <v>600</v>
      </c>
      <c r="T468" s="473">
        <v>2.5</v>
      </c>
    </row>
    <row r="469" spans="16:20" ht="15">
      <c r="P469" s="447"/>
      <c r="Q469" s="473">
        <v>6.49</v>
      </c>
      <c r="R469" s="473">
        <v>4.8</v>
      </c>
      <c r="S469" s="473">
        <v>600.01</v>
      </c>
      <c r="T469" s="473">
        <v>2</v>
      </c>
    </row>
    <row r="470" spans="16:20" ht="15">
      <c r="P470" s="447"/>
      <c r="Q470" s="473">
        <v>6.49</v>
      </c>
      <c r="R470" s="473">
        <v>4.8</v>
      </c>
      <c r="S470" s="473">
        <v>10000</v>
      </c>
      <c r="T470" s="473">
        <v>2</v>
      </c>
    </row>
    <row r="471" spans="16:20" ht="15">
      <c r="P471" s="447"/>
      <c r="Q471" s="473">
        <v>6.49</v>
      </c>
      <c r="R471" s="473">
        <v>6.4</v>
      </c>
      <c r="S471" s="473">
        <v>0</v>
      </c>
      <c r="T471" s="473">
        <v>4.3</v>
      </c>
    </row>
    <row r="472" spans="16:20" ht="15">
      <c r="P472" s="447"/>
      <c r="Q472" s="473">
        <v>6.49</v>
      </c>
      <c r="R472" s="473">
        <v>6.4</v>
      </c>
      <c r="S472" s="473">
        <v>300</v>
      </c>
      <c r="T472" s="473">
        <v>4.3</v>
      </c>
    </row>
    <row r="473" spans="16:20" ht="15">
      <c r="P473" s="447"/>
      <c r="Q473" s="473">
        <v>6.49</v>
      </c>
      <c r="R473" s="473">
        <v>6.4</v>
      </c>
      <c r="S473" s="473">
        <v>300.01</v>
      </c>
      <c r="T473" s="473">
        <v>3.1</v>
      </c>
    </row>
    <row r="474" spans="16:20" ht="15">
      <c r="P474" s="447"/>
      <c r="Q474" s="473">
        <v>6.49</v>
      </c>
      <c r="R474" s="473">
        <v>6.4</v>
      </c>
      <c r="S474" s="473">
        <v>600</v>
      </c>
      <c r="T474" s="473">
        <v>3.1</v>
      </c>
    </row>
    <row r="475" spans="16:20" ht="15">
      <c r="P475" s="447"/>
      <c r="Q475" s="473">
        <v>6.49</v>
      </c>
      <c r="R475" s="473">
        <v>6.4</v>
      </c>
      <c r="S475" s="473">
        <v>600.01</v>
      </c>
      <c r="T475" s="473">
        <v>2</v>
      </c>
    </row>
    <row r="476" spans="16:20" ht="15">
      <c r="P476" s="447"/>
      <c r="Q476" s="473">
        <v>6.49</v>
      </c>
      <c r="R476" s="473">
        <v>6.4</v>
      </c>
      <c r="S476" s="473">
        <v>10000</v>
      </c>
      <c r="T476" s="473">
        <v>2</v>
      </c>
    </row>
    <row r="477" spans="16:20" ht="15">
      <c r="P477" s="447"/>
      <c r="Q477" s="473">
        <v>6.49</v>
      </c>
      <c r="R477" s="473">
        <v>100</v>
      </c>
      <c r="S477" s="473">
        <v>0</v>
      </c>
      <c r="T477" s="473">
        <v>4.3</v>
      </c>
    </row>
    <row r="478" spans="16:20" ht="15">
      <c r="P478" s="447"/>
      <c r="Q478" s="473">
        <v>6.49</v>
      </c>
      <c r="R478" s="473">
        <v>100</v>
      </c>
      <c r="S478" s="473">
        <v>300</v>
      </c>
      <c r="T478" s="473">
        <v>4.3</v>
      </c>
    </row>
    <row r="479" spans="16:20" ht="15">
      <c r="P479" s="447"/>
      <c r="Q479" s="473">
        <v>6.49</v>
      </c>
      <c r="R479" s="473">
        <v>100</v>
      </c>
      <c r="S479" s="473">
        <v>300.01</v>
      </c>
      <c r="T479" s="473">
        <v>3.1</v>
      </c>
    </row>
    <row r="480" spans="16:20" ht="15">
      <c r="P480" s="447"/>
      <c r="Q480" s="473">
        <v>6.49</v>
      </c>
      <c r="R480" s="473">
        <v>100</v>
      </c>
      <c r="S480" s="473">
        <v>600</v>
      </c>
      <c r="T480" s="473">
        <v>3.1</v>
      </c>
    </row>
    <row r="481" spans="16:20" ht="15">
      <c r="P481" s="447"/>
      <c r="Q481" s="473">
        <v>6.49</v>
      </c>
      <c r="R481" s="473">
        <v>100</v>
      </c>
      <c r="S481" s="473">
        <v>600.01</v>
      </c>
      <c r="T481" s="473">
        <v>2</v>
      </c>
    </row>
    <row r="482" spans="16:20" ht="15">
      <c r="P482" s="447"/>
      <c r="Q482" s="473">
        <v>6.49</v>
      </c>
      <c r="R482" s="473">
        <v>100</v>
      </c>
      <c r="S482" s="473">
        <v>10000</v>
      </c>
      <c r="T482" s="473">
        <v>2</v>
      </c>
    </row>
    <row r="483" spans="16:20" ht="15">
      <c r="P483" s="447"/>
      <c r="Q483" s="473">
        <v>6.5</v>
      </c>
      <c r="R483" s="473">
        <v>0</v>
      </c>
      <c r="S483" s="473">
        <v>0</v>
      </c>
      <c r="T483" s="473">
        <v>1</v>
      </c>
    </row>
    <row r="484" spans="16:20" ht="15">
      <c r="P484" s="447"/>
      <c r="Q484" s="473">
        <v>6.5</v>
      </c>
      <c r="R484" s="473">
        <v>0</v>
      </c>
      <c r="S484" s="473">
        <v>300</v>
      </c>
      <c r="T484" s="473">
        <v>1</v>
      </c>
    </row>
    <row r="485" spans="16:20" ht="15">
      <c r="P485" s="447"/>
      <c r="Q485" s="473">
        <v>6.5</v>
      </c>
      <c r="R485" s="473">
        <v>0</v>
      </c>
      <c r="S485" s="473">
        <v>300.01</v>
      </c>
      <c r="T485" s="473">
        <v>1</v>
      </c>
    </row>
    <row r="486" spans="16:20" ht="15">
      <c r="P486" s="447"/>
      <c r="Q486" s="473">
        <v>6.5</v>
      </c>
      <c r="R486" s="473">
        <v>0</v>
      </c>
      <c r="S486" s="473">
        <v>600</v>
      </c>
      <c r="T486" s="473">
        <v>1</v>
      </c>
    </row>
    <row r="487" spans="16:20" ht="15">
      <c r="P487" s="447"/>
      <c r="Q487" s="473">
        <v>6.5</v>
      </c>
      <c r="R487" s="473">
        <v>0</v>
      </c>
      <c r="S487" s="473">
        <v>600.01</v>
      </c>
      <c r="T487" s="473">
        <v>1</v>
      </c>
    </row>
    <row r="488" spans="16:20" ht="15">
      <c r="P488" s="447"/>
      <c r="Q488" s="473">
        <v>6.5</v>
      </c>
      <c r="R488" s="473">
        <v>0</v>
      </c>
      <c r="S488" s="473">
        <v>10000</v>
      </c>
      <c r="T488" s="473">
        <v>1</v>
      </c>
    </row>
    <row r="489" spans="16:20" ht="15">
      <c r="P489" s="447"/>
      <c r="Q489" s="473">
        <v>6.5</v>
      </c>
      <c r="R489" s="473">
        <v>0.4</v>
      </c>
      <c r="S489" s="473">
        <v>0</v>
      </c>
      <c r="T489" s="473">
        <v>1</v>
      </c>
    </row>
    <row r="490" spans="16:20" ht="15">
      <c r="P490" s="447"/>
      <c r="Q490" s="473">
        <v>6.5</v>
      </c>
      <c r="R490" s="473">
        <v>0.4</v>
      </c>
      <c r="S490" s="473">
        <v>300</v>
      </c>
      <c r="T490" s="473">
        <v>1</v>
      </c>
    </row>
    <row r="491" spans="16:20" ht="15">
      <c r="P491" s="447"/>
      <c r="Q491" s="473">
        <v>6.5</v>
      </c>
      <c r="R491" s="473">
        <v>0.4</v>
      </c>
      <c r="S491" s="473">
        <v>300.01</v>
      </c>
      <c r="T491" s="473">
        <v>1</v>
      </c>
    </row>
    <row r="492" spans="16:20" ht="15">
      <c r="P492" s="447"/>
      <c r="Q492" s="473">
        <v>6.5</v>
      </c>
      <c r="R492" s="473">
        <v>0.4</v>
      </c>
      <c r="S492" s="473">
        <v>600</v>
      </c>
      <c r="T492" s="473">
        <v>1</v>
      </c>
    </row>
    <row r="493" spans="16:20" ht="15">
      <c r="P493" s="447"/>
      <c r="Q493" s="473">
        <v>6.5</v>
      </c>
      <c r="R493" s="473">
        <v>0.4</v>
      </c>
      <c r="S493" s="473">
        <v>600.01</v>
      </c>
      <c r="T493" s="473">
        <v>1</v>
      </c>
    </row>
    <row r="494" spans="16:20" ht="15">
      <c r="P494" s="447"/>
      <c r="Q494" s="473">
        <v>6.5</v>
      </c>
      <c r="R494" s="473">
        <v>0.4</v>
      </c>
      <c r="S494" s="473">
        <v>10000</v>
      </c>
      <c r="T494" s="473">
        <v>1</v>
      </c>
    </row>
    <row r="495" spans="16:20" ht="15">
      <c r="P495" s="447"/>
      <c r="Q495" s="473">
        <v>6.5</v>
      </c>
      <c r="R495" s="473">
        <v>0.8</v>
      </c>
      <c r="S495" s="473">
        <v>0</v>
      </c>
      <c r="T495" s="473">
        <v>1</v>
      </c>
    </row>
    <row r="496" spans="16:20" ht="15">
      <c r="P496" s="447"/>
      <c r="Q496" s="473">
        <v>6.5</v>
      </c>
      <c r="R496" s="473">
        <v>0.8</v>
      </c>
      <c r="S496" s="473">
        <v>300</v>
      </c>
      <c r="T496" s="473">
        <v>1</v>
      </c>
    </row>
    <row r="497" spans="16:20" ht="15">
      <c r="P497" s="447"/>
      <c r="Q497" s="473">
        <v>6.5</v>
      </c>
      <c r="R497" s="473">
        <v>0.8</v>
      </c>
      <c r="S497" s="473">
        <v>300.01</v>
      </c>
      <c r="T497" s="473">
        <v>1</v>
      </c>
    </row>
    <row r="498" spans="16:20" ht="15">
      <c r="P498" s="447"/>
      <c r="Q498" s="473">
        <v>6.5</v>
      </c>
      <c r="R498" s="473">
        <v>0.8</v>
      </c>
      <c r="S498" s="473">
        <v>600</v>
      </c>
      <c r="T498" s="473">
        <v>1</v>
      </c>
    </row>
    <row r="499" spans="16:20" ht="15">
      <c r="P499" s="447"/>
      <c r="Q499" s="473">
        <v>6.5</v>
      </c>
      <c r="R499" s="473">
        <v>0.8</v>
      </c>
      <c r="S499" s="473">
        <v>600.01</v>
      </c>
      <c r="T499" s="473">
        <v>1</v>
      </c>
    </row>
    <row r="500" spans="16:20" ht="15">
      <c r="P500" s="447"/>
      <c r="Q500" s="473">
        <v>6.5</v>
      </c>
      <c r="R500" s="473">
        <v>0.8</v>
      </c>
      <c r="S500" s="473">
        <v>10000</v>
      </c>
      <c r="T500" s="473">
        <v>1</v>
      </c>
    </row>
    <row r="501" spans="16:20" ht="15">
      <c r="P501" s="447"/>
      <c r="Q501" s="473">
        <v>6.5</v>
      </c>
      <c r="R501" s="473">
        <v>1.2</v>
      </c>
      <c r="S501" s="473">
        <v>0</v>
      </c>
      <c r="T501" s="473">
        <v>1</v>
      </c>
    </row>
    <row r="502" spans="16:20" ht="15">
      <c r="P502" s="447"/>
      <c r="Q502" s="473">
        <v>6.5</v>
      </c>
      <c r="R502" s="473">
        <v>1.2</v>
      </c>
      <c r="S502" s="473">
        <v>300</v>
      </c>
      <c r="T502" s="473">
        <v>1</v>
      </c>
    </row>
    <row r="503" spans="16:20" ht="15">
      <c r="P503" s="447"/>
      <c r="Q503" s="473">
        <v>6.5</v>
      </c>
      <c r="R503" s="473">
        <v>1.2</v>
      </c>
      <c r="S503" s="473">
        <v>300.01</v>
      </c>
      <c r="T503" s="473">
        <v>1</v>
      </c>
    </row>
    <row r="504" spans="16:20" ht="15">
      <c r="P504" s="447"/>
      <c r="Q504" s="473">
        <v>6.5</v>
      </c>
      <c r="R504" s="473">
        <v>1.2</v>
      </c>
      <c r="S504" s="473">
        <v>600</v>
      </c>
      <c r="T504" s="473">
        <v>1</v>
      </c>
    </row>
    <row r="505" spans="16:20" ht="15">
      <c r="P505" s="447"/>
      <c r="Q505" s="473">
        <v>6.5</v>
      </c>
      <c r="R505" s="473">
        <v>1.2</v>
      </c>
      <c r="S505" s="473">
        <v>600.01</v>
      </c>
      <c r="T505" s="473">
        <v>1.3</v>
      </c>
    </row>
    <row r="506" spans="16:20" ht="15">
      <c r="P506" s="447"/>
      <c r="Q506" s="473">
        <v>6.5</v>
      </c>
      <c r="R506" s="473">
        <v>1.2</v>
      </c>
      <c r="S506" s="473">
        <v>10000</v>
      </c>
      <c r="T506" s="473">
        <v>1.3</v>
      </c>
    </row>
    <row r="507" spans="16:20" ht="15">
      <c r="P507" s="447"/>
      <c r="Q507" s="473">
        <v>6.5</v>
      </c>
      <c r="R507" s="473">
        <v>1.6</v>
      </c>
      <c r="S507" s="473">
        <v>0</v>
      </c>
      <c r="T507" s="473">
        <v>1.3</v>
      </c>
    </row>
    <row r="508" spans="16:20" ht="15">
      <c r="P508" s="447"/>
      <c r="Q508" s="473">
        <v>6.5</v>
      </c>
      <c r="R508" s="473">
        <v>1.6</v>
      </c>
      <c r="S508" s="473">
        <v>300</v>
      </c>
      <c r="T508" s="473">
        <v>1.3</v>
      </c>
    </row>
    <row r="509" spans="16:20" ht="15">
      <c r="P509" s="447"/>
      <c r="Q509" s="473">
        <v>6.5</v>
      </c>
      <c r="R509" s="473">
        <v>1.6</v>
      </c>
      <c r="S509" s="473">
        <v>300.01</v>
      </c>
      <c r="T509" s="473">
        <v>1.4</v>
      </c>
    </row>
    <row r="510" spans="16:20" ht="15">
      <c r="P510" s="447"/>
      <c r="Q510" s="473">
        <v>6.5</v>
      </c>
      <c r="R510" s="473">
        <v>1.6</v>
      </c>
      <c r="S510" s="473">
        <v>600</v>
      </c>
      <c r="T510" s="473">
        <v>1.4</v>
      </c>
    </row>
    <row r="511" spans="16:20" ht="15">
      <c r="P511" s="447"/>
      <c r="Q511" s="473">
        <v>6.5</v>
      </c>
      <c r="R511" s="473">
        <v>1.6</v>
      </c>
      <c r="S511" s="473">
        <v>600.01</v>
      </c>
      <c r="T511" s="473">
        <v>1.6</v>
      </c>
    </row>
    <row r="512" spans="16:20" ht="15">
      <c r="P512" s="447"/>
      <c r="Q512" s="473">
        <v>6.5</v>
      </c>
      <c r="R512" s="473">
        <v>1.6</v>
      </c>
      <c r="S512" s="473">
        <v>10000</v>
      </c>
      <c r="T512" s="473">
        <v>1.6</v>
      </c>
    </row>
    <row r="513" spans="16:20" ht="15">
      <c r="P513" s="447"/>
      <c r="Q513" s="473">
        <v>6.5</v>
      </c>
      <c r="R513" s="473">
        <v>2.4</v>
      </c>
      <c r="S513" s="473">
        <v>0</v>
      </c>
      <c r="T513" s="473">
        <v>2.1</v>
      </c>
    </row>
    <row r="514" spans="16:20" ht="15">
      <c r="P514" s="447"/>
      <c r="Q514" s="473">
        <v>6.5</v>
      </c>
      <c r="R514" s="473">
        <v>2.4</v>
      </c>
      <c r="S514" s="473">
        <v>300</v>
      </c>
      <c r="T514" s="473">
        <v>2.1</v>
      </c>
    </row>
    <row r="515" spans="16:20" ht="15">
      <c r="P515" s="447"/>
      <c r="Q515" s="473">
        <v>6.5</v>
      </c>
      <c r="R515" s="473">
        <v>2.4</v>
      </c>
      <c r="S515" s="473">
        <v>300.01</v>
      </c>
      <c r="T515" s="473">
        <v>2</v>
      </c>
    </row>
    <row r="516" spans="16:20" ht="15">
      <c r="P516" s="447"/>
      <c r="Q516" s="473">
        <v>6.5</v>
      </c>
      <c r="R516" s="473">
        <v>2.4</v>
      </c>
      <c r="S516" s="473">
        <v>600</v>
      </c>
      <c r="T516" s="473">
        <v>2</v>
      </c>
    </row>
    <row r="517" spans="16:20" ht="15">
      <c r="P517" s="447"/>
      <c r="Q517" s="473">
        <v>6.5</v>
      </c>
      <c r="R517" s="473">
        <v>2.4</v>
      </c>
      <c r="S517" s="473">
        <v>600.01</v>
      </c>
      <c r="T517" s="473">
        <v>2</v>
      </c>
    </row>
    <row r="518" spans="16:20" ht="15">
      <c r="P518" s="447"/>
      <c r="Q518" s="473">
        <v>6.5</v>
      </c>
      <c r="R518" s="473">
        <v>2.4</v>
      </c>
      <c r="S518" s="473">
        <v>10000</v>
      </c>
      <c r="T518" s="473">
        <v>2</v>
      </c>
    </row>
    <row r="519" spans="16:20" ht="15">
      <c r="P519" s="447"/>
      <c r="Q519" s="473">
        <v>6.5</v>
      </c>
      <c r="R519" s="473">
        <v>3.2</v>
      </c>
      <c r="S519" s="473">
        <v>0</v>
      </c>
      <c r="T519" s="473">
        <v>2.8</v>
      </c>
    </row>
    <row r="520" spans="16:20" ht="15">
      <c r="P520" s="447"/>
      <c r="Q520" s="473">
        <v>6.5</v>
      </c>
      <c r="R520" s="473">
        <v>3.2</v>
      </c>
      <c r="S520" s="473">
        <v>300</v>
      </c>
      <c r="T520" s="473">
        <v>2.8</v>
      </c>
    </row>
    <row r="521" spans="16:20" ht="15">
      <c r="P521" s="447"/>
      <c r="Q521" s="473">
        <v>6.5</v>
      </c>
      <c r="R521" s="473">
        <v>3.2</v>
      </c>
      <c r="S521" s="473">
        <v>300.01</v>
      </c>
      <c r="T521" s="473">
        <v>2.5</v>
      </c>
    </row>
    <row r="522" spans="16:20" ht="15">
      <c r="P522" s="447"/>
      <c r="Q522" s="473">
        <v>6.5</v>
      </c>
      <c r="R522" s="473">
        <v>3.2</v>
      </c>
      <c r="S522" s="473">
        <v>600</v>
      </c>
      <c r="T522" s="473">
        <v>2.5</v>
      </c>
    </row>
    <row r="523" spans="16:20" ht="15">
      <c r="P523" s="447"/>
      <c r="Q523" s="473">
        <v>6.5</v>
      </c>
      <c r="R523" s="473">
        <v>3.2</v>
      </c>
      <c r="S523" s="473">
        <v>600.01</v>
      </c>
      <c r="T523" s="473">
        <v>2.1</v>
      </c>
    </row>
    <row r="524" spans="16:20" ht="15">
      <c r="P524" s="447"/>
      <c r="Q524" s="473">
        <v>6.5</v>
      </c>
      <c r="R524" s="473">
        <v>3.2</v>
      </c>
      <c r="S524" s="473">
        <v>10000</v>
      </c>
      <c r="T524" s="473">
        <v>2.1</v>
      </c>
    </row>
    <row r="525" spans="16:20" ht="15">
      <c r="P525" s="447"/>
      <c r="Q525" s="473">
        <v>6.5</v>
      </c>
      <c r="R525" s="473">
        <v>4.8</v>
      </c>
      <c r="S525" s="473">
        <v>0</v>
      </c>
      <c r="T525" s="473">
        <v>4</v>
      </c>
    </row>
    <row r="526" spans="16:20" ht="15">
      <c r="P526" s="447"/>
      <c r="Q526" s="473">
        <v>6.5</v>
      </c>
      <c r="R526" s="473">
        <v>4.8</v>
      </c>
      <c r="S526" s="473">
        <v>300</v>
      </c>
      <c r="T526" s="473">
        <v>4</v>
      </c>
    </row>
    <row r="527" spans="16:20" ht="15">
      <c r="P527" s="447"/>
      <c r="Q527" s="473">
        <v>6.5</v>
      </c>
      <c r="R527" s="473">
        <v>4.8</v>
      </c>
      <c r="S527" s="473">
        <v>300.01</v>
      </c>
      <c r="T527" s="473">
        <v>3.1</v>
      </c>
    </row>
    <row r="528" spans="16:20" ht="15">
      <c r="P528" s="447"/>
      <c r="Q528" s="473">
        <v>6.5</v>
      </c>
      <c r="R528" s="473">
        <v>4.8</v>
      </c>
      <c r="S528" s="473">
        <v>600</v>
      </c>
      <c r="T528" s="473">
        <v>3.1</v>
      </c>
    </row>
    <row r="529" spans="16:20" ht="15">
      <c r="P529" s="447"/>
      <c r="Q529" s="473">
        <v>6.5</v>
      </c>
      <c r="R529" s="473">
        <v>4.8</v>
      </c>
      <c r="S529" s="473">
        <v>600.01</v>
      </c>
      <c r="T529" s="473">
        <v>2.2000000000000002</v>
      </c>
    </row>
    <row r="530" spans="16:20" ht="15">
      <c r="P530" s="447"/>
      <c r="Q530" s="473">
        <v>6.5</v>
      </c>
      <c r="R530" s="473">
        <v>4.8</v>
      </c>
      <c r="S530" s="473">
        <v>10000</v>
      </c>
      <c r="T530" s="473">
        <v>2.2000000000000002</v>
      </c>
    </row>
    <row r="531" spans="16:20" ht="15">
      <c r="P531" s="447"/>
      <c r="Q531" s="473">
        <v>6.5</v>
      </c>
      <c r="R531" s="473">
        <v>6.4</v>
      </c>
      <c r="S531" s="473">
        <v>0</v>
      </c>
      <c r="T531" s="473">
        <v>4.8</v>
      </c>
    </row>
    <row r="532" spans="16:20" ht="15">
      <c r="P532" s="447"/>
      <c r="Q532" s="473">
        <v>6.5</v>
      </c>
      <c r="R532" s="473">
        <v>6.4</v>
      </c>
      <c r="S532" s="473">
        <v>300</v>
      </c>
      <c r="T532" s="473">
        <v>4.8</v>
      </c>
    </row>
    <row r="533" spans="16:20" ht="15">
      <c r="P533" s="447"/>
      <c r="Q533" s="473">
        <v>6.5</v>
      </c>
      <c r="R533" s="473">
        <v>6.4</v>
      </c>
      <c r="S533" s="473">
        <v>300.01</v>
      </c>
      <c r="T533" s="473">
        <v>3.5</v>
      </c>
    </row>
    <row r="534" spans="16:20" ht="15">
      <c r="P534" s="447"/>
      <c r="Q534" s="473">
        <v>6.5</v>
      </c>
      <c r="R534" s="473">
        <v>6.4</v>
      </c>
      <c r="S534" s="473">
        <v>600</v>
      </c>
      <c r="T534" s="473">
        <v>3.5</v>
      </c>
    </row>
    <row r="535" spans="16:20" ht="15">
      <c r="P535" s="447"/>
      <c r="Q535" s="473">
        <v>6.5</v>
      </c>
      <c r="R535" s="473">
        <v>6.4</v>
      </c>
      <c r="S535" s="473">
        <v>600.01</v>
      </c>
      <c r="T535" s="473">
        <v>2.2999999999999998</v>
      </c>
    </row>
    <row r="536" spans="16:20" ht="15">
      <c r="P536" s="447"/>
      <c r="Q536" s="473">
        <v>6.5</v>
      </c>
      <c r="R536" s="473">
        <v>6.4</v>
      </c>
      <c r="S536" s="473">
        <v>10000</v>
      </c>
      <c r="T536" s="473">
        <v>2.2999999999999998</v>
      </c>
    </row>
    <row r="537" spans="16:20" ht="15">
      <c r="P537" s="447"/>
      <c r="Q537" s="473">
        <v>6.5</v>
      </c>
      <c r="R537" s="473">
        <v>100</v>
      </c>
      <c r="S537" s="473">
        <v>0</v>
      </c>
      <c r="T537" s="473">
        <v>4.8</v>
      </c>
    </row>
    <row r="538" spans="16:20" ht="15">
      <c r="P538" s="447"/>
      <c r="Q538" s="473">
        <v>6.5</v>
      </c>
      <c r="R538" s="473">
        <v>100</v>
      </c>
      <c r="S538" s="473">
        <v>300</v>
      </c>
      <c r="T538" s="473">
        <v>4.8</v>
      </c>
    </row>
    <row r="539" spans="16:20" ht="15">
      <c r="P539" s="447"/>
      <c r="Q539" s="473">
        <v>6.5</v>
      </c>
      <c r="R539" s="473">
        <v>100</v>
      </c>
      <c r="S539" s="473">
        <v>300.01</v>
      </c>
      <c r="T539" s="473">
        <v>3.5</v>
      </c>
    </row>
    <row r="540" spans="16:20" ht="15">
      <c r="P540" s="447"/>
      <c r="Q540" s="473">
        <v>6.5</v>
      </c>
      <c r="R540" s="473">
        <v>100</v>
      </c>
      <c r="S540" s="473">
        <v>600</v>
      </c>
      <c r="T540" s="473">
        <v>3.5</v>
      </c>
    </row>
    <row r="541" spans="16:20" ht="15">
      <c r="P541" s="447"/>
      <c r="Q541" s="473">
        <v>6.5</v>
      </c>
      <c r="R541" s="473">
        <v>100</v>
      </c>
      <c r="S541" s="473">
        <v>600.01</v>
      </c>
      <c r="T541" s="473">
        <v>2.2999999999999998</v>
      </c>
    </row>
    <row r="542" spans="16:20" ht="15">
      <c r="P542" s="447"/>
      <c r="Q542" s="473">
        <v>6.5</v>
      </c>
      <c r="R542" s="473">
        <v>100</v>
      </c>
      <c r="S542" s="473">
        <v>10000</v>
      </c>
      <c r="T542" s="473">
        <v>2.2999999999999998</v>
      </c>
    </row>
    <row r="543" spans="16:20" ht="15">
      <c r="P543" s="447"/>
      <c r="Q543" s="473">
        <v>100</v>
      </c>
      <c r="R543" s="473">
        <v>0</v>
      </c>
      <c r="S543" s="473">
        <v>0</v>
      </c>
      <c r="T543" s="473">
        <v>1</v>
      </c>
    </row>
    <row r="544" spans="16:20" ht="15">
      <c r="P544" s="447"/>
      <c r="Q544" s="473">
        <v>100</v>
      </c>
      <c r="R544" s="473">
        <v>0</v>
      </c>
      <c r="S544" s="473">
        <v>300</v>
      </c>
      <c r="T544" s="473">
        <v>1</v>
      </c>
    </row>
    <row r="545" spans="16:20" ht="15">
      <c r="P545" s="447"/>
      <c r="Q545" s="473">
        <v>100</v>
      </c>
      <c r="R545" s="473">
        <v>0</v>
      </c>
      <c r="S545" s="473">
        <v>300.01</v>
      </c>
      <c r="T545" s="473">
        <v>1</v>
      </c>
    </row>
    <row r="546" spans="16:20" ht="15">
      <c r="P546" s="447"/>
      <c r="Q546" s="473">
        <v>100</v>
      </c>
      <c r="R546" s="473">
        <v>0</v>
      </c>
      <c r="S546" s="473">
        <v>600</v>
      </c>
      <c r="T546" s="473">
        <v>1</v>
      </c>
    </row>
    <row r="547" spans="16:20" ht="15">
      <c r="P547" s="447"/>
      <c r="Q547" s="473">
        <v>100</v>
      </c>
      <c r="R547" s="473">
        <v>0</v>
      </c>
      <c r="S547" s="473">
        <v>600.01</v>
      </c>
      <c r="T547" s="473">
        <v>1</v>
      </c>
    </row>
    <row r="548" spans="16:20" ht="15">
      <c r="P548" s="447"/>
      <c r="Q548" s="473">
        <v>100</v>
      </c>
      <c r="R548" s="473">
        <v>0</v>
      </c>
      <c r="S548" s="473">
        <v>10000</v>
      </c>
      <c r="T548" s="473">
        <v>1</v>
      </c>
    </row>
    <row r="549" spans="16:20" ht="15">
      <c r="P549" s="447"/>
      <c r="Q549" s="473">
        <v>100</v>
      </c>
      <c r="R549" s="473">
        <v>0.4</v>
      </c>
      <c r="S549" s="473">
        <v>0</v>
      </c>
      <c r="T549" s="473">
        <v>1</v>
      </c>
    </row>
    <row r="550" spans="16:20" ht="15">
      <c r="P550" s="447"/>
      <c r="Q550" s="473">
        <v>100</v>
      </c>
      <c r="R550" s="473">
        <v>0.4</v>
      </c>
      <c r="S550" s="473">
        <v>300</v>
      </c>
      <c r="T550" s="473">
        <v>1</v>
      </c>
    </row>
    <row r="551" spans="16:20" ht="15">
      <c r="P551" s="447"/>
      <c r="Q551" s="473">
        <v>100</v>
      </c>
      <c r="R551" s="473">
        <v>0.4</v>
      </c>
      <c r="S551" s="473">
        <v>300.01</v>
      </c>
      <c r="T551" s="473">
        <v>1</v>
      </c>
    </row>
    <row r="552" spans="16:20" ht="15">
      <c r="P552" s="447"/>
      <c r="Q552" s="473">
        <v>100</v>
      </c>
      <c r="R552" s="473">
        <v>0.4</v>
      </c>
      <c r="S552" s="473">
        <v>600</v>
      </c>
      <c r="T552" s="473">
        <v>1</v>
      </c>
    </row>
    <row r="553" spans="16:20" ht="15">
      <c r="P553" s="447"/>
      <c r="Q553" s="473">
        <v>100</v>
      </c>
      <c r="R553" s="473">
        <v>0.4</v>
      </c>
      <c r="S553" s="473">
        <v>600.01</v>
      </c>
      <c r="T553" s="473">
        <v>1</v>
      </c>
    </row>
    <row r="554" spans="16:20" ht="15">
      <c r="P554" s="447"/>
      <c r="Q554" s="473">
        <v>100</v>
      </c>
      <c r="R554" s="473">
        <v>0.4</v>
      </c>
      <c r="S554" s="473">
        <v>10000</v>
      </c>
      <c r="T554" s="473">
        <v>1</v>
      </c>
    </row>
    <row r="555" spans="16:20" ht="15">
      <c r="P555" s="447"/>
      <c r="Q555" s="473">
        <v>100</v>
      </c>
      <c r="R555" s="473">
        <v>0.8</v>
      </c>
      <c r="S555" s="473">
        <v>0</v>
      </c>
      <c r="T555" s="473">
        <v>1</v>
      </c>
    </row>
    <row r="556" spans="16:20" ht="15">
      <c r="P556" s="447"/>
      <c r="Q556" s="473">
        <v>100</v>
      </c>
      <c r="R556" s="473">
        <v>0.8</v>
      </c>
      <c r="S556" s="473">
        <v>300</v>
      </c>
      <c r="T556" s="473">
        <v>1</v>
      </c>
    </row>
    <row r="557" spans="16:20" ht="15">
      <c r="P557" s="447"/>
      <c r="Q557" s="473">
        <v>100</v>
      </c>
      <c r="R557" s="473">
        <v>0.8</v>
      </c>
      <c r="S557" s="473">
        <v>300.01</v>
      </c>
      <c r="T557" s="473">
        <v>1</v>
      </c>
    </row>
    <row r="558" spans="16:20" ht="15">
      <c r="P558" s="447"/>
      <c r="Q558" s="473">
        <v>100</v>
      </c>
      <c r="R558" s="473">
        <v>0.8</v>
      </c>
      <c r="S558" s="473">
        <v>600</v>
      </c>
      <c r="T558" s="473">
        <v>1</v>
      </c>
    </row>
    <row r="559" spans="16:20" ht="15">
      <c r="P559" s="447"/>
      <c r="Q559" s="473">
        <v>100</v>
      </c>
      <c r="R559" s="473">
        <v>0.8</v>
      </c>
      <c r="S559" s="473">
        <v>600.01</v>
      </c>
      <c r="T559" s="473">
        <v>1</v>
      </c>
    </row>
    <row r="560" spans="16:20" ht="15">
      <c r="P560" s="447"/>
      <c r="Q560" s="473">
        <v>100</v>
      </c>
      <c r="R560" s="473">
        <v>0.8</v>
      </c>
      <c r="S560" s="473">
        <v>10000</v>
      </c>
      <c r="T560" s="473">
        <v>1</v>
      </c>
    </row>
    <row r="561" spans="16:20" ht="15">
      <c r="P561" s="447"/>
      <c r="Q561" s="473">
        <v>100</v>
      </c>
      <c r="R561" s="473">
        <v>1.2</v>
      </c>
      <c r="S561" s="473">
        <v>0</v>
      </c>
      <c r="T561" s="473">
        <v>1</v>
      </c>
    </row>
    <row r="562" spans="16:20" ht="15">
      <c r="P562" s="447"/>
      <c r="Q562" s="473">
        <v>100</v>
      </c>
      <c r="R562" s="473">
        <v>1.2</v>
      </c>
      <c r="S562" s="473">
        <v>300</v>
      </c>
      <c r="T562" s="473">
        <v>1</v>
      </c>
    </row>
    <row r="563" spans="16:20" ht="15">
      <c r="P563" s="447"/>
      <c r="Q563" s="473">
        <v>100</v>
      </c>
      <c r="R563" s="473">
        <v>1.2</v>
      </c>
      <c r="S563" s="473">
        <v>300.01</v>
      </c>
      <c r="T563" s="473">
        <v>1</v>
      </c>
    </row>
    <row r="564" spans="16:20" ht="15">
      <c r="P564" s="447"/>
      <c r="Q564" s="473">
        <v>100</v>
      </c>
      <c r="R564" s="473">
        <v>1.2</v>
      </c>
      <c r="S564" s="473">
        <v>600</v>
      </c>
      <c r="T564" s="473">
        <v>1</v>
      </c>
    </row>
    <row r="565" spans="16:20" ht="15">
      <c r="P565" s="447"/>
      <c r="Q565" s="473">
        <v>100</v>
      </c>
      <c r="R565" s="473">
        <v>1.2</v>
      </c>
      <c r="S565" s="473">
        <v>600.01</v>
      </c>
      <c r="T565" s="473">
        <v>1.3</v>
      </c>
    </row>
    <row r="566" spans="16:20" ht="15">
      <c r="P566" s="447"/>
      <c r="Q566" s="473">
        <v>100</v>
      </c>
      <c r="R566" s="473">
        <v>1.2</v>
      </c>
      <c r="S566" s="473">
        <v>10000</v>
      </c>
      <c r="T566" s="473">
        <v>1.3</v>
      </c>
    </row>
    <row r="567" spans="16:20" ht="15">
      <c r="P567" s="447"/>
      <c r="Q567" s="473">
        <v>100</v>
      </c>
      <c r="R567" s="473">
        <v>1.6</v>
      </c>
      <c r="S567" s="473">
        <v>0</v>
      </c>
      <c r="T567" s="473">
        <v>1.3</v>
      </c>
    </row>
    <row r="568" spans="16:20" ht="15">
      <c r="P568" s="447"/>
      <c r="Q568" s="473">
        <v>100</v>
      </c>
      <c r="R568" s="473">
        <v>1.6</v>
      </c>
      <c r="S568" s="473">
        <v>300</v>
      </c>
      <c r="T568" s="473">
        <v>1.3</v>
      </c>
    </row>
    <row r="569" spans="16:20" ht="15">
      <c r="P569" s="447"/>
      <c r="Q569" s="473">
        <v>100</v>
      </c>
      <c r="R569" s="473">
        <v>1.6</v>
      </c>
      <c r="S569" s="473">
        <v>300.01</v>
      </c>
      <c r="T569" s="473">
        <v>1.4</v>
      </c>
    </row>
    <row r="570" spans="16:20" ht="15">
      <c r="P570" s="447"/>
      <c r="Q570" s="473">
        <v>100</v>
      </c>
      <c r="R570" s="473">
        <v>1.6</v>
      </c>
      <c r="S570" s="473">
        <v>600</v>
      </c>
      <c r="T570" s="473">
        <v>1.4</v>
      </c>
    </row>
    <row r="571" spans="16:20" ht="15">
      <c r="P571" s="447"/>
      <c r="Q571" s="473">
        <v>100</v>
      </c>
      <c r="R571" s="473">
        <v>1.6</v>
      </c>
      <c r="S571" s="473">
        <v>600.01</v>
      </c>
      <c r="T571" s="473">
        <v>1.6</v>
      </c>
    </row>
    <row r="572" spans="16:20" ht="15">
      <c r="P572" s="447"/>
      <c r="Q572" s="473">
        <v>100</v>
      </c>
      <c r="R572" s="473">
        <v>1.6</v>
      </c>
      <c r="S572" s="473">
        <v>10000</v>
      </c>
      <c r="T572" s="473">
        <v>1.6</v>
      </c>
    </row>
    <row r="573" spans="16:20" ht="15">
      <c r="P573" s="447"/>
      <c r="Q573" s="473">
        <v>100</v>
      </c>
      <c r="R573" s="473">
        <v>2.4</v>
      </c>
      <c r="S573" s="473">
        <v>0</v>
      </c>
      <c r="T573" s="473">
        <v>2.1</v>
      </c>
    </row>
    <row r="574" spans="16:20" ht="15">
      <c r="P574" s="447"/>
      <c r="Q574" s="473">
        <v>100</v>
      </c>
      <c r="R574" s="473">
        <v>2.4</v>
      </c>
      <c r="S574" s="473">
        <v>300</v>
      </c>
      <c r="T574" s="473">
        <v>2.1</v>
      </c>
    </row>
    <row r="575" spans="16:20" ht="15">
      <c r="P575" s="447"/>
      <c r="Q575" s="473">
        <v>100</v>
      </c>
      <c r="R575" s="473">
        <v>2.4</v>
      </c>
      <c r="S575" s="473">
        <v>300.01</v>
      </c>
      <c r="T575" s="473">
        <v>2</v>
      </c>
    </row>
    <row r="576" spans="16:20" ht="15">
      <c r="P576" s="447"/>
      <c r="Q576" s="473">
        <v>100</v>
      </c>
      <c r="R576" s="473">
        <v>2.4</v>
      </c>
      <c r="S576" s="473">
        <v>600</v>
      </c>
      <c r="T576" s="473">
        <v>2</v>
      </c>
    </row>
    <row r="577" spans="16:20" ht="15">
      <c r="P577" s="447"/>
      <c r="Q577" s="473">
        <v>100</v>
      </c>
      <c r="R577" s="473">
        <v>2.4</v>
      </c>
      <c r="S577" s="473">
        <v>600.01</v>
      </c>
      <c r="T577" s="473">
        <v>2</v>
      </c>
    </row>
    <row r="578" spans="16:20" ht="15">
      <c r="P578" s="447"/>
      <c r="Q578" s="473">
        <v>100</v>
      </c>
      <c r="R578" s="473">
        <v>2.4</v>
      </c>
      <c r="S578" s="473">
        <v>10000</v>
      </c>
      <c r="T578" s="473">
        <v>2</v>
      </c>
    </row>
    <row r="579" spans="16:20" ht="15">
      <c r="P579" s="447"/>
      <c r="Q579" s="473">
        <v>100</v>
      </c>
      <c r="R579" s="473">
        <v>3.2</v>
      </c>
      <c r="S579" s="473">
        <v>0</v>
      </c>
      <c r="T579" s="473">
        <v>2.8</v>
      </c>
    </row>
    <row r="580" spans="16:20" ht="15">
      <c r="P580" s="447"/>
      <c r="Q580" s="473">
        <v>100</v>
      </c>
      <c r="R580" s="473">
        <v>3.2</v>
      </c>
      <c r="S580" s="473">
        <v>300</v>
      </c>
      <c r="T580" s="473">
        <v>2.8</v>
      </c>
    </row>
    <row r="581" spans="16:20" ht="15">
      <c r="P581" s="447"/>
      <c r="Q581" s="473">
        <v>100</v>
      </c>
      <c r="R581" s="473">
        <v>3.2</v>
      </c>
      <c r="S581" s="473">
        <v>300.01</v>
      </c>
      <c r="T581" s="473">
        <v>2.5</v>
      </c>
    </row>
    <row r="582" spans="16:20" ht="15">
      <c r="P582" s="447"/>
      <c r="Q582" s="473">
        <v>100</v>
      </c>
      <c r="R582" s="473">
        <v>3.2</v>
      </c>
      <c r="S582" s="473">
        <v>600</v>
      </c>
      <c r="T582" s="473">
        <v>2.5</v>
      </c>
    </row>
    <row r="583" spans="16:20" ht="15">
      <c r="P583" s="447"/>
      <c r="Q583" s="473">
        <v>100</v>
      </c>
      <c r="R583" s="473">
        <v>3.2</v>
      </c>
      <c r="S583" s="473">
        <v>600.01</v>
      </c>
      <c r="T583" s="473">
        <v>2.1</v>
      </c>
    </row>
    <row r="584" spans="16:20" ht="15">
      <c r="P584" s="447"/>
      <c r="Q584" s="473">
        <v>100</v>
      </c>
      <c r="R584" s="473">
        <v>3.2</v>
      </c>
      <c r="S584" s="473">
        <v>10000</v>
      </c>
      <c r="T584" s="473">
        <v>2.1</v>
      </c>
    </row>
    <row r="585" spans="16:20" ht="15">
      <c r="P585" s="447"/>
      <c r="Q585" s="473">
        <v>100</v>
      </c>
      <c r="R585" s="473">
        <v>4.8</v>
      </c>
      <c r="S585" s="473">
        <v>0</v>
      </c>
      <c r="T585" s="473">
        <v>4</v>
      </c>
    </row>
    <row r="586" spans="16:20" ht="15">
      <c r="P586" s="447"/>
      <c r="Q586" s="473">
        <v>100</v>
      </c>
      <c r="R586" s="473">
        <v>4.8</v>
      </c>
      <c r="S586" s="473">
        <v>300</v>
      </c>
      <c r="T586" s="473">
        <v>4</v>
      </c>
    </row>
    <row r="587" spans="16:20" ht="15">
      <c r="P587" s="447"/>
      <c r="Q587" s="473">
        <v>100</v>
      </c>
      <c r="R587" s="473">
        <v>4.8</v>
      </c>
      <c r="S587" s="473">
        <v>300.01</v>
      </c>
      <c r="T587" s="473">
        <v>3.1</v>
      </c>
    </row>
    <row r="588" spans="16:20" ht="15">
      <c r="P588" s="447"/>
      <c r="Q588" s="473">
        <v>100</v>
      </c>
      <c r="R588" s="473">
        <v>4.8</v>
      </c>
      <c r="S588" s="473">
        <v>600</v>
      </c>
      <c r="T588" s="473">
        <v>3.1</v>
      </c>
    </row>
    <row r="589" spans="16:20" ht="15">
      <c r="P589" s="447"/>
      <c r="Q589" s="473">
        <v>100</v>
      </c>
      <c r="R589" s="473">
        <v>4.8</v>
      </c>
      <c r="S589" s="473">
        <v>600.01</v>
      </c>
      <c r="T589" s="473">
        <v>2.2000000000000002</v>
      </c>
    </row>
    <row r="590" spans="16:20" ht="15">
      <c r="P590" s="447"/>
      <c r="Q590" s="473">
        <v>100</v>
      </c>
      <c r="R590" s="473">
        <v>4.8</v>
      </c>
      <c r="S590" s="473">
        <v>10000</v>
      </c>
      <c r="T590" s="473">
        <v>2.2000000000000002</v>
      </c>
    </row>
    <row r="591" spans="16:20" ht="15">
      <c r="P591" s="447"/>
      <c r="Q591" s="473">
        <v>100</v>
      </c>
      <c r="R591" s="473">
        <v>6.4</v>
      </c>
      <c r="S591" s="473">
        <v>0</v>
      </c>
      <c r="T591" s="473">
        <v>4.8</v>
      </c>
    </row>
    <row r="592" spans="16:20" ht="15">
      <c r="P592" s="447"/>
      <c r="Q592" s="473">
        <v>100</v>
      </c>
      <c r="R592" s="473">
        <v>6.4</v>
      </c>
      <c r="S592" s="473">
        <v>300</v>
      </c>
      <c r="T592" s="473">
        <v>4.8</v>
      </c>
    </row>
    <row r="593" spans="16:20" ht="15">
      <c r="P593" s="447"/>
      <c r="Q593" s="473">
        <v>100</v>
      </c>
      <c r="R593" s="473">
        <v>6.4</v>
      </c>
      <c r="S593" s="473">
        <v>300.01</v>
      </c>
      <c r="T593" s="473">
        <v>3.5</v>
      </c>
    </row>
    <row r="594" spans="16:20" ht="15">
      <c r="P594" s="447"/>
      <c r="Q594" s="473">
        <v>100</v>
      </c>
      <c r="R594" s="473">
        <v>6.4</v>
      </c>
      <c r="S594" s="473">
        <v>600</v>
      </c>
      <c r="T594" s="473">
        <v>3.5</v>
      </c>
    </row>
    <row r="595" spans="16:20" ht="15">
      <c r="P595" s="447"/>
      <c r="Q595" s="473">
        <v>100</v>
      </c>
      <c r="R595" s="473">
        <v>6.4</v>
      </c>
      <c r="S595" s="473">
        <v>600.01</v>
      </c>
      <c r="T595" s="473">
        <v>2.2999999999999998</v>
      </c>
    </row>
    <row r="596" spans="16:20" ht="15">
      <c r="P596" s="447"/>
      <c r="Q596" s="473">
        <v>100</v>
      </c>
      <c r="R596" s="473">
        <v>6.4</v>
      </c>
      <c r="S596" s="473">
        <v>10000</v>
      </c>
      <c r="T596" s="473">
        <v>2.2999999999999998</v>
      </c>
    </row>
    <row r="597" spans="16:20" ht="15">
      <c r="P597" s="447"/>
      <c r="Q597" s="473">
        <v>100</v>
      </c>
      <c r="R597" s="473">
        <v>100</v>
      </c>
      <c r="S597" s="473">
        <v>0</v>
      </c>
      <c r="T597" s="473">
        <v>4.8</v>
      </c>
    </row>
    <row r="598" spans="16:20" ht="15">
      <c r="P598" s="447"/>
      <c r="Q598" s="473">
        <v>100</v>
      </c>
      <c r="R598" s="473">
        <v>100</v>
      </c>
      <c r="S598" s="473">
        <v>300</v>
      </c>
      <c r="T598" s="473">
        <v>4.8</v>
      </c>
    </row>
    <row r="599" spans="16:20" ht="15">
      <c r="P599" s="447"/>
      <c r="Q599" s="473">
        <v>100</v>
      </c>
      <c r="R599" s="473">
        <v>100</v>
      </c>
      <c r="S599" s="473">
        <v>300.01</v>
      </c>
      <c r="T599" s="473">
        <v>3.5</v>
      </c>
    </row>
    <row r="600" spans="16:20" ht="15">
      <c r="P600" s="447"/>
      <c r="Q600" s="473">
        <v>100</v>
      </c>
      <c r="R600" s="473">
        <v>100</v>
      </c>
      <c r="S600" s="473">
        <v>600</v>
      </c>
      <c r="T600" s="473">
        <v>3.5</v>
      </c>
    </row>
    <row r="601" spans="16:20" ht="15">
      <c r="P601" s="447"/>
      <c r="Q601" s="473">
        <v>100</v>
      </c>
      <c r="R601" s="473">
        <v>100</v>
      </c>
      <c r="S601" s="473">
        <v>600.01</v>
      </c>
      <c r="T601" s="473">
        <v>2.2999999999999998</v>
      </c>
    </row>
    <row r="602" spans="16:20" ht="15">
      <c r="P602" s="447"/>
      <c r="Q602" s="473">
        <v>100</v>
      </c>
      <c r="R602" s="473">
        <v>100</v>
      </c>
      <c r="S602" s="473">
        <v>10000</v>
      </c>
      <c r="T602" s="473">
        <v>2.2999999999999998</v>
      </c>
    </row>
    <row r="603" spans="16:20" ht="15">
      <c r="P603" s="447"/>
      <c r="Q603" s="497"/>
      <c r="R603" s="497"/>
      <c r="S603" s="497"/>
      <c r="T603" s="497"/>
    </row>
    <row r="604" spans="16:20" ht="15">
      <c r="P604" s="447"/>
      <c r="Q604" s="497"/>
      <c r="R604" s="497"/>
      <c r="S604" s="497"/>
      <c r="T604" s="497"/>
    </row>
    <row r="605" spans="16:20" ht="15">
      <c r="P605" s="447"/>
      <c r="Q605" s="497"/>
      <c r="R605" s="497"/>
      <c r="S605" s="497"/>
      <c r="T605" s="497"/>
    </row>
    <row r="606" spans="16:20" ht="15">
      <c r="P606" s="447"/>
      <c r="Q606" s="497"/>
      <c r="R606" s="497"/>
      <c r="S606" s="497"/>
      <c r="T606" s="497"/>
    </row>
    <row r="607" spans="16:20" ht="15">
      <c r="P607" s="447"/>
      <c r="Q607" s="497"/>
      <c r="R607" s="497"/>
      <c r="S607" s="497"/>
      <c r="T607" s="497"/>
    </row>
    <row r="608" spans="16:20" ht="15">
      <c r="P608" s="447"/>
      <c r="Q608" s="497"/>
      <c r="R608" s="497"/>
      <c r="S608" s="497"/>
      <c r="T608" s="497"/>
    </row>
    <row r="609" spans="1:16" s="497" customFormat="1" ht="15">
      <c r="A609" s="443"/>
      <c r="B609" s="443"/>
      <c r="C609" s="443"/>
      <c r="D609" s="443"/>
      <c r="E609" s="458"/>
      <c r="F609" s="458"/>
      <c r="G609" s="458"/>
      <c r="H609" s="458"/>
      <c r="I609" s="458"/>
      <c r="J609" s="458"/>
      <c r="K609" s="458"/>
      <c r="L609" s="458"/>
      <c r="M609" s="458"/>
      <c r="N609" s="458"/>
      <c r="O609" s="443"/>
      <c r="P609" s="447"/>
    </row>
    <row r="610" spans="1:16" s="497" customFormat="1" ht="15">
      <c r="A610" s="443"/>
      <c r="B610" s="443"/>
      <c r="C610" s="443"/>
      <c r="D610" s="443"/>
      <c r="E610" s="458"/>
      <c r="F610" s="458"/>
      <c r="G610" s="458"/>
      <c r="H610" s="458"/>
      <c r="I610" s="458"/>
      <c r="J610" s="458"/>
      <c r="K610" s="458"/>
      <c r="L610" s="458"/>
      <c r="M610" s="458"/>
      <c r="N610" s="458"/>
      <c r="O610" s="443"/>
      <c r="P610" s="447"/>
    </row>
    <row r="611" spans="1:16" s="497" customFormat="1" ht="15">
      <c r="A611" s="443"/>
      <c r="B611" s="443"/>
      <c r="C611" s="443"/>
      <c r="D611" s="443"/>
      <c r="E611" s="458"/>
      <c r="F611" s="458"/>
      <c r="G611" s="458"/>
      <c r="H611" s="458"/>
      <c r="I611" s="458"/>
      <c r="J611" s="458"/>
      <c r="K611" s="458"/>
      <c r="L611" s="458"/>
      <c r="M611" s="458"/>
      <c r="N611" s="458"/>
      <c r="O611" s="443"/>
      <c r="P611" s="447"/>
    </row>
    <row r="612" spans="1:16" s="497" customFormat="1" ht="15">
      <c r="A612" s="443"/>
      <c r="B612" s="443"/>
      <c r="C612" s="443"/>
      <c r="D612" s="443"/>
      <c r="E612" s="458"/>
      <c r="F612" s="458"/>
      <c r="G612" s="458"/>
      <c r="H612" s="458"/>
      <c r="I612" s="458"/>
      <c r="J612" s="458"/>
      <c r="K612" s="458"/>
      <c r="L612" s="458"/>
      <c r="M612" s="458"/>
      <c r="N612" s="458"/>
      <c r="O612" s="443"/>
      <c r="P612" s="447"/>
    </row>
    <row r="613" spans="1:16" s="497" customFormat="1" ht="15">
      <c r="A613" s="443"/>
      <c r="B613" s="443"/>
      <c r="C613" s="443"/>
      <c r="D613" s="443"/>
      <c r="E613" s="458"/>
      <c r="F613" s="458"/>
      <c r="G613" s="458"/>
      <c r="H613" s="458"/>
      <c r="I613" s="458"/>
      <c r="J613" s="458"/>
      <c r="K613" s="458"/>
      <c r="L613" s="458"/>
      <c r="M613" s="458"/>
      <c r="N613" s="458"/>
      <c r="O613" s="443"/>
      <c r="P613" s="447"/>
    </row>
    <row r="614" spans="1:16" s="497" customFormat="1" ht="15">
      <c r="A614" s="443"/>
      <c r="B614" s="443"/>
      <c r="C614" s="443"/>
      <c r="D614" s="443"/>
      <c r="E614" s="458"/>
      <c r="F614" s="458"/>
      <c r="G614" s="458"/>
      <c r="H614" s="458"/>
      <c r="I614" s="458"/>
      <c r="J614" s="458"/>
      <c r="K614" s="458"/>
      <c r="L614" s="458"/>
      <c r="M614" s="458"/>
      <c r="N614" s="458"/>
      <c r="O614" s="443"/>
      <c r="P614" s="447"/>
    </row>
    <row r="615" spans="1:16" s="497" customFormat="1" ht="15">
      <c r="A615" s="443"/>
      <c r="B615" s="443"/>
      <c r="C615" s="443"/>
      <c r="D615" s="443"/>
      <c r="E615" s="458"/>
      <c r="F615" s="458"/>
      <c r="G615" s="458"/>
      <c r="H615" s="458"/>
      <c r="I615" s="458"/>
      <c r="J615" s="458"/>
      <c r="K615" s="458"/>
      <c r="L615" s="458"/>
      <c r="M615" s="458"/>
      <c r="N615" s="458"/>
      <c r="O615" s="443"/>
      <c r="P615" s="447"/>
    </row>
    <row r="616" spans="1:16" s="497" customFormat="1" ht="15">
      <c r="A616" s="443"/>
      <c r="B616" s="443"/>
      <c r="C616" s="443"/>
      <c r="D616" s="443"/>
      <c r="E616" s="458"/>
      <c r="F616" s="458"/>
      <c r="G616" s="458"/>
      <c r="H616" s="458"/>
      <c r="I616" s="458"/>
      <c r="J616" s="458"/>
      <c r="K616" s="458"/>
      <c r="L616" s="458"/>
      <c r="M616" s="458"/>
      <c r="N616" s="458"/>
      <c r="O616" s="443"/>
      <c r="P616" s="447"/>
    </row>
    <row r="617" spans="1:16" s="497" customFormat="1" ht="15">
      <c r="A617" s="443"/>
      <c r="B617" s="443"/>
      <c r="C617" s="443"/>
      <c r="D617" s="443"/>
      <c r="E617" s="458"/>
      <c r="F617" s="458"/>
      <c r="G617" s="458"/>
      <c r="H617" s="458"/>
      <c r="I617" s="458"/>
      <c r="J617" s="458"/>
      <c r="K617" s="458"/>
      <c r="L617" s="458"/>
      <c r="M617" s="458"/>
      <c r="N617" s="458"/>
      <c r="O617" s="443"/>
      <c r="P617" s="447"/>
    </row>
    <row r="618" spans="1:16" s="497" customFormat="1" ht="15">
      <c r="A618" s="443"/>
      <c r="B618" s="443"/>
      <c r="C618" s="443"/>
      <c r="D618" s="443"/>
      <c r="E618" s="458"/>
      <c r="F618" s="458"/>
      <c r="G618" s="458"/>
      <c r="H618" s="458"/>
      <c r="I618" s="458"/>
      <c r="J618" s="458"/>
      <c r="K618" s="458"/>
      <c r="L618" s="458"/>
      <c r="M618" s="458"/>
      <c r="N618" s="458"/>
      <c r="O618" s="443"/>
      <c r="P618" s="447"/>
    </row>
    <row r="619" spans="1:16" s="497" customFormat="1" ht="15">
      <c r="A619" s="443"/>
      <c r="B619" s="443"/>
      <c r="C619" s="443"/>
      <c r="D619" s="443"/>
      <c r="E619" s="458"/>
      <c r="F619" s="458"/>
      <c r="G619" s="458"/>
      <c r="H619" s="458"/>
      <c r="I619" s="458"/>
      <c r="J619" s="458"/>
      <c r="K619" s="458"/>
      <c r="L619" s="458"/>
      <c r="M619" s="458"/>
      <c r="N619" s="458"/>
      <c r="O619" s="443"/>
      <c r="P619" s="447"/>
    </row>
    <row r="620" spans="1:16" s="497" customFormat="1" ht="15">
      <c r="A620" s="443"/>
      <c r="B620" s="443"/>
      <c r="C620" s="443"/>
      <c r="D620" s="443"/>
      <c r="E620" s="458"/>
      <c r="F620" s="458"/>
      <c r="G620" s="458"/>
      <c r="H620" s="458"/>
      <c r="I620" s="458"/>
      <c r="J620" s="458"/>
      <c r="K620" s="458"/>
      <c r="L620" s="458"/>
      <c r="M620" s="458"/>
      <c r="N620" s="458"/>
      <c r="O620" s="443"/>
      <c r="P620" s="447"/>
    </row>
    <row r="621" spans="1:16" s="497" customFormat="1" ht="15">
      <c r="A621" s="443"/>
      <c r="B621" s="443"/>
      <c r="C621" s="443"/>
      <c r="D621" s="443"/>
      <c r="E621" s="458"/>
      <c r="F621" s="458"/>
      <c r="G621" s="458"/>
      <c r="H621" s="458"/>
      <c r="I621" s="458"/>
      <c r="J621" s="458"/>
      <c r="K621" s="458"/>
      <c r="L621" s="458"/>
      <c r="M621" s="458"/>
      <c r="N621" s="458"/>
      <c r="O621" s="443"/>
      <c r="P621" s="447"/>
    </row>
    <row r="622" spans="1:16" s="497" customFormat="1" ht="15">
      <c r="A622" s="443"/>
      <c r="B622" s="443"/>
      <c r="C622" s="443"/>
      <c r="D622" s="443"/>
      <c r="E622" s="458"/>
      <c r="F622" s="458"/>
      <c r="G622" s="458"/>
      <c r="H622" s="458"/>
      <c r="I622" s="458"/>
      <c r="J622" s="458"/>
      <c r="K622" s="458"/>
      <c r="L622" s="458"/>
      <c r="M622" s="458"/>
      <c r="N622" s="458"/>
      <c r="O622" s="443"/>
      <c r="P622" s="447"/>
    </row>
    <row r="623" spans="1:16" s="497" customFormat="1" ht="15">
      <c r="A623" s="443"/>
      <c r="B623" s="443"/>
      <c r="C623" s="443"/>
      <c r="D623" s="443"/>
      <c r="E623" s="458"/>
      <c r="F623" s="458"/>
      <c r="G623" s="458"/>
      <c r="H623" s="458"/>
      <c r="I623" s="458"/>
      <c r="J623" s="458"/>
      <c r="K623" s="458"/>
      <c r="L623" s="458"/>
      <c r="M623" s="458"/>
      <c r="N623" s="458"/>
      <c r="O623" s="443"/>
      <c r="P623" s="447"/>
    </row>
    <row r="624" spans="1:16" s="497" customFormat="1" ht="15">
      <c r="A624" s="443"/>
      <c r="B624" s="443"/>
      <c r="C624" s="443"/>
      <c r="D624" s="443"/>
      <c r="E624" s="458"/>
      <c r="F624" s="458"/>
      <c r="G624" s="458"/>
      <c r="H624" s="458"/>
      <c r="I624" s="458"/>
      <c r="J624" s="458"/>
      <c r="K624" s="458"/>
      <c r="L624" s="458"/>
      <c r="M624" s="458"/>
      <c r="N624" s="458"/>
      <c r="O624" s="443"/>
      <c r="P624" s="447"/>
    </row>
    <row r="625" spans="1:16" s="497" customFormat="1" ht="15">
      <c r="A625" s="443"/>
      <c r="B625" s="443"/>
      <c r="C625" s="443"/>
      <c r="D625" s="443"/>
      <c r="E625" s="458"/>
      <c r="F625" s="458"/>
      <c r="G625" s="458"/>
      <c r="H625" s="458"/>
      <c r="I625" s="458"/>
      <c r="J625" s="458"/>
      <c r="K625" s="458"/>
      <c r="L625" s="458"/>
      <c r="M625" s="458"/>
      <c r="N625" s="458"/>
      <c r="O625" s="443"/>
      <c r="P625" s="447"/>
    </row>
    <row r="626" spans="1:16" s="497" customFormat="1" ht="15">
      <c r="A626" s="443"/>
      <c r="B626" s="443"/>
      <c r="C626" s="443"/>
      <c r="D626" s="443"/>
      <c r="E626" s="458"/>
      <c r="F626" s="458"/>
      <c r="G626" s="458"/>
      <c r="H626" s="458"/>
      <c r="I626" s="458"/>
      <c r="J626" s="458"/>
      <c r="K626" s="458"/>
      <c r="L626" s="458"/>
      <c r="M626" s="458"/>
      <c r="N626" s="458"/>
      <c r="O626" s="443"/>
      <c r="P626" s="447"/>
    </row>
    <row r="627" spans="1:16" s="497" customFormat="1" ht="15">
      <c r="A627" s="443"/>
      <c r="B627" s="443"/>
      <c r="C627" s="443"/>
      <c r="D627" s="443"/>
      <c r="E627" s="458"/>
      <c r="F627" s="458"/>
      <c r="G627" s="458"/>
      <c r="H627" s="458"/>
      <c r="I627" s="458"/>
      <c r="J627" s="458"/>
      <c r="K627" s="458"/>
      <c r="L627" s="458"/>
      <c r="M627" s="458"/>
      <c r="N627" s="458"/>
      <c r="O627" s="443"/>
      <c r="P627" s="447"/>
    </row>
    <row r="628" spans="1:16" s="497" customFormat="1" ht="15">
      <c r="A628" s="443"/>
      <c r="B628" s="443"/>
      <c r="C628" s="443"/>
      <c r="D628" s="443"/>
      <c r="E628" s="458"/>
      <c r="F628" s="458"/>
      <c r="G628" s="458"/>
      <c r="H628" s="458"/>
      <c r="I628" s="458"/>
      <c r="J628" s="458"/>
      <c r="K628" s="458"/>
      <c r="L628" s="458"/>
      <c r="M628" s="458"/>
      <c r="N628" s="458"/>
      <c r="O628" s="443"/>
      <c r="P628" s="447"/>
    </row>
    <row r="629" spans="1:16" s="497" customFormat="1" ht="15">
      <c r="A629" s="443"/>
      <c r="B629" s="443"/>
      <c r="C629" s="443"/>
      <c r="D629" s="443"/>
      <c r="E629" s="458"/>
      <c r="F629" s="458"/>
      <c r="G629" s="458"/>
      <c r="H629" s="458"/>
      <c r="I629" s="458"/>
      <c r="J629" s="458"/>
      <c r="K629" s="458"/>
      <c r="L629" s="458"/>
      <c r="M629" s="458"/>
      <c r="N629" s="458"/>
      <c r="O629" s="443"/>
      <c r="P629" s="447"/>
    </row>
    <row r="630" spans="1:16" s="497" customFormat="1" ht="15">
      <c r="A630" s="443"/>
      <c r="B630" s="443"/>
      <c r="C630" s="443"/>
      <c r="D630" s="443"/>
      <c r="E630" s="458"/>
      <c r="F630" s="458"/>
      <c r="G630" s="458"/>
      <c r="H630" s="458"/>
      <c r="I630" s="458"/>
      <c r="J630" s="458"/>
      <c r="K630" s="458"/>
      <c r="L630" s="458"/>
      <c r="M630" s="458"/>
      <c r="N630" s="458"/>
      <c r="O630" s="443"/>
      <c r="P630" s="447"/>
    </row>
    <row r="631" spans="1:16" s="497" customFormat="1" ht="15">
      <c r="A631" s="443"/>
      <c r="B631" s="443"/>
      <c r="C631" s="443"/>
      <c r="D631" s="443"/>
      <c r="E631" s="458"/>
      <c r="F631" s="458"/>
      <c r="G631" s="458"/>
      <c r="H631" s="458"/>
      <c r="I631" s="458"/>
      <c r="J631" s="458"/>
      <c r="K631" s="458"/>
      <c r="L631" s="458"/>
      <c r="M631" s="458"/>
      <c r="N631" s="458"/>
      <c r="O631" s="443"/>
      <c r="P631" s="447"/>
    </row>
    <row r="632" spans="1:16" s="497" customFormat="1" ht="15">
      <c r="A632" s="443"/>
      <c r="B632" s="443"/>
      <c r="C632" s="443"/>
      <c r="D632" s="443"/>
      <c r="E632" s="458"/>
      <c r="F632" s="458"/>
      <c r="G632" s="458"/>
      <c r="H632" s="458"/>
      <c r="I632" s="458"/>
      <c r="J632" s="458"/>
      <c r="K632" s="458"/>
      <c r="L632" s="458"/>
      <c r="M632" s="458"/>
      <c r="N632" s="458"/>
      <c r="O632" s="443"/>
      <c r="P632" s="447"/>
    </row>
    <row r="633" spans="1:16" s="497" customFormat="1" ht="15">
      <c r="A633" s="443"/>
      <c r="B633" s="443"/>
      <c r="C633" s="443"/>
      <c r="D633" s="443"/>
      <c r="E633" s="458"/>
      <c r="F633" s="458"/>
      <c r="G633" s="458"/>
      <c r="H633" s="458"/>
      <c r="I633" s="458"/>
      <c r="J633" s="458"/>
      <c r="K633" s="458"/>
      <c r="L633" s="458"/>
      <c r="M633" s="458"/>
      <c r="N633" s="458"/>
      <c r="O633" s="443"/>
      <c r="P633" s="447"/>
    </row>
    <row r="634" spans="1:16" s="497" customFormat="1" ht="15">
      <c r="A634" s="443"/>
      <c r="B634" s="443"/>
      <c r="C634" s="443"/>
      <c r="D634" s="443"/>
      <c r="E634" s="458"/>
      <c r="F634" s="458"/>
      <c r="G634" s="458"/>
      <c r="H634" s="458"/>
      <c r="I634" s="458"/>
      <c r="J634" s="458"/>
      <c r="K634" s="458"/>
      <c r="L634" s="458"/>
      <c r="M634" s="458"/>
      <c r="N634" s="458"/>
      <c r="O634" s="443"/>
      <c r="P634" s="447"/>
    </row>
    <row r="635" spans="1:16" s="497" customFormat="1" ht="15">
      <c r="A635" s="443"/>
      <c r="B635" s="443"/>
      <c r="C635" s="443"/>
      <c r="D635" s="443"/>
      <c r="E635" s="458"/>
      <c r="F635" s="458"/>
      <c r="G635" s="458"/>
      <c r="H635" s="458"/>
      <c r="I635" s="458"/>
      <c r="J635" s="458"/>
      <c r="K635" s="458"/>
      <c r="L635" s="458"/>
      <c r="M635" s="458"/>
      <c r="N635" s="458"/>
      <c r="O635" s="443"/>
      <c r="P635" s="447"/>
    </row>
    <row r="636" spans="1:16" s="497" customFormat="1" ht="15">
      <c r="A636" s="443"/>
      <c r="B636" s="443"/>
      <c r="C636" s="443"/>
      <c r="D636" s="443"/>
      <c r="E636" s="458"/>
      <c r="F636" s="458"/>
      <c r="G636" s="458"/>
      <c r="H636" s="458"/>
      <c r="I636" s="458"/>
      <c r="J636" s="458"/>
      <c r="K636" s="458"/>
      <c r="L636" s="458"/>
      <c r="M636" s="458"/>
      <c r="N636" s="458"/>
      <c r="O636" s="443"/>
      <c r="P636" s="447"/>
    </row>
    <row r="637" spans="1:16" s="497" customFormat="1" ht="15">
      <c r="A637" s="443"/>
      <c r="B637" s="443"/>
      <c r="C637" s="443"/>
      <c r="D637" s="443"/>
      <c r="E637" s="458"/>
      <c r="F637" s="458"/>
      <c r="G637" s="458"/>
      <c r="H637" s="458"/>
      <c r="I637" s="458"/>
      <c r="J637" s="458"/>
      <c r="K637" s="458"/>
      <c r="L637" s="458"/>
      <c r="M637" s="458"/>
      <c r="N637" s="458"/>
      <c r="O637" s="443"/>
      <c r="P637" s="447"/>
    </row>
    <row r="638" spans="1:16" s="497" customFormat="1" ht="15">
      <c r="A638" s="443"/>
      <c r="B638" s="443"/>
      <c r="C638" s="443"/>
      <c r="D638" s="443"/>
      <c r="E638" s="458"/>
      <c r="F638" s="458"/>
      <c r="G638" s="458"/>
      <c r="H638" s="458"/>
      <c r="I638" s="458"/>
      <c r="J638" s="458"/>
      <c r="K638" s="458"/>
      <c r="L638" s="458"/>
      <c r="M638" s="458"/>
      <c r="N638" s="458"/>
      <c r="O638" s="443"/>
      <c r="P638" s="447"/>
    </row>
    <row r="639" spans="1:16" s="497" customFormat="1" ht="15">
      <c r="A639" s="443"/>
      <c r="B639" s="443"/>
      <c r="C639" s="443"/>
      <c r="D639" s="443"/>
      <c r="E639" s="458"/>
      <c r="F639" s="458"/>
      <c r="G639" s="458"/>
      <c r="H639" s="458"/>
      <c r="I639" s="458"/>
      <c r="J639" s="458"/>
      <c r="K639" s="458"/>
      <c r="L639" s="458"/>
      <c r="M639" s="458"/>
      <c r="N639" s="458"/>
      <c r="O639" s="443"/>
      <c r="P639" s="447"/>
    </row>
    <row r="640" spans="1:16" s="497" customFormat="1" ht="15">
      <c r="A640" s="443"/>
      <c r="B640" s="443"/>
      <c r="C640" s="443"/>
      <c r="D640" s="443"/>
      <c r="E640" s="458"/>
      <c r="F640" s="458"/>
      <c r="G640" s="458"/>
      <c r="H640" s="458"/>
      <c r="I640" s="458"/>
      <c r="J640" s="458"/>
      <c r="K640" s="458"/>
      <c r="L640" s="458"/>
      <c r="M640" s="458"/>
      <c r="N640" s="458"/>
      <c r="O640" s="443"/>
      <c r="P640" s="447"/>
    </row>
    <row r="641" spans="1:16" s="497" customFormat="1" ht="15">
      <c r="A641" s="443"/>
      <c r="B641" s="443"/>
      <c r="C641" s="443"/>
      <c r="D641" s="443"/>
      <c r="E641" s="458"/>
      <c r="F641" s="458"/>
      <c r="G641" s="458"/>
      <c r="H641" s="458"/>
      <c r="I641" s="458"/>
      <c r="J641" s="458"/>
      <c r="K641" s="458"/>
      <c r="L641" s="458"/>
      <c r="M641" s="458"/>
      <c r="N641" s="458"/>
      <c r="O641" s="443"/>
      <c r="P641" s="447"/>
    </row>
    <row r="642" spans="1:16" s="497" customFormat="1" ht="15">
      <c r="A642" s="443"/>
      <c r="B642" s="443"/>
      <c r="C642" s="443"/>
      <c r="D642" s="443"/>
      <c r="E642" s="458"/>
      <c r="F642" s="458"/>
      <c r="G642" s="458"/>
      <c r="H642" s="458"/>
      <c r="I642" s="458"/>
      <c r="J642" s="458"/>
      <c r="K642" s="458"/>
      <c r="L642" s="458"/>
      <c r="M642" s="458"/>
      <c r="N642" s="458"/>
      <c r="O642" s="443"/>
      <c r="P642" s="447"/>
    </row>
    <row r="643" spans="1:16" s="497" customFormat="1" ht="15">
      <c r="A643" s="443"/>
      <c r="B643" s="443"/>
      <c r="C643" s="443"/>
      <c r="D643" s="443"/>
      <c r="E643" s="458"/>
      <c r="F643" s="458"/>
      <c r="G643" s="458"/>
      <c r="H643" s="458"/>
      <c r="I643" s="458"/>
      <c r="J643" s="458"/>
      <c r="K643" s="458"/>
      <c r="L643" s="458"/>
      <c r="M643" s="458"/>
      <c r="N643" s="458"/>
      <c r="O643" s="443"/>
      <c r="P643" s="447"/>
    </row>
    <row r="644" spans="1:16" s="497" customFormat="1" ht="15">
      <c r="A644" s="443"/>
      <c r="B644" s="443"/>
      <c r="C644" s="443"/>
      <c r="D644" s="443"/>
      <c r="E644" s="458"/>
      <c r="F644" s="458"/>
      <c r="G644" s="458"/>
      <c r="H644" s="458"/>
      <c r="I644" s="458"/>
      <c r="J644" s="458"/>
      <c r="K644" s="458"/>
      <c r="L644" s="458"/>
      <c r="M644" s="458"/>
      <c r="N644" s="458"/>
      <c r="O644" s="443"/>
      <c r="P644" s="447"/>
    </row>
    <row r="645" spans="1:16" s="497" customFormat="1" ht="15">
      <c r="A645" s="443"/>
      <c r="B645" s="443"/>
      <c r="C645" s="443"/>
      <c r="D645" s="443"/>
      <c r="E645" s="458"/>
      <c r="F645" s="458"/>
      <c r="G645" s="458"/>
      <c r="H645" s="458"/>
      <c r="I645" s="458"/>
      <c r="J645" s="458"/>
      <c r="K645" s="458"/>
      <c r="L645" s="458"/>
      <c r="M645" s="458"/>
      <c r="N645" s="458"/>
      <c r="O645" s="443"/>
      <c r="P645" s="447"/>
    </row>
    <row r="646" spans="1:16" s="497" customFormat="1" ht="15">
      <c r="A646" s="443"/>
      <c r="B646" s="443"/>
      <c r="C646" s="443"/>
      <c r="D646" s="443"/>
      <c r="E646" s="458"/>
      <c r="F646" s="458"/>
      <c r="G646" s="458"/>
      <c r="H646" s="458"/>
      <c r="I646" s="458"/>
      <c r="J646" s="458"/>
      <c r="K646" s="458"/>
      <c r="L646" s="458"/>
      <c r="M646" s="458"/>
      <c r="N646" s="458"/>
      <c r="O646" s="443"/>
      <c r="P646" s="447"/>
    </row>
    <row r="647" spans="1:16" s="497" customFormat="1" ht="15">
      <c r="A647" s="443"/>
      <c r="B647" s="443"/>
      <c r="C647" s="443"/>
      <c r="D647" s="443"/>
      <c r="E647" s="458"/>
      <c r="F647" s="458"/>
      <c r="G647" s="458"/>
      <c r="H647" s="458"/>
      <c r="I647" s="458"/>
      <c r="J647" s="458"/>
      <c r="K647" s="458"/>
      <c r="L647" s="458"/>
      <c r="M647" s="458"/>
      <c r="N647" s="458"/>
      <c r="O647" s="443"/>
      <c r="P647" s="447"/>
    </row>
    <row r="648" spans="1:16" s="497" customFormat="1" ht="15">
      <c r="A648" s="443"/>
      <c r="B648" s="443"/>
      <c r="C648" s="443"/>
      <c r="D648" s="443"/>
      <c r="E648" s="458"/>
      <c r="F648" s="458"/>
      <c r="G648" s="458"/>
      <c r="H648" s="458"/>
      <c r="I648" s="458"/>
      <c r="J648" s="458"/>
      <c r="K648" s="458"/>
      <c r="L648" s="458"/>
      <c r="M648" s="458"/>
      <c r="N648" s="458"/>
      <c r="O648" s="443"/>
      <c r="P648" s="447"/>
    </row>
    <row r="649" spans="1:16" s="497" customFormat="1" ht="15">
      <c r="A649" s="443"/>
      <c r="B649" s="443"/>
      <c r="C649" s="443"/>
      <c r="D649" s="443"/>
      <c r="E649" s="458"/>
      <c r="F649" s="458"/>
      <c r="G649" s="458"/>
      <c r="H649" s="458"/>
      <c r="I649" s="458"/>
      <c r="J649" s="458"/>
      <c r="K649" s="458"/>
      <c r="L649" s="458"/>
      <c r="M649" s="458"/>
      <c r="N649" s="458"/>
      <c r="O649" s="443"/>
      <c r="P649" s="447"/>
    </row>
    <row r="650" spans="1:16" s="497" customFormat="1" ht="15">
      <c r="A650" s="443"/>
      <c r="B650" s="443"/>
      <c r="C650" s="443"/>
      <c r="D650" s="443"/>
      <c r="E650" s="458"/>
      <c r="F650" s="458"/>
      <c r="G650" s="458"/>
      <c r="H650" s="458"/>
      <c r="I650" s="458"/>
      <c r="J650" s="458"/>
      <c r="K650" s="458"/>
      <c r="L650" s="458"/>
      <c r="M650" s="458"/>
      <c r="N650" s="458"/>
      <c r="O650" s="443"/>
      <c r="P650" s="447"/>
    </row>
    <row r="651" spans="1:16" s="497" customFormat="1" ht="15">
      <c r="A651" s="443"/>
      <c r="B651" s="443"/>
      <c r="C651" s="443"/>
      <c r="D651" s="443"/>
      <c r="E651" s="458"/>
      <c r="F651" s="458"/>
      <c r="G651" s="458"/>
      <c r="H651" s="458"/>
      <c r="I651" s="458"/>
      <c r="J651" s="458"/>
      <c r="K651" s="458"/>
      <c r="L651" s="458"/>
      <c r="M651" s="458"/>
      <c r="N651" s="458"/>
      <c r="O651" s="443"/>
      <c r="P651" s="447"/>
    </row>
    <row r="652" spans="1:16" s="497" customFormat="1" ht="15">
      <c r="A652" s="443"/>
      <c r="B652" s="443"/>
      <c r="C652" s="443"/>
      <c r="D652" s="443"/>
      <c r="E652" s="458"/>
      <c r="F652" s="458"/>
      <c r="G652" s="458"/>
      <c r="H652" s="458"/>
      <c r="I652" s="458"/>
      <c r="J652" s="458"/>
      <c r="K652" s="458"/>
      <c r="L652" s="458"/>
      <c r="M652" s="458"/>
      <c r="N652" s="458"/>
      <c r="O652" s="443"/>
      <c r="P652" s="447"/>
    </row>
    <row r="653" spans="1:16" s="497" customFormat="1" ht="15">
      <c r="A653" s="443"/>
      <c r="B653" s="443"/>
      <c r="C653" s="443"/>
      <c r="D653" s="443"/>
      <c r="E653" s="458"/>
      <c r="F653" s="458"/>
      <c r="G653" s="458"/>
      <c r="H653" s="458"/>
      <c r="I653" s="458"/>
      <c r="J653" s="458"/>
      <c r="K653" s="458"/>
      <c r="L653" s="458"/>
      <c r="M653" s="458"/>
      <c r="N653" s="458"/>
      <c r="O653" s="443"/>
      <c r="P653" s="447"/>
    </row>
    <row r="654" spans="1:16" s="497" customFormat="1" ht="15">
      <c r="A654" s="443"/>
      <c r="B654" s="443"/>
      <c r="C654" s="443"/>
      <c r="D654" s="443"/>
      <c r="E654" s="458"/>
      <c r="F654" s="458"/>
      <c r="G654" s="458"/>
      <c r="H654" s="458"/>
      <c r="I654" s="458"/>
      <c r="J654" s="458"/>
      <c r="K654" s="458"/>
      <c r="L654" s="458"/>
      <c r="M654" s="458"/>
      <c r="N654" s="458"/>
      <c r="O654" s="443"/>
      <c r="P654" s="447"/>
    </row>
    <row r="655" spans="1:16" s="497" customFormat="1" ht="15">
      <c r="A655" s="443"/>
      <c r="B655" s="443"/>
      <c r="C655" s="443"/>
      <c r="D655" s="443"/>
      <c r="E655" s="458"/>
      <c r="F655" s="458"/>
      <c r="G655" s="458"/>
      <c r="H655" s="458"/>
      <c r="I655" s="458"/>
      <c r="J655" s="458"/>
      <c r="K655" s="458"/>
      <c r="L655" s="458"/>
      <c r="M655" s="458"/>
      <c r="N655" s="458"/>
      <c r="O655" s="443"/>
      <c r="P655" s="447"/>
    </row>
    <row r="656" spans="1:16" s="497" customFormat="1" ht="15">
      <c r="A656" s="443"/>
      <c r="B656" s="443"/>
      <c r="C656" s="443"/>
      <c r="D656" s="443"/>
      <c r="E656" s="458"/>
      <c r="F656" s="458"/>
      <c r="G656" s="458"/>
      <c r="H656" s="458"/>
      <c r="I656" s="458"/>
      <c r="J656" s="458"/>
      <c r="K656" s="458"/>
      <c r="L656" s="458"/>
      <c r="M656" s="458"/>
      <c r="N656" s="458"/>
      <c r="O656" s="443"/>
      <c r="P656" s="447"/>
    </row>
    <row r="657" spans="1:16" s="497" customFormat="1" ht="15">
      <c r="A657" s="443"/>
      <c r="B657" s="443"/>
      <c r="C657" s="443"/>
      <c r="D657" s="443"/>
      <c r="E657" s="458"/>
      <c r="F657" s="458"/>
      <c r="G657" s="458"/>
      <c r="H657" s="458"/>
      <c r="I657" s="458"/>
      <c r="J657" s="458"/>
      <c r="K657" s="458"/>
      <c r="L657" s="458"/>
      <c r="M657" s="458"/>
      <c r="N657" s="458"/>
      <c r="O657" s="443"/>
      <c r="P657" s="447"/>
    </row>
    <row r="658" spans="1:16" s="497" customFormat="1" ht="15">
      <c r="A658" s="443"/>
      <c r="B658" s="443"/>
      <c r="C658" s="443"/>
      <c r="D658" s="443"/>
      <c r="E658" s="458"/>
      <c r="F658" s="458"/>
      <c r="G658" s="458"/>
      <c r="H658" s="458"/>
      <c r="I658" s="458"/>
      <c r="J658" s="458"/>
      <c r="K658" s="458"/>
      <c r="L658" s="458"/>
      <c r="M658" s="458"/>
      <c r="N658" s="458"/>
      <c r="O658" s="443"/>
      <c r="P658" s="447"/>
    </row>
    <row r="659" spans="1:16" s="497" customFormat="1" ht="15">
      <c r="A659" s="443"/>
      <c r="B659" s="443"/>
      <c r="C659" s="443"/>
      <c r="D659" s="443"/>
      <c r="E659" s="458"/>
      <c r="F659" s="458"/>
      <c r="G659" s="458"/>
      <c r="H659" s="458"/>
      <c r="I659" s="458"/>
      <c r="J659" s="458"/>
      <c r="K659" s="458"/>
      <c r="L659" s="458"/>
      <c r="M659" s="458"/>
      <c r="N659" s="458"/>
      <c r="O659" s="443"/>
      <c r="P659" s="447"/>
    </row>
    <row r="660" spans="1:16" s="497" customFormat="1" ht="15">
      <c r="A660" s="443"/>
      <c r="B660" s="443"/>
      <c r="C660" s="443"/>
      <c r="D660" s="443"/>
      <c r="E660" s="458"/>
      <c r="F660" s="458"/>
      <c r="G660" s="458"/>
      <c r="H660" s="458"/>
      <c r="I660" s="458"/>
      <c r="J660" s="458"/>
      <c r="K660" s="458"/>
      <c r="L660" s="458"/>
      <c r="M660" s="458"/>
      <c r="N660" s="458"/>
      <c r="O660" s="443"/>
      <c r="P660" s="447"/>
    </row>
    <row r="661" spans="1:16" s="497" customFormat="1" ht="15">
      <c r="A661" s="443"/>
      <c r="B661" s="443"/>
      <c r="C661" s="443"/>
      <c r="D661" s="443"/>
      <c r="E661" s="458"/>
      <c r="F661" s="458"/>
      <c r="G661" s="458"/>
      <c r="H661" s="458"/>
      <c r="I661" s="458"/>
      <c r="J661" s="458"/>
      <c r="K661" s="458"/>
      <c r="L661" s="458"/>
      <c r="M661" s="458"/>
      <c r="N661" s="458"/>
      <c r="O661" s="443"/>
      <c r="P661" s="447"/>
    </row>
    <row r="662" spans="1:16" s="497" customFormat="1" ht="15">
      <c r="A662" s="443"/>
      <c r="B662" s="443"/>
      <c r="C662" s="443"/>
      <c r="D662" s="443"/>
      <c r="E662" s="458"/>
      <c r="F662" s="458"/>
      <c r="G662" s="458"/>
      <c r="H662" s="458"/>
      <c r="I662" s="458"/>
      <c r="J662" s="458"/>
      <c r="K662" s="458"/>
      <c r="L662" s="458"/>
      <c r="M662" s="458"/>
      <c r="N662" s="458"/>
      <c r="O662" s="443"/>
      <c r="P662" s="447"/>
    </row>
    <row r="663" spans="1:16" s="497" customFormat="1" ht="15">
      <c r="A663" s="443"/>
      <c r="B663" s="443"/>
      <c r="C663" s="443"/>
      <c r="D663" s="443"/>
      <c r="E663" s="458"/>
      <c r="F663" s="458"/>
      <c r="G663" s="458"/>
      <c r="H663" s="458"/>
      <c r="I663" s="458"/>
      <c r="J663" s="458"/>
      <c r="K663" s="458"/>
      <c r="L663" s="458"/>
      <c r="M663" s="458"/>
      <c r="N663" s="458"/>
      <c r="O663" s="443"/>
      <c r="P663" s="447"/>
    </row>
    <row r="664" spans="1:16" s="497" customFormat="1" ht="15">
      <c r="A664" s="443"/>
      <c r="B664" s="443"/>
      <c r="C664" s="443"/>
      <c r="D664" s="443"/>
      <c r="E664" s="458"/>
      <c r="F664" s="458"/>
      <c r="G664" s="458"/>
      <c r="H664" s="458"/>
      <c r="I664" s="458"/>
      <c r="J664" s="458"/>
      <c r="K664" s="458"/>
      <c r="L664" s="458"/>
      <c r="M664" s="458"/>
      <c r="N664" s="458"/>
      <c r="O664" s="443"/>
      <c r="P664" s="447"/>
    </row>
    <row r="665" spans="1:16" s="497" customFormat="1" ht="15">
      <c r="A665" s="443"/>
      <c r="B665" s="443"/>
      <c r="C665" s="443"/>
      <c r="D665" s="443"/>
      <c r="E665" s="458"/>
      <c r="F665" s="458"/>
      <c r="G665" s="458"/>
      <c r="H665" s="458"/>
      <c r="I665" s="458"/>
      <c r="J665" s="458"/>
      <c r="K665" s="458"/>
      <c r="L665" s="458"/>
      <c r="M665" s="458"/>
      <c r="N665" s="458"/>
      <c r="O665" s="443"/>
      <c r="P665" s="447"/>
    </row>
    <row r="666" spans="1:16" s="497" customFormat="1" ht="15">
      <c r="A666" s="443"/>
      <c r="B666" s="443"/>
      <c r="C666" s="443"/>
      <c r="D666" s="443"/>
      <c r="E666" s="458"/>
      <c r="F666" s="458"/>
      <c r="G666" s="458"/>
      <c r="H666" s="458"/>
      <c r="I666" s="458"/>
      <c r="J666" s="458"/>
      <c r="K666" s="458"/>
      <c r="L666" s="458"/>
      <c r="M666" s="458"/>
      <c r="N666" s="458"/>
      <c r="O666" s="443"/>
      <c r="P666" s="447"/>
    </row>
    <row r="667" spans="1:16" s="497" customFormat="1" ht="15">
      <c r="A667" s="443"/>
      <c r="B667" s="443"/>
      <c r="C667" s="443"/>
      <c r="D667" s="443"/>
      <c r="E667" s="458"/>
      <c r="F667" s="458"/>
      <c r="G667" s="458"/>
      <c r="H667" s="458"/>
      <c r="I667" s="458"/>
      <c r="J667" s="458"/>
      <c r="K667" s="458"/>
      <c r="L667" s="458"/>
      <c r="M667" s="458"/>
      <c r="N667" s="458"/>
      <c r="O667" s="443"/>
      <c r="P667" s="447"/>
    </row>
    <row r="668" spans="1:16" s="497" customFormat="1" ht="15">
      <c r="A668" s="443"/>
      <c r="B668" s="443"/>
      <c r="C668" s="443"/>
      <c r="D668" s="443"/>
      <c r="E668" s="458"/>
      <c r="F668" s="458"/>
      <c r="G668" s="458"/>
      <c r="H668" s="458"/>
      <c r="I668" s="458"/>
      <c r="J668" s="458"/>
      <c r="K668" s="458"/>
      <c r="L668" s="458"/>
      <c r="M668" s="458"/>
      <c r="N668" s="458"/>
      <c r="O668" s="443"/>
      <c r="P668" s="447"/>
    </row>
    <row r="669" spans="1:16" s="497" customFormat="1" ht="15">
      <c r="A669" s="443"/>
      <c r="B669" s="443"/>
      <c r="C669" s="443"/>
      <c r="D669" s="443"/>
      <c r="E669" s="458"/>
      <c r="F669" s="458"/>
      <c r="G669" s="458"/>
      <c r="H669" s="458"/>
      <c r="I669" s="458"/>
      <c r="J669" s="458"/>
      <c r="K669" s="458"/>
      <c r="L669" s="458"/>
      <c r="M669" s="458"/>
      <c r="N669" s="458"/>
      <c r="O669" s="443"/>
      <c r="P669" s="447"/>
    </row>
    <row r="670" spans="1:16" s="497" customFormat="1" ht="15">
      <c r="A670" s="443"/>
      <c r="B670" s="443"/>
      <c r="C670" s="443"/>
      <c r="D670" s="443"/>
      <c r="E670" s="458"/>
      <c r="F670" s="458"/>
      <c r="G670" s="458"/>
      <c r="H670" s="458"/>
      <c r="I670" s="458"/>
      <c r="J670" s="458"/>
      <c r="K670" s="458"/>
      <c r="L670" s="458"/>
      <c r="M670" s="458"/>
      <c r="N670" s="458"/>
      <c r="O670" s="443"/>
      <c r="P670" s="447"/>
    </row>
    <row r="671" spans="1:16" s="497" customFormat="1" ht="15">
      <c r="A671" s="443"/>
      <c r="B671" s="443"/>
      <c r="C671" s="443"/>
      <c r="D671" s="443"/>
      <c r="E671" s="458"/>
      <c r="F671" s="458"/>
      <c r="G671" s="458"/>
      <c r="H671" s="458"/>
      <c r="I671" s="458"/>
      <c r="J671" s="458"/>
      <c r="K671" s="458"/>
      <c r="L671" s="458"/>
      <c r="M671" s="458"/>
      <c r="N671" s="458"/>
      <c r="O671" s="443"/>
      <c r="P671" s="447"/>
    </row>
    <row r="672" spans="1:16" s="497" customFormat="1" ht="15">
      <c r="A672" s="443"/>
      <c r="B672" s="443"/>
      <c r="C672" s="443"/>
      <c r="D672" s="443"/>
      <c r="E672" s="458"/>
      <c r="F672" s="458"/>
      <c r="G672" s="458"/>
      <c r="H672" s="458"/>
      <c r="I672" s="458"/>
      <c r="J672" s="458"/>
      <c r="K672" s="458"/>
      <c r="L672" s="458"/>
      <c r="M672" s="458"/>
      <c r="N672" s="458"/>
      <c r="O672" s="443"/>
      <c r="P672" s="447"/>
    </row>
    <row r="673" spans="1:16" s="497" customFormat="1" ht="15">
      <c r="A673" s="443"/>
      <c r="B673" s="443"/>
      <c r="C673" s="443"/>
      <c r="D673" s="443"/>
      <c r="E673" s="458"/>
      <c r="F673" s="458"/>
      <c r="G673" s="458"/>
      <c r="H673" s="458"/>
      <c r="I673" s="458"/>
      <c r="J673" s="458"/>
      <c r="K673" s="458"/>
      <c r="L673" s="458"/>
      <c r="M673" s="458"/>
      <c r="N673" s="458"/>
      <c r="O673" s="443"/>
      <c r="P673" s="447"/>
    </row>
    <row r="674" spans="1:16" s="497" customFormat="1" ht="15">
      <c r="A674" s="443"/>
      <c r="B674" s="443"/>
      <c r="C674" s="443"/>
      <c r="D674" s="443"/>
      <c r="E674" s="458"/>
      <c r="F674" s="458"/>
      <c r="G674" s="458"/>
      <c r="H674" s="458"/>
      <c r="I674" s="458"/>
      <c r="J674" s="458"/>
      <c r="K674" s="458"/>
      <c r="L674" s="458"/>
      <c r="M674" s="458"/>
      <c r="N674" s="458"/>
      <c r="O674" s="443"/>
      <c r="P674" s="447"/>
    </row>
    <row r="675" spans="1:16" s="497" customFormat="1" ht="15">
      <c r="A675" s="443"/>
      <c r="B675" s="443"/>
      <c r="C675" s="443"/>
      <c r="D675" s="443"/>
      <c r="E675" s="458"/>
      <c r="F675" s="458"/>
      <c r="G675" s="458"/>
      <c r="H675" s="458"/>
      <c r="I675" s="458"/>
      <c r="J675" s="458"/>
      <c r="K675" s="458"/>
      <c r="L675" s="458"/>
      <c r="M675" s="458"/>
      <c r="N675" s="458"/>
      <c r="O675" s="443"/>
      <c r="P675" s="447"/>
    </row>
    <row r="676" spans="1:16" s="497" customFormat="1" ht="15">
      <c r="A676" s="443"/>
      <c r="B676" s="443"/>
      <c r="C676" s="443"/>
      <c r="D676" s="443"/>
      <c r="E676" s="458"/>
      <c r="F676" s="458"/>
      <c r="G676" s="458"/>
      <c r="H676" s="458"/>
      <c r="I676" s="458"/>
      <c r="J676" s="458"/>
      <c r="K676" s="458"/>
      <c r="L676" s="458"/>
      <c r="M676" s="458"/>
      <c r="N676" s="458"/>
      <c r="O676" s="443"/>
      <c r="P676" s="447"/>
    </row>
    <row r="677" spans="1:16" s="497" customFormat="1" ht="15">
      <c r="A677" s="443"/>
      <c r="B677" s="443"/>
      <c r="C677" s="443"/>
      <c r="D677" s="443"/>
      <c r="E677" s="458"/>
      <c r="F677" s="458"/>
      <c r="G677" s="458"/>
      <c r="H677" s="458"/>
      <c r="I677" s="458"/>
      <c r="J677" s="458"/>
      <c r="K677" s="458"/>
      <c r="L677" s="458"/>
      <c r="M677" s="458"/>
      <c r="N677" s="458"/>
      <c r="O677" s="443"/>
      <c r="P677" s="447"/>
    </row>
    <row r="678" spans="1:16" s="497" customFormat="1" ht="15">
      <c r="A678" s="443"/>
      <c r="B678" s="443"/>
      <c r="C678" s="443"/>
      <c r="D678" s="443"/>
      <c r="E678" s="458"/>
      <c r="F678" s="458"/>
      <c r="G678" s="458"/>
      <c r="H678" s="458"/>
      <c r="I678" s="458"/>
      <c r="J678" s="458"/>
      <c r="K678" s="458"/>
      <c r="L678" s="458"/>
      <c r="M678" s="458"/>
      <c r="N678" s="458"/>
      <c r="O678" s="443"/>
      <c r="P678" s="447"/>
    </row>
    <row r="679" spans="1:16" s="497" customFormat="1" ht="15">
      <c r="A679" s="443"/>
      <c r="B679" s="443"/>
      <c r="C679" s="443"/>
      <c r="D679" s="443"/>
      <c r="E679" s="458"/>
      <c r="F679" s="458"/>
      <c r="G679" s="458"/>
      <c r="H679" s="458"/>
      <c r="I679" s="458"/>
      <c r="J679" s="458"/>
      <c r="K679" s="458"/>
      <c r="L679" s="458"/>
      <c r="M679" s="458"/>
      <c r="N679" s="458"/>
      <c r="O679" s="443"/>
      <c r="P679" s="447"/>
    </row>
    <row r="680" spans="1:16" s="497" customFormat="1" ht="15">
      <c r="A680" s="443"/>
      <c r="B680" s="443"/>
      <c r="C680" s="443"/>
      <c r="D680" s="443"/>
      <c r="E680" s="458"/>
      <c r="F680" s="458"/>
      <c r="G680" s="458"/>
      <c r="H680" s="458"/>
      <c r="I680" s="458"/>
      <c r="J680" s="458"/>
      <c r="K680" s="458"/>
      <c r="L680" s="458"/>
      <c r="M680" s="458"/>
      <c r="N680" s="458"/>
      <c r="O680" s="443"/>
      <c r="P680" s="447"/>
    </row>
    <row r="681" spans="1:16" s="497" customFormat="1" ht="15">
      <c r="A681" s="443"/>
      <c r="B681" s="443"/>
      <c r="C681" s="443"/>
      <c r="D681" s="443"/>
      <c r="E681" s="458"/>
      <c r="F681" s="458"/>
      <c r="G681" s="458"/>
      <c r="H681" s="458"/>
      <c r="I681" s="458"/>
      <c r="J681" s="458"/>
      <c r="K681" s="458"/>
      <c r="L681" s="458"/>
      <c r="M681" s="458"/>
      <c r="N681" s="458"/>
      <c r="O681" s="443"/>
      <c r="P681" s="447"/>
    </row>
    <row r="682" spans="1:16" s="497" customFormat="1" ht="15">
      <c r="A682" s="443"/>
      <c r="B682" s="443"/>
      <c r="C682" s="443"/>
      <c r="D682" s="443"/>
      <c r="E682" s="458"/>
      <c r="F682" s="458"/>
      <c r="G682" s="458"/>
      <c r="H682" s="458"/>
      <c r="I682" s="458"/>
      <c r="J682" s="458"/>
      <c r="K682" s="458"/>
      <c r="L682" s="458"/>
      <c r="M682" s="458"/>
      <c r="N682" s="458"/>
      <c r="O682" s="443"/>
      <c r="P682" s="447"/>
    </row>
    <row r="683" spans="1:16" s="497" customFormat="1" ht="15">
      <c r="A683" s="443"/>
      <c r="B683" s="443"/>
      <c r="C683" s="443"/>
      <c r="D683" s="443"/>
      <c r="E683" s="458"/>
      <c r="F683" s="458"/>
      <c r="G683" s="458"/>
      <c r="H683" s="458"/>
      <c r="I683" s="458"/>
      <c r="J683" s="458"/>
      <c r="K683" s="458"/>
      <c r="L683" s="458"/>
      <c r="M683" s="458"/>
      <c r="N683" s="458"/>
      <c r="O683" s="443"/>
      <c r="P683" s="447"/>
    </row>
    <row r="684" spans="1:16" s="497" customFormat="1" ht="15">
      <c r="A684" s="443"/>
      <c r="B684" s="443"/>
      <c r="C684" s="443"/>
      <c r="D684" s="443"/>
      <c r="E684" s="458"/>
      <c r="F684" s="458"/>
      <c r="G684" s="458"/>
      <c r="H684" s="458"/>
      <c r="I684" s="458"/>
      <c r="J684" s="458"/>
      <c r="K684" s="458"/>
      <c r="L684" s="458"/>
      <c r="M684" s="458"/>
      <c r="N684" s="458"/>
      <c r="O684" s="443"/>
      <c r="P684" s="447"/>
    </row>
    <row r="685" spans="1:16" s="497" customFormat="1" ht="15">
      <c r="A685" s="443"/>
      <c r="B685" s="443"/>
      <c r="C685" s="443"/>
      <c r="D685" s="443"/>
      <c r="E685" s="458"/>
      <c r="F685" s="458"/>
      <c r="G685" s="458"/>
      <c r="H685" s="458"/>
      <c r="I685" s="458"/>
      <c r="J685" s="458"/>
      <c r="K685" s="458"/>
      <c r="L685" s="458"/>
      <c r="M685" s="458"/>
      <c r="N685" s="458"/>
      <c r="O685" s="443"/>
      <c r="P685" s="447"/>
    </row>
    <row r="686" spans="1:16" s="497" customFormat="1" ht="15">
      <c r="A686" s="443"/>
      <c r="B686" s="443"/>
      <c r="C686" s="443"/>
      <c r="D686" s="443"/>
      <c r="E686" s="458"/>
      <c r="F686" s="458"/>
      <c r="G686" s="458"/>
      <c r="H686" s="458"/>
      <c r="I686" s="458"/>
      <c r="J686" s="458"/>
      <c r="K686" s="458"/>
      <c r="L686" s="458"/>
      <c r="M686" s="458"/>
      <c r="N686" s="458"/>
      <c r="O686" s="443"/>
      <c r="P686" s="447"/>
    </row>
    <row r="687" spans="1:16" s="497" customFormat="1" ht="15">
      <c r="A687" s="443"/>
      <c r="B687" s="443"/>
      <c r="C687" s="443"/>
      <c r="D687" s="443"/>
      <c r="E687" s="458"/>
      <c r="F687" s="458"/>
      <c r="G687" s="458"/>
      <c r="H687" s="458"/>
      <c r="I687" s="458"/>
      <c r="J687" s="458"/>
      <c r="K687" s="458"/>
      <c r="L687" s="458"/>
      <c r="M687" s="458"/>
      <c r="N687" s="458"/>
      <c r="O687" s="443"/>
      <c r="P687" s="447"/>
    </row>
    <row r="688" spans="1:16" s="497" customFormat="1" ht="15">
      <c r="A688" s="443"/>
      <c r="B688" s="443"/>
      <c r="C688" s="443"/>
      <c r="D688" s="443"/>
      <c r="E688" s="458"/>
      <c r="F688" s="458"/>
      <c r="G688" s="458"/>
      <c r="H688" s="458"/>
      <c r="I688" s="458"/>
      <c r="J688" s="458"/>
      <c r="K688" s="458"/>
      <c r="L688" s="458"/>
      <c r="M688" s="458"/>
      <c r="N688" s="458"/>
      <c r="O688" s="443"/>
      <c r="P688" s="447"/>
    </row>
    <row r="689" spans="1:16" s="497" customFormat="1" ht="15">
      <c r="A689" s="443"/>
      <c r="B689" s="443"/>
      <c r="C689" s="443"/>
      <c r="D689" s="443"/>
      <c r="E689" s="458"/>
      <c r="F689" s="458"/>
      <c r="G689" s="458"/>
      <c r="H689" s="458"/>
      <c r="I689" s="458"/>
      <c r="J689" s="458"/>
      <c r="K689" s="458"/>
      <c r="L689" s="458"/>
      <c r="M689" s="458"/>
      <c r="N689" s="458"/>
      <c r="O689" s="443"/>
      <c r="P689" s="447"/>
    </row>
    <row r="690" spans="1:16" s="497" customFormat="1" ht="15">
      <c r="A690" s="443"/>
      <c r="B690" s="443"/>
      <c r="C690" s="443"/>
      <c r="D690" s="443"/>
      <c r="E690" s="458"/>
      <c r="F690" s="458"/>
      <c r="G690" s="458"/>
      <c r="H690" s="458"/>
      <c r="I690" s="458"/>
      <c r="J690" s="458"/>
      <c r="K690" s="458"/>
      <c r="L690" s="458"/>
      <c r="M690" s="458"/>
      <c r="N690" s="458"/>
      <c r="O690" s="443"/>
      <c r="P690" s="447"/>
    </row>
    <row r="691" spans="1:16" s="497" customFormat="1" ht="15">
      <c r="A691" s="443"/>
      <c r="B691" s="443"/>
      <c r="C691" s="443"/>
      <c r="D691" s="443"/>
      <c r="E691" s="458"/>
      <c r="F691" s="458"/>
      <c r="G691" s="458"/>
      <c r="H691" s="458"/>
      <c r="I691" s="458"/>
      <c r="J691" s="458"/>
      <c r="K691" s="458"/>
      <c r="L691" s="458"/>
      <c r="M691" s="458"/>
      <c r="N691" s="458"/>
      <c r="O691" s="443"/>
      <c r="P691" s="447"/>
    </row>
    <row r="692" spans="1:16" s="497" customFormat="1" ht="15">
      <c r="A692" s="443"/>
      <c r="B692" s="443"/>
      <c r="C692" s="443"/>
      <c r="D692" s="443"/>
      <c r="E692" s="458"/>
      <c r="F692" s="458"/>
      <c r="G692" s="458"/>
      <c r="H692" s="458"/>
      <c r="I692" s="458"/>
      <c r="J692" s="458"/>
      <c r="K692" s="458"/>
      <c r="L692" s="458"/>
      <c r="M692" s="458"/>
      <c r="N692" s="458"/>
      <c r="O692" s="443"/>
      <c r="P692" s="447"/>
    </row>
    <row r="693" spans="1:16" s="497" customFormat="1" ht="15">
      <c r="A693" s="443"/>
      <c r="B693" s="443"/>
      <c r="C693" s="443"/>
      <c r="D693" s="443"/>
      <c r="E693" s="458"/>
      <c r="F693" s="458"/>
      <c r="G693" s="458"/>
      <c r="H693" s="458"/>
      <c r="I693" s="458"/>
      <c r="J693" s="458"/>
      <c r="K693" s="458"/>
      <c r="L693" s="458"/>
      <c r="M693" s="458"/>
      <c r="N693" s="458"/>
      <c r="O693" s="443"/>
      <c r="P693" s="447"/>
    </row>
    <row r="694" spans="1:16" s="497" customFormat="1" ht="15">
      <c r="A694" s="443"/>
      <c r="B694" s="443"/>
      <c r="C694" s="443"/>
      <c r="D694" s="443"/>
      <c r="E694" s="458"/>
      <c r="F694" s="458"/>
      <c r="G694" s="458"/>
      <c r="H694" s="458"/>
      <c r="I694" s="458"/>
      <c r="J694" s="458"/>
      <c r="K694" s="458"/>
      <c r="L694" s="458"/>
      <c r="M694" s="458"/>
      <c r="N694" s="458"/>
      <c r="O694" s="443"/>
      <c r="P694" s="447"/>
    </row>
    <row r="695" spans="1:16" s="497" customFormat="1" ht="15">
      <c r="A695" s="443"/>
      <c r="B695" s="443"/>
      <c r="C695" s="443"/>
      <c r="D695" s="443"/>
      <c r="E695" s="458"/>
      <c r="F695" s="458"/>
      <c r="G695" s="458"/>
      <c r="H695" s="458"/>
      <c r="I695" s="458"/>
      <c r="J695" s="458"/>
      <c r="K695" s="458"/>
      <c r="L695" s="458"/>
      <c r="M695" s="458"/>
      <c r="N695" s="458"/>
      <c r="O695" s="443"/>
      <c r="P695" s="447"/>
    </row>
    <row r="696" spans="1:16" s="497" customFormat="1" ht="15">
      <c r="A696" s="443"/>
      <c r="B696" s="443"/>
      <c r="C696" s="443"/>
      <c r="D696" s="443"/>
      <c r="E696" s="458"/>
      <c r="F696" s="458"/>
      <c r="G696" s="458"/>
      <c r="H696" s="458"/>
      <c r="I696" s="458"/>
      <c r="J696" s="458"/>
      <c r="K696" s="458"/>
      <c r="L696" s="458"/>
      <c r="M696" s="458"/>
      <c r="N696" s="458"/>
      <c r="O696" s="443"/>
      <c r="P696" s="447"/>
    </row>
    <row r="697" spans="1:16" s="497" customFormat="1" ht="15">
      <c r="A697" s="443"/>
      <c r="B697" s="443"/>
      <c r="C697" s="443"/>
      <c r="D697" s="443"/>
      <c r="E697" s="458"/>
      <c r="F697" s="458"/>
      <c r="G697" s="458"/>
      <c r="H697" s="458"/>
      <c r="I697" s="458"/>
      <c r="J697" s="458"/>
      <c r="K697" s="458"/>
      <c r="L697" s="458"/>
      <c r="M697" s="458"/>
      <c r="N697" s="458"/>
      <c r="O697" s="443"/>
      <c r="P697" s="447"/>
    </row>
    <row r="698" spans="1:16" s="497" customFormat="1" ht="15">
      <c r="A698" s="443"/>
      <c r="B698" s="443"/>
      <c r="C698" s="443"/>
      <c r="D698" s="443"/>
      <c r="E698" s="458"/>
      <c r="F698" s="458"/>
      <c r="G698" s="458"/>
      <c r="H698" s="458"/>
      <c r="I698" s="458"/>
      <c r="J698" s="458"/>
      <c r="K698" s="458"/>
      <c r="L698" s="458"/>
      <c r="M698" s="458"/>
      <c r="N698" s="458"/>
      <c r="O698" s="443"/>
      <c r="P698" s="447"/>
    </row>
    <row r="699" spans="1:16" s="497" customFormat="1" ht="15">
      <c r="A699" s="443"/>
      <c r="B699" s="443"/>
      <c r="C699" s="443"/>
      <c r="D699" s="443"/>
      <c r="E699" s="458"/>
      <c r="F699" s="458"/>
      <c r="G699" s="458"/>
      <c r="H699" s="458"/>
      <c r="I699" s="458"/>
      <c r="J699" s="458"/>
      <c r="K699" s="458"/>
      <c r="L699" s="458"/>
      <c r="M699" s="458"/>
      <c r="N699" s="458"/>
      <c r="O699" s="443"/>
      <c r="P699" s="447"/>
    </row>
    <row r="700" spans="1:16" s="497" customFormat="1" ht="15">
      <c r="A700" s="443"/>
      <c r="B700" s="443"/>
      <c r="C700" s="443"/>
      <c r="D700" s="443"/>
      <c r="E700" s="458"/>
      <c r="F700" s="458"/>
      <c r="G700" s="458"/>
      <c r="H700" s="458"/>
      <c r="I700" s="458"/>
      <c r="J700" s="458"/>
      <c r="K700" s="458"/>
      <c r="L700" s="458"/>
      <c r="M700" s="458"/>
      <c r="N700" s="458"/>
      <c r="O700" s="443"/>
      <c r="P700" s="447"/>
    </row>
    <row r="701" spans="1:16" s="497" customFormat="1" ht="15">
      <c r="A701" s="443"/>
      <c r="B701" s="443"/>
      <c r="C701" s="443"/>
      <c r="D701" s="443"/>
      <c r="E701" s="458"/>
      <c r="F701" s="458"/>
      <c r="G701" s="458"/>
      <c r="H701" s="458"/>
      <c r="I701" s="458"/>
      <c r="J701" s="458"/>
      <c r="K701" s="458"/>
      <c r="L701" s="458"/>
      <c r="M701" s="458"/>
      <c r="N701" s="458"/>
      <c r="O701" s="443"/>
      <c r="P701" s="447"/>
    </row>
    <row r="702" spans="1:16" s="497" customFormat="1" ht="15">
      <c r="A702" s="443"/>
      <c r="B702" s="443"/>
      <c r="C702" s="443"/>
      <c r="D702" s="443"/>
      <c r="E702" s="458"/>
      <c r="F702" s="458"/>
      <c r="G702" s="458"/>
      <c r="H702" s="458"/>
      <c r="I702" s="458"/>
      <c r="J702" s="458"/>
      <c r="K702" s="458"/>
      <c r="L702" s="458"/>
      <c r="M702" s="458"/>
      <c r="N702" s="458"/>
      <c r="O702" s="443"/>
      <c r="P702" s="447"/>
    </row>
    <row r="703" spans="1:16" s="497" customFormat="1" ht="15">
      <c r="A703" s="443"/>
      <c r="B703" s="443"/>
      <c r="C703" s="443"/>
      <c r="D703" s="443"/>
      <c r="E703" s="458"/>
      <c r="F703" s="458"/>
      <c r="G703" s="458"/>
      <c r="H703" s="458"/>
      <c r="I703" s="458"/>
      <c r="J703" s="458"/>
      <c r="K703" s="458"/>
      <c r="L703" s="458"/>
      <c r="M703" s="458"/>
      <c r="N703" s="458"/>
      <c r="O703" s="443"/>
      <c r="P703" s="447"/>
    </row>
    <row r="704" spans="1:16" s="497" customFormat="1" ht="15">
      <c r="A704" s="443"/>
      <c r="B704" s="443"/>
      <c r="C704" s="443"/>
      <c r="D704" s="443"/>
      <c r="E704" s="458"/>
      <c r="F704" s="458"/>
      <c r="G704" s="458"/>
      <c r="H704" s="458"/>
      <c r="I704" s="458"/>
      <c r="J704" s="458"/>
      <c r="K704" s="458"/>
      <c r="L704" s="458"/>
      <c r="M704" s="458"/>
      <c r="N704" s="458"/>
      <c r="O704" s="443"/>
      <c r="P704" s="447"/>
    </row>
    <row r="705" spans="1:16" s="497" customFormat="1" ht="15">
      <c r="A705" s="443"/>
      <c r="B705" s="443"/>
      <c r="C705" s="443"/>
      <c r="D705" s="443"/>
      <c r="E705" s="458"/>
      <c r="F705" s="458"/>
      <c r="G705" s="458"/>
      <c r="H705" s="458"/>
      <c r="I705" s="458"/>
      <c r="J705" s="458"/>
      <c r="K705" s="458"/>
      <c r="L705" s="458"/>
      <c r="M705" s="458"/>
      <c r="N705" s="458"/>
      <c r="O705" s="443"/>
      <c r="P705" s="447"/>
    </row>
    <row r="706" spans="1:16" s="497" customFormat="1" ht="15">
      <c r="A706" s="443"/>
      <c r="B706" s="443"/>
      <c r="C706" s="443"/>
      <c r="D706" s="443"/>
      <c r="E706" s="458"/>
      <c r="F706" s="458"/>
      <c r="G706" s="458"/>
      <c r="H706" s="458"/>
      <c r="I706" s="458"/>
      <c r="J706" s="458"/>
      <c r="K706" s="458"/>
      <c r="L706" s="458"/>
      <c r="M706" s="458"/>
      <c r="N706" s="458"/>
      <c r="O706" s="443"/>
      <c r="P706" s="447"/>
    </row>
    <row r="707" spans="1:16" s="497" customFormat="1" ht="15">
      <c r="A707" s="443"/>
      <c r="B707" s="443"/>
      <c r="C707" s="443"/>
      <c r="D707" s="443"/>
      <c r="E707" s="458"/>
      <c r="F707" s="458"/>
      <c r="G707" s="458"/>
      <c r="H707" s="458"/>
      <c r="I707" s="458"/>
      <c r="J707" s="458"/>
      <c r="K707" s="458"/>
      <c r="L707" s="458"/>
      <c r="M707" s="458"/>
      <c r="N707" s="458"/>
      <c r="O707" s="443"/>
      <c r="P707" s="447"/>
    </row>
    <row r="708" spans="1:16" s="497" customFormat="1" ht="15">
      <c r="A708" s="443"/>
      <c r="B708" s="443"/>
      <c r="C708" s="443"/>
      <c r="D708" s="443"/>
      <c r="E708" s="458"/>
      <c r="F708" s="458"/>
      <c r="G708" s="458"/>
      <c r="H708" s="458"/>
      <c r="I708" s="458"/>
      <c r="J708" s="458"/>
      <c r="K708" s="458"/>
      <c r="L708" s="458"/>
      <c r="M708" s="458"/>
      <c r="N708" s="458"/>
      <c r="O708" s="443"/>
      <c r="P708" s="447"/>
    </row>
    <row r="709" spans="1:16" s="497" customFormat="1" ht="15">
      <c r="A709" s="443"/>
      <c r="B709" s="443"/>
      <c r="C709" s="443"/>
      <c r="D709" s="443"/>
      <c r="E709" s="458"/>
      <c r="F709" s="458"/>
      <c r="G709" s="458"/>
      <c r="H709" s="458"/>
      <c r="I709" s="458"/>
      <c r="J709" s="458"/>
      <c r="K709" s="458"/>
      <c r="L709" s="458"/>
      <c r="M709" s="458"/>
      <c r="N709" s="458"/>
      <c r="O709" s="443"/>
      <c r="P709" s="447"/>
    </row>
    <row r="710" spans="1:16" s="497" customFormat="1" ht="15">
      <c r="A710" s="443"/>
      <c r="B710" s="443"/>
      <c r="C710" s="443"/>
      <c r="D710" s="443"/>
      <c r="E710" s="458"/>
      <c r="F710" s="458"/>
      <c r="G710" s="458"/>
      <c r="H710" s="458"/>
      <c r="I710" s="458"/>
      <c r="J710" s="458"/>
      <c r="K710" s="458"/>
      <c r="L710" s="458"/>
      <c r="M710" s="458"/>
      <c r="N710" s="458"/>
      <c r="O710" s="443"/>
      <c r="P710" s="447"/>
    </row>
    <row r="711" spans="1:16" s="497" customFormat="1" ht="15">
      <c r="A711" s="443"/>
      <c r="B711" s="443"/>
      <c r="C711" s="443"/>
      <c r="D711" s="443"/>
      <c r="E711" s="458"/>
      <c r="F711" s="458"/>
      <c r="G711" s="458"/>
      <c r="H711" s="458"/>
      <c r="I711" s="458"/>
      <c r="J711" s="458"/>
      <c r="K711" s="458"/>
      <c r="L711" s="458"/>
      <c r="M711" s="458"/>
      <c r="N711" s="458"/>
      <c r="O711" s="443"/>
      <c r="P711" s="447"/>
    </row>
    <row r="712" spans="1:16" s="497" customFormat="1" ht="15">
      <c r="A712" s="443"/>
      <c r="B712" s="443"/>
      <c r="C712" s="443"/>
      <c r="D712" s="443"/>
      <c r="E712" s="458"/>
      <c r="F712" s="458"/>
      <c r="G712" s="458"/>
      <c r="H712" s="458"/>
      <c r="I712" s="458"/>
      <c r="J712" s="458"/>
      <c r="K712" s="458"/>
      <c r="L712" s="458"/>
      <c r="M712" s="458"/>
      <c r="N712" s="458"/>
      <c r="O712" s="443"/>
      <c r="P712" s="447"/>
    </row>
    <row r="713" spans="1:16" s="497" customFormat="1" ht="15">
      <c r="A713" s="443"/>
      <c r="B713" s="443"/>
      <c r="C713" s="443"/>
      <c r="D713" s="443"/>
      <c r="E713" s="458"/>
      <c r="F713" s="458"/>
      <c r="G713" s="458"/>
      <c r="H713" s="458"/>
      <c r="I713" s="458"/>
      <c r="J713" s="458"/>
      <c r="K713" s="458"/>
      <c r="L713" s="458"/>
      <c r="M713" s="458"/>
      <c r="N713" s="458"/>
      <c r="O713" s="443"/>
      <c r="P713" s="447"/>
    </row>
    <row r="714" spans="1:16" s="497" customFormat="1" ht="15">
      <c r="A714" s="443"/>
      <c r="B714" s="443"/>
      <c r="C714" s="443"/>
      <c r="D714" s="443"/>
      <c r="E714" s="458"/>
      <c r="F714" s="458"/>
      <c r="G714" s="458"/>
      <c r="H714" s="458"/>
      <c r="I714" s="458"/>
      <c r="J714" s="458"/>
      <c r="K714" s="458"/>
      <c r="L714" s="458"/>
      <c r="M714" s="458"/>
      <c r="N714" s="458"/>
      <c r="O714" s="443"/>
      <c r="P714" s="447"/>
    </row>
    <row r="715" spans="1:16" s="497" customFormat="1" ht="15">
      <c r="A715" s="443"/>
      <c r="B715" s="443"/>
      <c r="C715" s="443"/>
      <c r="D715" s="443"/>
      <c r="E715" s="458"/>
      <c r="F715" s="458"/>
      <c r="G715" s="458"/>
      <c r="H715" s="458"/>
      <c r="I715" s="458"/>
      <c r="J715" s="458"/>
      <c r="K715" s="458"/>
      <c r="L715" s="458"/>
      <c r="M715" s="458"/>
      <c r="N715" s="458"/>
      <c r="O715" s="443"/>
      <c r="P715" s="447"/>
    </row>
    <row r="716" spans="1:16" s="497" customFormat="1" ht="15">
      <c r="A716" s="443"/>
      <c r="B716" s="443"/>
      <c r="C716" s="443"/>
      <c r="D716" s="443"/>
      <c r="E716" s="458"/>
      <c r="F716" s="458"/>
      <c r="G716" s="458"/>
      <c r="H716" s="458"/>
      <c r="I716" s="458"/>
      <c r="J716" s="458"/>
      <c r="K716" s="458"/>
      <c r="L716" s="458"/>
      <c r="M716" s="458"/>
      <c r="N716" s="458"/>
      <c r="O716" s="443"/>
      <c r="P716" s="447"/>
    </row>
    <row r="717" spans="1:16" s="497" customFormat="1" ht="15">
      <c r="A717" s="443"/>
      <c r="B717" s="443"/>
      <c r="C717" s="443"/>
      <c r="D717" s="443"/>
      <c r="E717" s="458"/>
      <c r="F717" s="458"/>
      <c r="G717" s="458"/>
      <c r="H717" s="458"/>
      <c r="I717" s="458"/>
      <c r="J717" s="458"/>
      <c r="K717" s="458"/>
      <c r="L717" s="458"/>
      <c r="M717" s="458"/>
      <c r="N717" s="458"/>
      <c r="O717" s="443"/>
      <c r="P717" s="447"/>
    </row>
    <row r="718" spans="1:16" s="497" customFormat="1" ht="15">
      <c r="A718" s="443"/>
      <c r="B718" s="443"/>
      <c r="C718" s="443"/>
      <c r="D718" s="443"/>
      <c r="E718" s="458"/>
      <c r="F718" s="458"/>
      <c r="G718" s="458"/>
      <c r="H718" s="458"/>
      <c r="I718" s="458"/>
      <c r="J718" s="458"/>
      <c r="K718" s="458"/>
      <c r="L718" s="458"/>
      <c r="M718" s="458"/>
      <c r="N718" s="458"/>
      <c r="O718" s="443"/>
      <c r="P718" s="447"/>
    </row>
    <row r="719" spans="1:16" s="497" customFormat="1" ht="15">
      <c r="A719" s="443"/>
      <c r="B719" s="443"/>
      <c r="C719" s="443"/>
      <c r="D719" s="443"/>
      <c r="E719" s="458"/>
      <c r="F719" s="458"/>
      <c r="G719" s="458"/>
      <c r="H719" s="458"/>
      <c r="I719" s="458"/>
      <c r="J719" s="458"/>
      <c r="K719" s="458"/>
      <c r="L719" s="458"/>
      <c r="M719" s="458"/>
      <c r="N719" s="458"/>
      <c r="O719" s="443"/>
      <c r="P719" s="447"/>
    </row>
    <row r="720" spans="1:16" s="497" customFormat="1" ht="15">
      <c r="A720" s="443"/>
      <c r="B720" s="443"/>
      <c r="C720" s="443"/>
      <c r="D720" s="443"/>
      <c r="E720" s="458"/>
      <c r="F720" s="458"/>
      <c r="G720" s="458"/>
      <c r="H720" s="458"/>
      <c r="I720" s="458"/>
      <c r="J720" s="458"/>
      <c r="K720" s="458"/>
      <c r="L720" s="458"/>
      <c r="M720" s="458"/>
      <c r="N720" s="458"/>
      <c r="O720" s="443"/>
      <c r="P720" s="447"/>
    </row>
    <row r="721" spans="1:16" s="497" customFormat="1" ht="15">
      <c r="A721" s="443"/>
      <c r="B721" s="443"/>
      <c r="C721" s="443"/>
      <c r="D721" s="443"/>
      <c r="E721" s="458"/>
      <c r="F721" s="458"/>
      <c r="G721" s="458"/>
      <c r="H721" s="458"/>
      <c r="I721" s="458"/>
      <c r="J721" s="458"/>
      <c r="K721" s="458"/>
      <c r="L721" s="458"/>
      <c r="M721" s="458"/>
      <c r="N721" s="458"/>
      <c r="O721" s="443"/>
      <c r="P721" s="447"/>
    </row>
    <row r="722" spans="1:16" s="497" customFormat="1" ht="15">
      <c r="A722" s="443"/>
      <c r="B722" s="443"/>
      <c r="C722" s="443"/>
      <c r="D722" s="443"/>
      <c r="E722" s="458"/>
      <c r="F722" s="458"/>
      <c r="G722" s="458"/>
      <c r="H722" s="458"/>
      <c r="I722" s="458"/>
      <c r="J722" s="458"/>
      <c r="K722" s="458"/>
      <c r="L722" s="458"/>
      <c r="M722" s="458"/>
      <c r="N722" s="458"/>
      <c r="O722" s="443"/>
      <c r="P722" s="447"/>
    </row>
    <row r="723" spans="1:16" s="497" customFormat="1" ht="15">
      <c r="A723" s="443"/>
      <c r="B723" s="443"/>
      <c r="C723" s="443"/>
      <c r="D723" s="443"/>
      <c r="E723" s="458"/>
      <c r="F723" s="458"/>
      <c r="G723" s="458"/>
      <c r="H723" s="458"/>
      <c r="I723" s="458"/>
      <c r="J723" s="458"/>
      <c r="K723" s="458"/>
      <c r="L723" s="458"/>
      <c r="M723" s="458"/>
      <c r="N723" s="458"/>
      <c r="O723" s="443"/>
      <c r="P723" s="447"/>
    </row>
    <row r="724" spans="1:16" s="497" customFormat="1" ht="15">
      <c r="A724" s="443"/>
      <c r="B724" s="443"/>
      <c r="C724" s="443"/>
      <c r="D724" s="443"/>
      <c r="E724" s="458"/>
      <c r="F724" s="458"/>
      <c r="G724" s="458"/>
      <c r="H724" s="458"/>
      <c r="I724" s="458"/>
      <c r="J724" s="458"/>
      <c r="K724" s="458"/>
      <c r="L724" s="458"/>
      <c r="M724" s="458"/>
      <c r="N724" s="458"/>
      <c r="O724" s="443"/>
      <c r="P724" s="447"/>
    </row>
    <row r="725" spans="1:16" s="497" customFormat="1" ht="15">
      <c r="A725" s="443"/>
      <c r="B725" s="443"/>
      <c r="C725" s="443"/>
      <c r="D725" s="443"/>
      <c r="E725" s="458"/>
      <c r="F725" s="458"/>
      <c r="G725" s="458"/>
      <c r="H725" s="458"/>
      <c r="I725" s="458"/>
      <c r="J725" s="458"/>
      <c r="K725" s="458"/>
      <c r="L725" s="458"/>
      <c r="M725" s="458"/>
      <c r="N725" s="458"/>
      <c r="O725" s="443"/>
      <c r="P725" s="447"/>
    </row>
    <row r="726" spans="1:16" s="497" customFormat="1" ht="15">
      <c r="A726" s="443"/>
      <c r="B726" s="443"/>
      <c r="C726" s="443"/>
      <c r="D726" s="443"/>
      <c r="E726" s="458"/>
      <c r="F726" s="458"/>
      <c r="G726" s="458"/>
      <c r="H726" s="458"/>
      <c r="I726" s="458"/>
      <c r="J726" s="458"/>
      <c r="K726" s="458"/>
      <c r="L726" s="458"/>
      <c r="M726" s="458"/>
      <c r="N726" s="458"/>
      <c r="O726" s="443"/>
      <c r="P726" s="447"/>
    </row>
    <row r="727" spans="1:16" s="497" customFormat="1" ht="15">
      <c r="A727" s="443"/>
      <c r="B727" s="443"/>
      <c r="C727" s="443"/>
      <c r="D727" s="443"/>
      <c r="E727" s="458"/>
      <c r="F727" s="458"/>
      <c r="G727" s="458"/>
      <c r="H727" s="458"/>
      <c r="I727" s="458"/>
      <c r="J727" s="458"/>
      <c r="K727" s="458"/>
      <c r="L727" s="458"/>
      <c r="M727" s="458"/>
      <c r="N727" s="458"/>
      <c r="O727" s="443"/>
      <c r="P727" s="447"/>
    </row>
    <row r="728" spans="1:16" s="497" customFormat="1" ht="15">
      <c r="A728" s="443"/>
      <c r="B728" s="443"/>
      <c r="C728" s="443"/>
      <c r="D728" s="443"/>
      <c r="E728" s="458"/>
      <c r="F728" s="458"/>
      <c r="G728" s="458"/>
      <c r="H728" s="458"/>
      <c r="I728" s="458"/>
      <c r="J728" s="458"/>
      <c r="K728" s="458"/>
      <c r="L728" s="458"/>
      <c r="M728" s="458"/>
      <c r="N728" s="458"/>
      <c r="O728" s="443"/>
      <c r="P728" s="447"/>
    </row>
    <row r="729" spans="1:16" s="497" customFormat="1" ht="15">
      <c r="A729" s="443"/>
      <c r="B729" s="443"/>
      <c r="C729" s="443"/>
      <c r="D729" s="443"/>
      <c r="E729" s="458"/>
      <c r="F729" s="458"/>
      <c r="G729" s="458"/>
      <c r="H729" s="458"/>
      <c r="I729" s="458"/>
      <c r="J729" s="458"/>
      <c r="K729" s="458"/>
      <c r="L729" s="458"/>
      <c r="M729" s="458"/>
      <c r="N729" s="458"/>
      <c r="O729" s="443"/>
      <c r="P729" s="447"/>
    </row>
    <row r="730" spans="1:16" s="497" customFormat="1" ht="15">
      <c r="A730" s="443"/>
      <c r="B730" s="443"/>
      <c r="C730" s="443"/>
      <c r="D730" s="443"/>
      <c r="E730" s="458"/>
      <c r="F730" s="458"/>
      <c r="G730" s="458"/>
      <c r="H730" s="458"/>
      <c r="I730" s="458"/>
      <c r="J730" s="458"/>
      <c r="K730" s="458"/>
      <c r="L730" s="458"/>
      <c r="M730" s="458"/>
      <c r="N730" s="458"/>
      <c r="O730" s="443"/>
      <c r="P730" s="447"/>
    </row>
    <row r="731" spans="1:16" s="497" customFormat="1" ht="15">
      <c r="A731" s="443"/>
      <c r="B731" s="443"/>
      <c r="C731" s="443"/>
      <c r="D731" s="443"/>
      <c r="E731" s="458"/>
      <c r="F731" s="458"/>
      <c r="G731" s="458"/>
      <c r="H731" s="458"/>
      <c r="I731" s="458"/>
      <c r="J731" s="458"/>
      <c r="K731" s="458"/>
      <c r="L731" s="458"/>
      <c r="M731" s="458"/>
      <c r="N731" s="458"/>
      <c r="O731" s="443"/>
      <c r="P731" s="447"/>
    </row>
    <row r="732" spans="1:16" s="497" customFormat="1" ht="15">
      <c r="A732" s="443"/>
      <c r="B732" s="443"/>
      <c r="C732" s="443"/>
      <c r="D732" s="443"/>
      <c r="E732" s="458"/>
      <c r="F732" s="458"/>
      <c r="G732" s="458"/>
      <c r="H732" s="458"/>
      <c r="I732" s="458"/>
      <c r="J732" s="458"/>
      <c r="K732" s="458"/>
      <c r="L732" s="458"/>
      <c r="M732" s="458"/>
      <c r="N732" s="458"/>
      <c r="O732" s="443"/>
      <c r="P732" s="447"/>
    </row>
    <row r="733" spans="1:16" s="497" customFormat="1" ht="15">
      <c r="A733" s="443"/>
      <c r="B733" s="443"/>
      <c r="C733" s="443"/>
      <c r="D733" s="443"/>
      <c r="E733" s="458"/>
      <c r="F733" s="458"/>
      <c r="G733" s="458"/>
      <c r="H733" s="458"/>
      <c r="I733" s="458"/>
      <c r="J733" s="458"/>
      <c r="K733" s="458"/>
      <c r="L733" s="458"/>
      <c r="M733" s="458"/>
      <c r="N733" s="458"/>
      <c r="O733" s="443"/>
      <c r="P733" s="447"/>
    </row>
    <row r="734" spans="1:16" s="497" customFormat="1" ht="15">
      <c r="A734" s="443"/>
      <c r="B734" s="443"/>
      <c r="C734" s="443"/>
      <c r="D734" s="443"/>
      <c r="E734" s="458"/>
      <c r="F734" s="458"/>
      <c r="G734" s="458"/>
      <c r="H734" s="458"/>
      <c r="I734" s="458"/>
      <c r="J734" s="458"/>
      <c r="K734" s="458"/>
      <c r="L734" s="458"/>
      <c r="M734" s="458"/>
      <c r="N734" s="458"/>
      <c r="O734" s="443"/>
      <c r="P734" s="447"/>
    </row>
    <row r="735" spans="1:16" s="497" customFormat="1" ht="15">
      <c r="A735" s="443"/>
      <c r="B735" s="443"/>
      <c r="C735" s="443"/>
      <c r="D735" s="443"/>
      <c r="E735" s="458"/>
      <c r="F735" s="458"/>
      <c r="G735" s="458"/>
      <c r="H735" s="458"/>
      <c r="I735" s="458"/>
      <c r="J735" s="458"/>
      <c r="K735" s="458"/>
      <c r="L735" s="458"/>
      <c r="M735" s="458"/>
      <c r="N735" s="458"/>
      <c r="O735" s="443"/>
      <c r="P735" s="447"/>
    </row>
    <row r="736" spans="1:16" s="497" customFormat="1" ht="15">
      <c r="A736" s="443"/>
      <c r="B736" s="443"/>
      <c r="C736" s="443"/>
      <c r="D736" s="443"/>
      <c r="E736" s="458"/>
      <c r="F736" s="458"/>
      <c r="G736" s="458"/>
      <c r="H736" s="458"/>
      <c r="I736" s="458"/>
      <c r="J736" s="458"/>
      <c r="K736" s="458"/>
      <c r="L736" s="458"/>
      <c r="M736" s="458"/>
      <c r="N736" s="458"/>
      <c r="O736" s="443"/>
      <c r="P736" s="447"/>
    </row>
    <row r="737" spans="16:16" s="497" customFormat="1" ht="15">
      <c r="P737" s="447"/>
    </row>
    <row r="738" spans="16:16" s="497" customFormat="1" ht="15">
      <c r="P738" s="447"/>
    </row>
    <row r="739" spans="16:16" s="497" customFormat="1" ht="15">
      <c r="P739" s="447"/>
    </row>
    <row r="740" spans="16:16" s="497" customFormat="1" ht="15">
      <c r="P740" s="447"/>
    </row>
    <row r="741" spans="16:16" s="497" customFormat="1" ht="15">
      <c r="P741" s="447"/>
    </row>
    <row r="742" spans="16:16" s="497" customFormat="1" ht="15">
      <c r="P742" s="447"/>
    </row>
    <row r="743" spans="16:16" s="497" customFormat="1" ht="15">
      <c r="P743" s="447"/>
    </row>
    <row r="744" spans="16:16" s="497" customFormat="1" ht="15">
      <c r="P744" s="447"/>
    </row>
    <row r="745" spans="16:16" s="497" customFormat="1" ht="15">
      <c r="P745" s="447"/>
    </row>
    <row r="746" spans="16:16" s="497" customFormat="1" ht="15">
      <c r="P746" s="447"/>
    </row>
    <row r="747" spans="16:16" s="497" customFormat="1" ht="15">
      <c r="P747" s="447"/>
    </row>
    <row r="748" spans="16:16" s="497" customFormat="1" ht="15">
      <c r="P748" s="447"/>
    </row>
    <row r="749" spans="16:16" s="497" customFormat="1" ht="15">
      <c r="P749" s="447"/>
    </row>
    <row r="750" spans="16:16" s="497" customFormat="1" ht="15">
      <c r="P750" s="447"/>
    </row>
    <row r="751" spans="16:16" s="497" customFormat="1" ht="15">
      <c r="P751" s="447"/>
    </row>
    <row r="752" spans="16:16" s="497" customFormat="1" ht="15">
      <c r="P752" s="447"/>
    </row>
    <row r="753" spans="16:16" s="497" customFormat="1" ht="15">
      <c r="P753" s="447"/>
    </row>
    <row r="754" spans="16:16" s="497" customFormat="1" ht="15">
      <c r="P754" s="447"/>
    </row>
    <row r="755" spans="16:16" s="497" customFormat="1" ht="15">
      <c r="P755" s="447"/>
    </row>
    <row r="756" spans="16:16" s="497" customFormat="1" ht="15">
      <c r="P756" s="447"/>
    </row>
    <row r="757" spans="16:16" s="497" customFormat="1" ht="15">
      <c r="P757" s="447"/>
    </row>
    <row r="758" spans="16:16" s="497" customFormat="1" ht="15">
      <c r="P758" s="447"/>
    </row>
    <row r="759" spans="16:16" s="497" customFormat="1" ht="15">
      <c r="P759" s="447"/>
    </row>
    <row r="760" spans="16:16" s="497" customFormat="1" ht="15">
      <c r="P760" s="447"/>
    </row>
    <row r="761" spans="16:16" s="497" customFormat="1" ht="15">
      <c r="P761" s="447"/>
    </row>
    <row r="762" spans="16:16" s="497" customFormat="1" ht="15">
      <c r="P762" s="447"/>
    </row>
    <row r="763" spans="16:16" s="497" customFormat="1" ht="15">
      <c r="P763" s="447"/>
    </row>
    <row r="764" spans="16:16" s="497" customFormat="1" ht="15">
      <c r="P764" s="447"/>
    </row>
    <row r="765" spans="16:16" s="497" customFormat="1" ht="15">
      <c r="P765" s="447"/>
    </row>
    <row r="766" spans="16:16" s="497" customFormat="1" ht="15">
      <c r="P766" s="447"/>
    </row>
    <row r="767" spans="16:16" s="497" customFormat="1" ht="15">
      <c r="P767" s="447"/>
    </row>
    <row r="768" spans="16:16" s="497" customFormat="1" ht="15">
      <c r="P768" s="447"/>
    </row>
    <row r="769" spans="16:16" s="497" customFormat="1" ht="15">
      <c r="P769" s="447"/>
    </row>
    <row r="770" spans="16:16" s="497" customFormat="1" ht="15">
      <c r="P770" s="447"/>
    </row>
    <row r="771" spans="16:16" s="497" customFormat="1" ht="15">
      <c r="P771" s="447"/>
    </row>
    <row r="772" spans="16:16" s="497" customFormat="1" ht="15">
      <c r="P772" s="447"/>
    </row>
    <row r="773" spans="16:16" s="497" customFormat="1" ht="15">
      <c r="P773" s="447"/>
    </row>
    <row r="774" spans="16:16" s="497" customFormat="1" ht="15">
      <c r="P774" s="447"/>
    </row>
    <row r="775" spans="16:16" s="497" customFormat="1" ht="15">
      <c r="P775" s="447"/>
    </row>
    <row r="776" spans="16:16" s="497" customFormat="1" ht="15">
      <c r="P776" s="447"/>
    </row>
    <row r="777" spans="16:16" s="497" customFormat="1" ht="15">
      <c r="P777" s="447"/>
    </row>
    <row r="778" spans="16:16" s="497" customFormat="1" ht="15">
      <c r="P778" s="447"/>
    </row>
    <row r="779" spans="16:16" s="497" customFormat="1" ht="15">
      <c r="P779" s="447"/>
    </row>
    <row r="780" spans="16:16" s="497" customFormat="1" ht="15">
      <c r="P780" s="447"/>
    </row>
    <row r="781" spans="16:16" s="497" customFormat="1" ht="15">
      <c r="P781" s="447"/>
    </row>
    <row r="782" spans="16:16" s="497" customFormat="1" ht="15">
      <c r="P782" s="447"/>
    </row>
    <row r="783" spans="16:16" s="497" customFormat="1" ht="15">
      <c r="P783" s="447"/>
    </row>
    <row r="784" spans="16:16" s="497" customFormat="1" ht="15">
      <c r="P784" s="447"/>
    </row>
    <row r="785" spans="16:16" s="497" customFormat="1" ht="15">
      <c r="P785" s="447"/>
    </row>
    <row r="786" spans="16:16" s="497" customFormat="1" ht="15">
      <c r="P786" s="447"/>
    </row>
    <row r="787" spans="16:16" s="497" customFormat="1" ht="15">
      <c r="P787" s="447"/>
    </row>
    <row r="788" spans="16:16" s="497" customFormat="1" ht="15">
      <c r="P788" s="447"/>
    </row>
    <row r="789" spans="16:16" s="497" customFormat="1" ht="15">
      <c r="P789" s="447"/>
    </row>
    <row r="790" spans="16:16" s="497" customFormat="1" ht="15">
      <c r="P790" s="447"/>
    </row>
    <row r="791" spans="16:16" s="497" customFormat="1" ht="15">
      <c r="P791" s="447"/>
    </row>
    <row r="792" spans="16:16" s="497" customFormat="1" ht="15">
      <c r="P792" s="447"/>
    </row>
    <row r="793" spans="16:16" s="497" customFormat="1" ht="15">
      <c r="P793" s="447"/>
    </row>
    <row r="794" spans="16:16" s="497" customFormat="1" ht="15">
      <c r="P794" s="447"/>
    </row>
    <row r="795" spans="16:16" s="497" customFormat="1" ht="15">
      <c r="P795" s="447"/>
    </row>
    <row r="796" spans="16:16" s="497" customFormat="1" ht="15">
      <c r="P796" s="447"/>
    </row>
    <row r="797" spans="16:16" s="497" customFormat="1" ht="15">
      <c r="P797" s="447"/>
    </row>
    <row r="798" spans="16:16" s="497" customFormat="1" ht="15">
      <c r="P798" s="447"/>
    </row>
    <row r="799" spans="16:16" s="497" customFormat="1" ht="15">
      <c r="P799" s="447"/>
    </row>
    <row r="800" spans="16:16" s="497" customFormat="1" ht="15">
      <c r="P800" s="447"/>
    </row>
    <row r="801" spans="16:16" s="497" customFormat="1" ht="15">
      <c r="P801" s="447"/>
    </row>
    <row r="802" spans="16:16" s="497" customFormat="1" ht="15">
      <c r="P802" s="447"/>
    </row>
    <row r="803" spans="16:16" s="497" customFormat="1" ht="15">
      <c r="P803" s="447"/>
    </row>
    <row r="804" spans="16:16" s="497" customFormat="1" ht="15">
      <c r="P804" s="447"/>
    </row>
    <row r="805" spans="16:16" s="497" customFormat="1" ht="15">
      <c r="P805" s="447"/>
    </row>
    <row r="806" spans="16:16" s="497" customFormat="1" ht="15">
      <c r="P806" s="447"/>
    </row>
    <row r="807" spans="16:16" s="497" customFormat="1" ht="15">
      <c r="P807" s="447"/>
    </row>
    <row r="808" spans="16:16" s="497" customFormat="1" ht="15">
      <c r="P808" s="447"/>
    </row>
    <row r="809" spans="16:16" s="497" customFormat="1" ht="15">
      <c r="P809" s="447"/>
    </row>
    <row r="810" spans="16:16" s="497" customFormat="1" ht="15">
      <c r="P810" s="447"/>
    </row>
    <row r="811" spans="16:16" s="497" customFormat="1" ht="15">
      <c r="P811" s="447"/>
    </row>
    <row r="812" spans="16:16" s="497" customFormat="1" ht="15">
      <c r="P812" s="447"/>
    </row>
    <row r="813" spans="16:16" s="497" customFormat="1" ht="15">
      <c r="P813" s="447"/>
    </row>
    <row r="814" spans="16:16" s="497" customFormat="1" ht="15">
      <c r="P814" s="447"/>
    </row>
    <row r="815" spans="16:16" s="497" customFormat="1" ht="15">
      <c r="P815" s="447"/>
    </row>
    <row r="816" spans="16:16" s="497" customFormat="1" ht="15">
      <c r="P816" s="447"/>
    </row>
    <row r="817" spans="16:16" s="497" customFormat="1" ht="15">
      <c r="P817" s="447"/>
    </row>
    <row r="818" spans="16:16" s="497" customFormat="1" ht="15">
      <c r="P818" s="447"/>
    </row>
    <row r="819" spans="16:16" s="497" customFormat="1" ht="15">
      <c r="P819" s="447"/>
    </row>
    <row r="820" spans="16:16" s="497" customFormat="1" ht="15">
      <c r="P820" s="447"/>
    </row>
    <row r="821" spans="16:16" s="497" customFormat="1" ht="15">
      <c r="P821" s="447"/>
    </row>
    <row r="822" spans="16:16" s="497" customFormat="1" ht="15">
      <c r="P822" s="447"/>
    </row>
    <row r="823" spans="16:16" s="497" customFormat="1" ht="15">
      <c r="P823" s="447"/>
    </row>
    <row r="824" spans="16:16" s="497" customFormat="1" ht="15">
      <c r="P824" s="447"/>
    </row>
    <row r="825" spans="16:16" s="497" customFormat="1" ht="15">
      <c r="P825" s="447"/>
    </row>
    <row r="826" spans="16:16" s="497" customFormat="1" ht="15">
      <c r="P826" s="447"/>
    </row>
    <row r="827" spans="16:16" s="497" customFormat="1" ht="15">
      <c r="P827" s="447"/>
    </row>
    <row r="828" spans="16:16" s="497" customFormat="1" ht="15">
      <c r="P828" s="447"/>
    </row>
    <row r="829" spans="16:16" s="497" customFormat="1" ht="15">
      <c r="P829" s="447"/>
    </row>
    <row r="830" spans="16:16" s="497" customFormat="1" ht="15">
      <c r="P830" s="447"/>
    </row>
    <row r="831" spans="16:16" s="497" customFormat="1" ht="15">
      <c r="P831" s="447"/>
    </row>
    <row r="832" spans="16:16" s="497" customFormat="1" ht="15">
      <c r="P832" s="447"/>
    </row>
    <row r="833" spans="16:16" s="497" customFormat="1" ht="15">
      <c r="P833" s="447"/>
    </row>
    <row r="834" spans="16:16" s="497" customFormat="1" ht="15">
      <c r="P834" s="447"/>
    </row>
    <row r="835" spans="16:16" s="497" customFormat="1" ht="15">
      <c r="P835" s="447"/>
    </row>
    <row r="836" spans="16:16" s="497" customFormat="1" ht="15">
      <c r="P836" s="447"/>
    </row>
    <row r="837" spans="16:16" s="497" customFormat="1" ht="15">
      <c r="P837" s="447"/>
    </row>
    <row r="838" spans="16:16" s="497" customFormat="1" ht="15">
      <c r="P838" s="447"/>
    </row>
    <row r="839" spans="16:16" s="497" customFormat="1" ht="15">
      <c r="P839" s="447"/>
    </row>
    <row r="840" spans="16:16" s="497" customFormat="1" ht="15">
      <c r="P840" s="447"/>
    </row>
    <row r="841" spans="16:16" s="497" customFormat="1" ht="15">
      <c r="P841" s="447"/>
    </row>
    <row r="842" spans="16:16" s="497" customFormat="1" ht="15">
      <c r="P842" s="447"/>
    </row>
    <row r="843" spans="16:16" s="497" customFormat="1" ht="15">
      <c r="P843" s="447"/>
    </row>
    <row r="844" spans="16:16" s="497" customFormat="1" ht="15">
      <c r="P844" s="447"/>
    </row>
    <row r="845" spans="16:16" s="497" customFormat="1" ht="15">
      <c r="P845" s="447"/>
    </row>
    <row r="846" spans="16:16" s="497" customFormat="1" ht="15">
      <c r="P846" s="447"/>
    </row>
    <row r="847" spans="16:16" s="497" customFormat="1" ht="15">
      <c r="P847" s="447"/>
    </row>
    <row r="848" spans="16:16" s="497" customFormat="1" ht="15">
      <c r="P848" s="447"/>
    </row>
    <row r="849" spans="16:16" s="497" customFormat="1" ht="15">
      <c r="P849" s="447"/>
    </row>
    <row r="850" spans="16:16" s="497" customFormat="1" ht="15">
      <c r="P850" s="447"/>
    </row>
    <row r="851" spans="16:16" s="497" customFormat="1" ht="15">
      <c r="P851" s="447"/>
    </row>
    <row r="852" spans="16:16" s="497" customFormat="1" ht="15">
      <c r="P852" s="447"/>
    </row>
    <row r="853" spans="16:16" s="497" customFormat="1" ht="15">
      <c r="P853" s="447"/>
    </row>
    <row r="854" spans="16:16" s="497" customFormat="1" ht="15">
      <c r="P854" s="447"/>
    </row>
    <row r="855" spans="16:16" s="497" customFormat="1" ht="15">
      <c r="P855" s="447"/>
    </row>
    <row r="856" spans="16:16" s="497" customFormat="1" ht="15">
      <c r="P856" s="447"/>
    </row>
    <row r="857" spans="16:16" s="497" customFormat="1" ht="15">
      <c r="P857" s="447"/>
    </row>
    <row r="858" spans="16:16" s="497" customFormat="1" ht="15">
      <c r="P858" s="447"/>
    </row>
    <row r="859" spans="16:16" s="497" customFormat="1" ht="15">
      <c r="P859" s="447"/>
    </row>
    <row r="860" spans="16:16" s="497" customFormat="1" ht="15">
      <c r="P860" s="447"/>
    </row>
    <row r="861" spans="16:16" s="497" customFormat="1" ht="15">
      <c r="P861" s="447"/>
    </row>
    <row r="862" spans="16:16" s="497" customFormat="1" ht="15">
      <c r="P862" s="447"/>
    </row>
    <row r="863" spans="16:16" s="497" customFormat="1" ht="15">
      <c r="P863" s="447"/>
    </row>
    <row r="864" spans="16:16" s="497" customFormat="1" ht="15">
      <c r="P864" s="447"/>
    </row>
    <row r="865" spans="16:16" s="497" customFormat="1" ht="15">
      <c r="P865" s="447"/>
    </row>
    <row r="866" spans="16:16" s="497" customFormat="1" ht="15">
      <c r="P866" s="447"/>
    </row>
    <row r="867" spans="16:16" s="497" customFormat="1" ht="15">
      <c r="P867" s="447"/>
    </row>
    <row r="868" spans="16:16" s="497" customFormat="1" ht="15">
      <c r="P868" s="447"/>
    </row>
    <row r="869" spans="16:16" s="497" customFormat="1" ht="15">
      <c r="P869" s="447"/>
    </row>
    <row r="870" spans="16:16" s="497" customFormat="1" ht="15">
      <c r="P870" s="447"/>
    </row>
    <row r="871" spans="16:16" s="497" customFormat="1" ht="15">
      <c r="P871" s="447"/>
    </row>
    <row r="872" spans="16:16" s="497" customFormat="1" ht="15">
      <c r="P872" s="447"/>
    </row>
    <row r="873" spans="16:16" s="497" customFormat="1" ht="15">
      <c r="P873" s="447"/>
    </row>
    <row r="874" spans="16:16" s="497" customFormat="1" ht="15">
      <c r="P874" s="447"/>
    </row>
    <row r="875" spans="16:16" s="497" customFormat="1" ht="15">
      <c r="P875" s="447"/>
    </row>
    <row r="876" spans="16:16" s="497" customFormat="1" ht="15">
      <c r="P876" s="447"/>
    </row>
    <row r="877" spans="16:16" s="497" customFormat="1" ht="15">
      <c r="P877" s="447"/>
    </row>
    <row r="878" spans="16:16" s="497" customFormat="1" ht="15">
      <c r="P878" s="447"/>
    </row>
    <row r="879" spans="16:16" s="497" customFormat="1" ht="15">
      <c r="P879" s="447"/>
    </row>
    <row r="880" spans="16:16" s="497" customFormat="1" ht="15">
      <c r="P880" s="447"/>
    </row>
    <row r="881" spans="16:16" s="497" customFormat="1" ht="15">
      <c r="P881" s="447"/>
    </row>
    <row r="882" spans="16:16" s="497" customFormat="1" ht="15">
      <c r="P882" s="447"/>
    </row>
    <row r="883" spans="16:16" s="497" customFormat="1" ht="15">
      <c r="P883" s="447"/>
    </row>
    <row r="884" spans="16:16" s="497" customFormat="1" ht="15">
      <c r="P884" s="447"/>
    </row>
    <row r="885" spans="16:16" s="497" customFormat="1" ht="15">
      <c r="P885" s="447"/>
    </row>
    <row r="886" spans="16:16" s="497" customFormat="1" ht="15">
      <c r="P886" s="447"/>
    </row>
    <row r="887" spans="16:16" s="497" customFormat="1" ht="15">
      <c r="P887" s="447"/>
    </row>
    <row r="888" spans="16:16" s="497" customFormat="1" ht="15">
      <c r="P888" s="447"/>
    </row>
    <row r="889" spans="16:16" s="497" customFormat="1" ht="15">
      <c r="P889" s="447"/>
    </row>
    <row r="890" spans="16:16" s="497" customFormat="1" ht="15">
      <c r="P890" s="447"/>
    </row>
    <row r="891" spans="16:16" s="497" customFormat="1" ht="15">
      <c r="P891" s="447"/>
    </row>
    <row r="892" spans="16:16" s="497" customFormat="1" ht="15">
      <c r="P892" s="447"/>
    </row>
    <row r="893" spans="16:16" s="497" customFormat="1" ht="15">
      <c r="P893" s="447"/>
    </row>
    <row r="894" spans="16:16" s="497" customFormat="1" ht="15">
      <c r="P894" s="447"/>
    </row>
    <row r="895" spans="16:16" s="497" customFormat="1" ht="15">
      <c r="P895" s="447"/>
    </row>
    <row r="896" spans="16:16" s="497" customFormat="1" ht="15">
      <c r="P896" s="447"/>
    </row>
    <row r="897" spans="16:16" s="497" customFormat="1" ht="15">
      <c r="P897" s="447"/>
    </row>
    <row r="898" spans="16:16" s="497" customFormat="1" ht="15">
      <c r="P898" s="447"/>
    </row>
    <row r="899" spans="16:16" s="497" customFormat="1" ht="15">
      <c r="P899" s="447"/>
    </row>
    <row r="900" spans="16:16" s="497" customFormat="1" ht="15">
      <c r="P900" s="447"/>
    </row>
    <row r="901" spans="16:16" s="497" customFormat="1" ht="15">
      <c r="P901" s="447"/>
    </row>
    <row r="902" spans="16:16" s="497" customFormat="1" ht="15">
      <c r="P902" s="447"/>
    </row>
    <row r="903" spans="16:16" s="497" customFormat="1" ht="15">
      <c r="P903" s="447"/>
    </row>
    <row r="904" spans="16:16" s="497" customFormat="1" ht="15">
      <c r="P904" s="447"/>
    </row>
    <row r="905" spans="16:16" s="497" customFormat="1" ht="15">
      <c r="P905" s="447"/>
    </row>
    <row r="906" spans="16:16" s="497" customFormat="1" ht="15">
      <c r="P906" s="447"/>
    </row>
    <row r="907" spans="16:16" s="497" customFormat="1" ht="15">
      <c r="P907" s="447"/>
    </row>
    <row r="908" spans="16:16" s="497" customFormat="1" ht="15">
      <c r="P908" s="447"/>
    </row>
    <row r="909" spans="16:16" s="497" customFormat="1" ht="15">
      <c r="P909" s="447"/>
    </row>
    <row r="910" spans="16:16" s="497" customFormat="1" ht="15">
      <c r="P910" s="447"/>
    </row>
    <row r="911" spans="16:16" s="497" customFormat="1" ht="15">
      <c r="P911" s="447"/>
    </row>
    <row r="912" spans="16:16" s="497" customFormat="1" ht="15">
      <c r="P912" s="447"/>
    </row>
    <row r="913" spans="16:16" s="497" customFormat="1" ht="15">
      <c r="P913" s="447"/>
    </row>
    <row r="914" spans="16:16" s="497" customFormat="1" ht="15">
      <c r="P914" s="447"/>
    </row>
    <row r="915" spans="16:16" s="497" customFormat="1" ht="15">
      <c r="P915" s="447"/>
    </row>
    <row r="916" spans="16:16" s="497" customFormat="1" ht="15">
      <c r="P916" s="447"/>
    </row>
    <row r="917" spans="16:16" s="497" customFormat="1" ht="15">
      <c r="P917" s="447"/>
    </row>
    <row r="918" spans="16:16" s="497" customFormat="1" ht="15">
      <c r="P918" s="447"/>
    </row>
    <row r="919" spans="16:16" s="497" customFormat="1" ht="15">
      <c r="P919" s="447"/>
    </row>
    <row r="920" spans="16:16" s="497" customFormat="1" ht="15">
      <c r="P920" s="447"/>
    </row>
    <row r="921" spans="16:16" s="497" customFormat="1" ht="15">
      <c r="P921" s="447"/>
    </row>
    <row r="922" spans="16:16" s="497" customFormat="1" ht="15">
      <c r="P922" s="447"/>
    </row>
    <row r="923" spans="16:16" s="497" customFormat="1" ht="15">
      <c r="P923" s="447"/>
    </row>
    <row r="924" spans="16:16" s="497" customFormat="1" ht="15">
      <c r="P924" s="447"/>
    </row>
    <row r="925" spans="16:16" s="497" customFormat="1" ht="15">
      <c r="P925" s="447"/>
    </row>
    <row r="926" spans="16:16" s="497" customFormat="1" ht="15">
      <c r="P926" s="447"/>
    </row>
    <row r="927" spans="16:16" s="497" customFormat="1" ht="15">
      <c r="P927" s="447"/>
    </row>
    <row r="928" spans="16:16" s="497" customFormat="1" ht="15">
      <c r="P928" s="447"/>
    </row>
    <row r="929" spans="16:16" s="497" customFormat="1" ht="15">
      <c r="P929" s="447"/>
    </row>
    <row r="930" spans="16:16" s="497" customFormat="1" ht="15">
      <c r="P930" s="447"/>
    </row>
    <row r="931" spans="16:16" s="497" customFormat="1" ht="15">
      <c r="P931" s="447"/>
    </row>
    <row r="932" spans="16:16" s="497" customFormat="1" ht="15">
      <c r="P932" s="447"/>
    </row>
    <row r="933" spans="16:16" s="497" customFormat="1" ht="15">
      <c r="P933" s="447"/>
    </row>
    <row r="934" spans="16:16" s="497" customFormat="1" ht="15">
      <c r="P934" s="447"/>
    </row>
    <row r="935" spans="16:16" s="497" customFormat="1" ht="15">
      <c r="P935" s="447"/>
    </row>
    <row r="936" spans="16:16" s="497" customFormat="1" ht="15">
      <c r="P936" s="447"/>
    </row>
    <row r="937" spans="16:16" s="497" customFormat="1" ht="15">
      <c r="P937" s="447"/>
    </row>
    <row r="938" spans="16:16" s="497" customFormat="1" ht="15">
      <c r="P938" s="447"/>
    </row>
    <row r="939" spans="16:16" s="497" customFormat="1" ht="15">
      <c r="P939" s="447"/>
    </row>
    <row r="940" spans="16:16" s="497" customFormat="1" ht="15">
      <c r="P940" s="447"/>
    </row>
    <row r="941" spans="16:16" s="497" customFormat="1" ht="15">
      <c r="P941" s="447"/>
    </row>
    <row r="942" spans="16:16" s="497" customFormat="1" ht="15">
      <c r="P942" s="447"/>
    </row>
    <row r="943" spans="16:16" s="497" customFormat="1" ht="15">
      <c r="P943" s="447"/>
    </row>
    <row r="944" spans="16:16" s="497" customFormat="1" ht="15">
      <c r="P944" s="447"/>
    </row>
    <row r="945" spans="16:16" s="497" customFormat="1" ht="15">
      <c r="P945" s="447"/>
    </row>
    <row r="946" spans="16:16" s="497" customFormat="1" ht="15">
      <c r="P946" s="447"/>
    </row>
    <row r="947" spans="16:16" s="497" customFormat="1" ht="15">
      <c r="P947" s="447"/>
    </row>
    <row r="948" spans="16:16" s="497" customFormat="1" ht="15">
      <c r="P948" s="447"/>
    </row>
    <row r="949" spans="16:16" s="497" customFormat="1" ht="15">
      <c r="P949" s="447"/>
    </row>
    <row r="950" spans="16:16" s="497" customFormat="1" ht="15">
      <c r="P950" s="447"/>
    </row>
    <row r="951" spans="16:16" s="497" customFormat="1" ht="15">
      <c r="P951" s="447"/>
    </row>
    <row r="952" spans="16:16" s="497" customFormat="1" ht="15">
      <c r="P952" s="447"/>
    </row>
    <row r="953" spans="16:16" s="497" customFormat="1" ht="15">
      <c r="P953" s="447"/>
    </row>
    <row r="954" spans="16:16" s="497" customFormat="1" ht="15">
      <c r="P954" s="447"/>
    </row>
    <row r="955" spans="16:16" s="497" customFormat="1" ht="15">
      <c r="P955" s="447"/>
    </row>
    <row r="956" spans="16:16" s="497" customFormat="1" ht="15">
      <c r="P956" s="447"/>
    </row>
    <row r="957" spans="16:16" s="497" customFormat="1" ht="15">
      <c r="P957" s="447"/>
    </row>
    <row r="958" spans="16:16" s="497" customFormat="1" ht="15">
      <c r="P958" s="447"/>
    </row>
    <row r="959" spans="16:16" s="497" customFormat="1" ht="15">
      <c r="P959" s="447"/>
    </row>
    <row r="960" spans="16:16" s="497" customFormat="1" ht="15">
      <c r="P960" s="447"/>
    </row>
    <row r="961" spans="16:16" s="497" customFormat="1" ht="15">
      <c r="P961" s="447"/>
    </row>
    <row r="962" spans="16:16" s="497" customFormat="1" ht="15">
      <c r="P962" s="447"/>
    </row>
    <row r="963" spans="16:16" s="497" customFormat="1" ht="15">
      <c r="P963" s="447"/>
    </row>
    <row r="964" spans="16:16" s="497" customFormat="1" ht="15">
      <c r="P964" s="447"/>
    </row>
    <row r="965" spans="16:16" s="497" customFormat="1" ht="15">
      <c r="P965" s="447"/>
    </row>
    <row r="966" spans="16:16" s="497" customFormat="1" ht="15">
      <c r="P966" s="447"/>
    </row>
    <row r="967" spans="16:16" s="497" customFormat="1" ht="15">
      <c r="P967" s="447"/>
    </row>
    <row r="968" spans="16:16" s="497" customFormat="1" ht="15">
      <c r="P968" s="447"/>
    </row>
    <row r="969" spans="16:16" s="497" customFormat="1" ht="15">
      <c r="P969" s="447"/>
    </row>
    <row r="970" spans="16:16" s="497" customFormat="1" ht="15">
      <c r="P970" s="447"/>
    </row>
    <row r="971" spans="16:16" s="497" customFormat="1" ht="15">
      <c r="P971" s="447"/>
    </row>
    <row r="972" spans="16:16" s="497" customFormat="1" ht="15">
      <c r="P972" s="447"/>
    </row>
    <row r="973" spans="16:16" s="497" customFormat="1" ht="15">
      <c r="P973" s="447"/>
    </row>
    <row r="974" spans="16:16" s="497" customFormat="1" ht="15">
      <c r="P974" s="447"/>
    </row>
    <row r="975" spans="16:16" s="497" customFormat="1" ht="15">
      <c r="P975" s="447"/>
    </row>
    <row r="976" spans="16:16" s="497" customFormat="1" ht="15">
      <c r="P976" s="447"/>
    </row>
    <row r="977" spans="16:16" s="497" customFormat="1" ht="15">
      <c r="P977" s="447"/>
    </row>
    <row r="978" spans="16:16" s="497" customFormat="1" ht="15">
      <c r="P978" s="447"/>
    </row>
    <row r="979" spans="16:16" s="497" customFormat="1" ht="15">
      <c r="P979" s="447"/>
    </row>
    <row r="980" spans="16:16" s="497" customFormat="1" ht="15">
      <c r="P980" s="447"/>
    </row>
    <row r="981" spans="16:16" s="497" customFormat="1" ht="15">
      <c r="P981" s="447"/>
    </row>
    <row r="982" spans="16:16" s="497" customFormat="1" ht="15">
      <c r="P982" s="447"/>
    </row>
    <row r="983" spans="16:16" s="497" customFormat="1" ht="15">
      <c r="P983" s="447"/>
    </row>
    <row r="984" spans="16:16" s="497" customFormat="1" ht="15">
      <c r="P984" s="447"/>
    </row>
    <row r="985" spans="16:16" s="497" customFormat="1" ht="15">
      <c r="P985" s="447"/>
    </row>
    <row r="986" spans="16:16" s="497" customFormat="1" ht="15">
      <c r="P986" s="447"/>
    </row>
    <row r="987" spans="16:16" s="497" customFormat="1" ht="15">
      <c r="P987" s="447"/>
    </row>
    <row r="988" spans="16:16" s="497" customFormat="1" ht="15">
      <c r="P988" s="447"/>
    </row>
    <row r="989" spans="16:16" s="497" customFormat="1" ht="15">
      <c r="P989" s="447"/>
    </row>
    <row r="990" spans="16:16" s="497" customFormat="1" ht="15">
      <c r="P990" s="447"/>
    </row>
    <row r="991" spans="16:16" s="497" customFormat="1" ht="15">
      <c r="P991" s="447"/>
    </row>
    <row r="992" spans="16:16" s="497" customFormat="1" ht="15">
      <c r="P992" s="447"/>
    </row>
    <row r="993" spans="16:16" s="497" customFormat="1" ht="15">
      <c r="P993" s="447"/>
    </row>
    <row r="994" spans="16:16" s="497" customFormat="1" ht="15">
      <c r="P994" s="447"/>
    </row>
    <row r="995" spans="16:16" s="497" customFormat="1" ht="15">
      <c r="P995" s="447"/>
    </row>
    <row r="996" spans="16:16" s="497" customFormat="1" ht="15">
      <c r="P996" s="447"/>
    </row>
    <row r="997" spans="16:16" s="497" customFormat="1" ht="15">
      <c r="P997" s="447"/>
    </row>
    <row r="998" spans="16:16" s="497" customFormat="1" ht="15">
      <c r="P998" s="447"/>
    </row>
    <row r="999" spans="16:16" s="497" customFormat="1" ht="15">
      <c r="P999" s="447"/>
    </row>
    <row r="1000" spans="16:16" s="497" customFormat="1" ht="15">
      <c r="P1000" s="447"/>
    </row>
    <row r="1001" spans="16:16" s="497" customFormat="1" ht="15">
      <c r="P1001" s="447"/>
    </row>
    <row r="1002" spans="16:16" s="497" customFormat="1" ht="15">
      <c r="P1002" s="447"/>
    </row>
    <row r="1003" spans="16:16" s="497" customFormat="1" ht="15">
      <c r="P1003" s="447"/>
    </row>
    <row r="1004" spans="16:16" s="497" customFormat="1" ht="15">
      <c r="P1004" s="447"/>
    </row>
    <row r="1005" spans="16:16" s="497" customFormat="1" ht="15">
      <c r="P1005" s="447"/>
    </row>
    <row r="1006" spans="16:16" s="497" customFormat="1" ht="15">
      <c r="P1006" s="447"/>
    </row>
    <row r="1007" spans="16:16" s="497" customFormat="1" ht="15">
      <c r="P1007" s="447"/>
    </row>
    <row r="1008" spans="16:16" s="497" customFormat="1" ht="15">
      <c r="P1008" s="447"/>
    </row>
    <row r="1009" spans="16:16" s="497" customFormat="1" ht="15">
      <c r="P1009" s="447"/>
    </row>
    <row r="1010" spans="16:16" s="497" customFormat="1" ht="15">
      <c r="P1010" s="447"/>
    </row>
    <row r="1011" spans="16:16" s="497" customFormat="1" ht="15">
      <c r="P1011" s="447"/>
    </row>
    <row r="1012" spans="16:16" s="497" customFormat="1" ht="15">
      <c r="P1012" s="447"/>
    </row>
    <row r="1013" spans="16:16" s="497" customFormat="1" ht="15">
      <c r="P1013" s="447"/>
    </row>
    <row r="1014" spans="16:16" s="497" customFormat="1" ht="15">
      <c r="P1014" s="447"/>
    </row>
    <row r="1015" spans="16:16" s="497" customFormat="1" ht="15">
      <c r="P1015" s="447"/>
    </row>
    <row r="1016" spans="16:16" s="497" customFormat="1" ht="15">
      <c r="P1016" s="447"/>
    </row>
    <row r="1017" spans="16:16" s="497" customFormat="1" ht="15">
      <c r="P1017" s="447"/>
    </row>
    <row r="1018" spans="16:16" s="497" customFormat="1" ht="15">
      <c r="P1018" s="447"/>
    </row>
    <row r="1019" spans="16:16" s="497" customFormat="1" ht="15">
      <c r="P1019" s="447"/>
    </row>
    <row r="1020" spans="16:16" s="497" customFormat="1" ht="15">
      <c r="P1020" s="447"/>
    </row>
    <row r="1021" spans="16:16" s="497" customFormat="1" ht="15">
      <c r="P1021" s="447"/>
    </row>
    <row r="1022" spans="16:16" s="497" customFormat="1" ht="15">
      <c r="P1022" s="447"/>
    </row>
    <row r="1023" spans="16:16" s="497" customFormat="1" ht="15">
      <c r="P1023" s="447"/>
    </row>
    <row r="1024" spans="16:16" s="497" customFormat="1" ht="15">
      <c r="P1024" s="447"/>
    </row>
    <row r="1025" spans="16:16" s="497" customFormat="1" ht="15">
      <c r="P1025" s="447"/>
    </row>
    <row r="1026" spans="16:16" s="497" customFormat="1" ht="15">
      <c r="P1026" s="447"/>
    </row>
    <row r="1027" spans="16:16" s="497" customFormat="1" ht="15">
      <c r="P1027" s="447"/>
    </row>
    <row r="1028" spans="16:16" s="497" customFormat="1" ht="15">
      <c r="P1028" s="447"/>
    </row>
    <row r="1029" spans="16:16" s="497" customFormat="1" ht="15">
      <c r="P1029" s="447"/>
    </row>
    <row r="1030" spans="16:16" s="497" customFormat="1" ht="15">
      <c r="P1030" s="447"/>
    </row>
    <row r="1031" spans="16:16" s="497" customFormat="1" ht="15">
      <c r="P1031" s="447"/>
    </row>
    <row r="1032" spans="16:16" s="497" customFormat="1" ht="15">
      <c r="P1032" s="447"/>
    </row>
    <row r="1033" spans="16:16" s="497" customFormat="1" ht="15">
      <c r="P1033" s="447"/>
    </row>
    <row r="1034" spans="16:16" s="497" customFormat="1" ht="15">
      <c r="P1034" s="447"/>
    </row>
    <row r="1035" spans="16:16" s="497" customFormat="1" ht="15">
      <c r="P1035" s="447"/>
    </row>
    <row r="1036" spans="16:16" s="497" customFormat="1" ht="15">
      <c r="P1036" s="447"/>
    </row>
    <row r="1037" spans="16:16" s="497" customFormat="1" ht="15">
      <c r="P1037" s="447"/>
    </row>
    <row r="1038" spans="16:16" s="497" customFormat="1" ht="15">
      <c r="P1038" s="447"/>
    </row>
    <row r="1039" spans="16:16" s="497" customFormat="1" ht="15">
      <c r="P1039" s="447"/>
    </row>
    <row r="1040" spans="16:16" s="497" customFormat="1" ht="15">
      <c r="P1040" s="447"/>
    </row>
    <row r="1041" spans="16:16" s="497" customFormat="1" ht="15">
      <c r="P1041" s="447"/>
    </row>
    <row r="1042" spans="16:16" s="497" customFormat="1" ht="15">
      <c r="P1042" s="447"/>
    </row>
    <row r="1043" spans="16:16" s="497" customFormat="1" ht="15">
      <c r="P1043" s="447"/>
    </row>
    <row r="1044" spans="16:16" s="497" customFormat="1" ht="15">
      <c r="P1044" s="447"/>
    </row>
    <row r="1045" spans="16:16" s="497" customFormat="1" ht="15">
      <c r="P1045" s="447"/>
    </row>
    <row r="1046" spans="16:16" s="497" customFormat="1" ht="15">
      <c r="P1046" s="447"/>
    </row>
    <row r="1047" spans="16:16" s="497" customFormat="1" ht="15">
      <c r="P1047" s="447"/>
    </row>
    <row r="1048" spans="16:16" s="497" customFormat="1" ht="15">
      <c r="P1048" s="447"/>
    </row>
    <row r="1049" spans="16:16" s="497" customFormat="1" ht="15">
      <c r="P1049" s="447"/>
    </row>
    <row r="1050" spans="16:16" s="497" customFormat="1" ht="15">
      <c r="P1050" s="447"/>
    </row>
    <row r="1051" spans="16:16" s="497" customFormat="1" ht="15">
      <c r="P1051" s="447"/>
    </row>
    <row r="1052" spans="16:16" s="497" customFormat="1" ht="15">
      <c r="P1052" s="447"/>
    </row>
    <row r="1053" spans="16:16" s="497" customFormat="1" ht="15">
      <c r="P1053" s="447"/>
    </row>
    <row r="1054" spans="16:16" s="497" customFormat="1" ht="15">
      <c r="P1054" s="447"/>
    </row>
    <row r="1055" spans="16:16" s="497" customFormat="1" ht="15">
      <c r="P1055" s="447"/>
    </row>
    <row r="1056" spans="16:16" s="497" customFormat="1" ht="15">
      <c r="P1056" s="447"/>
    </row>
    <row r="1057" spans="16:16" s="497" customFormat="1" ht="15">
      <c r="P1057" s="447"/>
    </row>
    <row r="1058" spans="16:16" s="497" customFormat="1" ht="15">
      <c r="P1058" s="447"/>
    </row>
    <row r="1059" spans="16:16" s="497" customFormat="1" ht="15">
      <c r="P1059" s="447"/>
    </row>
    <row r="1060" spans="16:16" s="497" customFormat="1" ht="15">
      <c r="P1060" s="447"/>
    </row>
    <row r="1061" spans="16:16" s="497" customFormat="1" ht="15">
      <c r="P1061" s="447"/>
    </row>
    <row r="1062" spans="16:16" s="497" customFormat="1" ht="15">
      <c r="P1062" s="447"/>
    </row>
    <row r="1063" spans="16:16" s="497" customFormat="1" ht="15">
      <c r="P1063" s="447"/>
    </row>
    <row r="1064" spans="16:16" s="497" customFormat="1" ht="15">
      <c r="P1064" s="447"/>
    </row>
    <row r="1065" spans="16:16" s="497" customFormat="1" ht="15">
      <c r="P1065" s="447"/>
    </row>
    <row r="1066" spans="16:16" s="497" customFormat="1" ht="15">
      <c r="P1066" s="447"/>
    </row>
    <row r="1067" spans="16:16" s="497" customFormat="1" ht="15">
      <c r="P1067" s="447"/>
    </row>
    <row r="1068" spans="16:16" s="497" customFormat="1" ht="15">
      <c r="P1068" s="447"/>
    </row>
    <row r="1069" spans="16:16" s="497" customFormat="1" ht="15">
      <c r="P1069" s="447"/>
    </row>
    <row r="1070" spans="16:16" s="497" customFormat="1" ht="15">
      <c r="P1070" s="447"/>
    </row>
    <row r="1071" spans="16:16" s="497" customFormat="1" ht="15">
      <c r="P1071" s="447"/>
    </row>
    <row r="1072" spans="16:16" s="497" customFormat="1" ht="15">
      <c r="P1072" s="447"/>
    </row>
    <row r="1073" spans="16:16" s="497" customFormat="1" ht="15">
      <c r="P1073" s="447"/>
    </row>
    <row r="1074" spans="16:16" s="497" customFormat="1" ht="15">
      <c r="P1074" s="447"/>
    </row>
    <row r="1075" spans="16:16" s="497" customFormat="1" ht="15">
      <c r="P1075" s="447"/>
    </row>
    <row r="1076" spans="16:16" s="497" customFormat="1" ht="15">
      <c r="P1076" s="447"/>
    </row>
    <row r="1077" spans="16:16" s="497" customFormat="1" ht="15">
      <c r="P1077" s="447"/>
    </row>
    <row r="1078" spans="16:16" s="497" customFormat="1" ht="15">
      <c r="P1078" s="447"/>
    </row>
    <row r="1079" spans="16:16" s="497" customFormat="1" ht="15">
      <c r="P1079" s="447"/>
    </row>
    <row r="1080" spans="16:16" s="497" customFormat="1" ht="15">
      <c r="P1080" s="447"/>
    </row>
    <row r="1081" spans="16:16" s="497" customFormat="1" ht="15">
      <c r="P1081" s="447"/>
    </row>
    <row r="1082" spans="16:16" s="497" customFormat="1" ht="15">
      <c r="P1082" s="447"/>
    </row>
    <row r="1083" spans="16:16" s="497" customFormat="1" ht="15">
      <c r="P1083" s="447"/>
    </row>
    <row r="1084" spans="16:16" s="497" customFormat="1" ht="15">
      <c r="P1084" s="447"/>
    </row>
    <row r="1085" spans="16:16" s="497" customFormat="1" ht="15">
      <c r="P1085" s="447"/>
    </row>
    <row r="1086" spans="16:16" s="497" customFormat="1" ht="15">
      <c r="P1086" s="447"/>
    </row>
    <row r="1087" spans="16:16" s="497" customFormat="1" ht="15">
      <c r="P1087" s="447"/>
    </row>
    <row r="1088" spans="16:16" s="497" customFormat="1" ht="15">
      <c r="P1088" s="447"/>
    </row>
    <row r="1089" spans="16:16" s="497" customFormat="1" ht="15">
      <c r="P1089" s="447"/>
    </row>
    <row r="1090" spans="16:16" s="497" customFormat="1" ht="15">
      <c r="P1090" s="447"/>
    </row>
    <row r="1091" spans="16:16" s="497" customFormat="1" ht="15">
      <c r="P1091" s="447"/>
    </row>
    <row r="1092" spans="16:16" s="497" customFormat="1" ht="15">
      <c r="P1092" s="447"/>
    </row>
    <row r="1093" spans="16:16" s="497" customFormat="1" ht="15">
      <c r="P1093" s="447"/>
    </row>
    <row r="1094" spans="16:16" s="497" customFormat="1" ht="15">
      <c r="P1094" s="447"/>
    </row>
    <row r="1095" spans="16:16" s="497" customFormat="1" ht="15">
      <c r="P1095" s="447"/>
    </row>
    <row r="1096" spans="16:16" s="497" customFormat="1" ht="15">
      <c r="P1096" s="447"/>
    </row>
    <row r="1097" spans="16:16" s="497" customFormat="1" ht="15">
      <c r="P1097" s="447"/>
    </row>
    <row r="1098" spans="16:16" s="497" customFormat="1" ht="15">
      <c r="P1098" s="447"/>
    </row>
    <row r="1099" spans="16:16" s="497" customFormat="1" ht="15">
      <c r="P1099" s="447"/>
    </row>
    <row r="1100" spans="16:16" s="497" customFormat="1" ht="15">
      <c r="P1100" s="447"/>
    </row>
    <row r="1101" spans="16:16" s="497" customFormat="1" ht="15">
      <c r="P1101" s="447"/>
    </row>
    <row r="1102" spans="16:16" s="497" customFormat="1" ht="15">
      <c r="P1102" s="447"/>
    </row>
    <row r="1103" spans="16:16" s="497" customFormat="1" ht="15">
      <c r="P1103" s="447"/>
    </row>
    <row r="1104" spans="16:16" s="497" customFormat="1" ht="15">
      <c r="P1104" s="447"/>
    </row>
    <row r="1105" spans="16:16" s="497" customFormat="1" ht="15">
      <c r="P1105" s="447"/>
    </row>
    <row r="1106" spans="16:16" s="497" customFormat="1" ht="15">
      <c r="P1106" s="447"/>
    </row>
    <row r="1107" spans="16:16" s="497" customFormat="1" ht="15">
      <c r="P1107" s="447"/>
    </row>
    <row r="1108" spans="16:16" s="497" customFormat="1" ht="15">
      <c r="P1108" s="447"/>
    </row>
    <row r="1109" spans="16:16" s="497" customFormat="1" ht="15">
      <c r="P1109" s="447"/>
    </row>
    <row r="1110" spans="16:16" s="497" customFormat="1" ht="15">
      <c r="P1110" s="447"/>
    </row>
    <row r="1111" spans="16:16" s="497" customFormat="1" ht="15">
      <c r="P1111" s="447"/>
    </row>
    <row r="1112" spans="16:16" s="497" customFormat="1" ht="15">
      <c r="P1112" s="447"/>
    </row>
    <row r="1113" spans="16:16" s="497" customFormat="1" ht="15">
      <c r="P1113" s="447"/>
    </row>
    <row r="1114" spans="16:16" s="497" customFormat="1" ht="15">
      <c r="P1114" s="447"/>
    </row>
    <row r="1115" spans="16:16" s="497" customFormat="1" ht="15">
      <c r="P1115" s="447"/>
    </row>
    <row r="1116" spans="16:16" s="497" customFormat="1" ht="15">
      <c r="P1116" s="447"/>
    </row>
    <row r="1117" spans="16:16" s="497" customFormat="1" ht="15">
      <c r="P1117" s="447"/>
    </row>
    <row r="1118" spans="16:16" s="497" customFormat="1" ht="15">
      <c r="P1118" s="447"/>
    </row>
    <row r="1119" spans="16:16" s="497" customFormat="1" ht="15">
      <c r="P1119" s="447"/>
    </row>
    <row r="1120" spans="16:16" s="497" customFormat="1" ht="15">
      <c r="P1120" s="447"/>
    </row>
    <row r="1121" spans="16:16" s="497" customFormat="1" ht="15">
      <c r="P1121" s="447"/>
    </row>
    <row r="1122" spans="16:16" s="497" customFormat="1" ht="15">
      <c r="P1122" s="447"/>
    </row>
    <row r="1123" spans="16:16" s="497" customFormat="1" ht="15">
      <c r="P1123" s="447"/>
    </row>
    <row r="1124" spans="16:16" s="497" customFormat="1" ht="15">
      <c r="P1124" s="447"/>
    </row>
    <row r="1125" spans="16:16" s="497" customFormat="1" ht="15">
      <c r="P1125" s="447"/>
    </row>
    <row r="1126" spans="16:16" s="497" customFormat="1" ht="15">
      <c r="P1126" s="447"/>
    </row>
    <row r="1127" spans="16:16" s="497" customFormat="1" ht="15">
      <c r="P1127" s="447"/>
    </row>
    <row r="1128" spans="16:16" s="497" customFormat="1" ht="15">
      <c r="P1128" s="447"/>
    </row>
    <row r="1129" spans="16:16" s="497" customFormat="1" ht="15">
      <c r="P1129" s="447"/>
    </row>
    <row r="1130" spans="16:16" s="497" customFormat="1" ht="15">
      <c r="P1130" s="447"/>
    </row>
    <row r="1131" spans="16:16" s="497" customFormat="1" ht="15">
      <c r="P1131" s="447"/>
    </row>
    <row r="1132" spans="16:16" s="497" customFormat="1" ht="15">
      <c r="P1132" s="447"/>
    </row>
    <row r="1133" spans="16:16" s="497" customFormat="1" ht="15">
      <c r="P1133" s="447"/>
    </row>
    <row r="1134" spans="16:16" s="497" customFormat="1" ht="15">
      <c r="P1134" s="447"/>
    </row>
    <row r="1135" spans="16:16" s="497" customFormat="1" ht="15">
      <c r="P1135" s="447"/>
    </row>
    <row r="1136" spans="16:16" s="497" customFormat="1" ht="15">
      <c r="P1136" s="447"/>
    </row>
    <row r="1137" spans="16:16" s="497" customFormat="1" ht="15">
      <c r="P1137" s="447"/>
    </row>
    <row r="1138" spans="16:16" s="497" customFormat="1" ht="15">
      <c r="P1138" s="447"/>
    </row>
    <row r="1139" spans="16:16" s="497" customFormat="1" ht="15">
      <c r="P1139" s="447"/>
    </row>
    <row r="1140" spans="16:16" s="497" customFormat="1" ht="15">
      <c r="P1140" s="447"/>
    </row>
    <row r="1141" spans="16:16" s="497" customFormat="1" ht="15">
      <c r="P1141" s="447"/>
    </row>
    <row r="1142" spans="16:16" s="497" customFormat="1" ht="15">
      <c r="P1142" s="447"/>
    </row>
    <row r="1143" spans="16:16" s="497" customFormat="1" ht="15">
      <c r="P1143" s="447"/>
    </row>
    <row r="1144" spans="16:16" s="497" customFormat="1" ht="15">
      <c r="P1144" s="447"/>
    </row>
    <row r="1145" spans="16:16" s="497" customFormat="1" ht="15">
      <c r="P1145" s="447"/>
    </row>
    <row r="1146" spans="16:16" s="497" customFormat="1" ht="15">
      <c r="P1146" s="447"/>
    </row>
    <row r="1147" spans="16:16" s="497" customFormat="1" ht="15">
      <c r="P1147" s="447"/>
    </row>
    <row r="1148" spans="16:16" s="497" customFormat="1" ht="15">
      <c r="P1148" s="447"/>
    </row>
    <row r="1149" spans="16:16" s="497" customFormat="1" ht="15">
      <c r="P1149" s="447"/>
    </row>
    <row r="1150" spans="16:16" s="497" customFormat="1" ht="15">
      <c r="P1150" s="447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002060"/>
  </sheetPr>
  <dimension ref="A1:AU38"/>
  <sheetViews>
    <sheetView workbookViewId="0">
      <selection activeCell="L1" sqref="L1"/>
    </sheetView>
  </sheetViews>
  <sheetFormatPr defaultRowHeight="12.75"/>
  <cols>
    <col min="1" max="10" width="9.140625" style="443"/>
    <col min="11" max="11" width="9.140625" style="497"/>
    <col min="12" max="12" width="9.5703125" style="497" bestFit="1" customWidth="1"/>
    <col min="13" max="18" width="9.28515625" style="497" bestFit="1" customWidth="1"/>
    <col min="19" max="16384" width="9.140625" style="497"/>
  </cols>
  <sheetData>
    <row r="1" spans="1:47" s="443" customFormat="1" ht="23.25">
      <c r="A1" s="495" t="s">
        <v>528</v>
      </c>
      <c r="L1" s="496" t="s">
        <v>529</v>
      </c>
      <c r="M1" s="496" t="s">
        <v>525</v>
      </c>
    </row>
    <row r="2" spans="1:47" ht="15">
      <c r="B2" s="445" t="s">
        <v>421</v>
      </c>
      <c r="C2" s="445"/>
      <c r="D2" s="445"/>
      <c r="E2" s="446" t="s">
        <v>422</v>
      </c>
      <c r="F2" s="446" t="s">
        <v>423</v>
      </c>
      <c r="G2" s="445" t="s">
        <v>424</v>
      </c>
      <c r="H2" s="445"/>
      <c r="I2" s="445"/>
      <c r="K2" s="447" t="s">
        <v>425</v>
      </c>
      <c r="L2" s="447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  <c r="X2" s="445"/>
      <c r="Y2" s="445"/>
      <c r="Z2" s="445"/>
      <c r="AA2" s="445"/>
      <c r="AB2" s="445"/>
      <c r="AC2" s="445"/>
      <c r="AD2" s="445"/>
      <c r="AE2" s="445"/>
      <c r="AF2" s="445"/>
      <c r="AG2" s="445"/>
      <c r="AH2" s="445"/>
      <c r="AI2" s="445"/>
      <c r="AJ2" s="445"/>
      <c r="AK2" s="445"/>
      <c r="AL2" s="445"/>
      <c r="AM2" s="445"/>
      <c r="AN2" s="445"/>
      <c r="AO2" s="445"/>
      <c r="AP2" s="445"/>
      <c r="AQ2" s="445"/>
      <c r="AR2" s="445"/>
      <c r="AS2" s="445"/>
      <c r="AT2" s="445"/>
      <c r="AU2" s="445"/>
    </row>
    <row r="3" spans="1:47" ht="15">
      <c r="B3" s="443" t="s">
        <v>426</v>
      </c>
      <c r="C3" s="448">
        <v>16.666666666666671</v>
      </c>
      <c r="D3" s="449" t="s">
        <v>427</v>
      </c>
      <c r="E3" s="446">
        <f>MIN(x_value)</f>
        <v>0</v>
      </c>
      <c r="F3" s="446">
        <f>MAX(x_value)</f>
        <v>200</v>
      </c>
      <c r="G3" s="443" t="s">
        <v>428</v>
      </c>
      <c r="H3" s="450">
        <f>SUMPRODUCT(D23:D26,H23:H26)</f>
        <v>2.8000000000000003</v>
      </c>
      <c r="I3" s="449" t="s">
        <v>427</v>
      </c>
      <c r="K3" s="447"/>
      <c r="L3" s="459" t="s">
        <v>429</v>
      </c>
      <c r="M3" s="460">
        <v>0</v>
      </c>
      <c r="N3" s="460">
        <v>300</v>
      </c>
      <c r="O3" s="460">
        <v>300.01</v>
      </c>
      <c r="P3" s="460">
        <v>600</v>
      </c>
      <c r="Q3" s="460">
        <v>600.01</v>
      </c>
      <c r="R3" s="460">
        <v>10000</v>
      </c>
      <c r="S3" s="452"/>
      <c r="T3" s="452"/>
      <c r="U3" s="452"/>
      <c r="V3" s="451"/>
      <c r="W3" s="451"/>
      <c r="X3" s="451"/>
      <c r="Y3" s="451"/>
      <c r="Z3" s="451"/>
      <c r="AA3" s="451"/>
      <c r="AB3" s="451"/>
      <c r="AC3" s="451"/>
      <c r="AD3" s="451"/>
      <c r="AE3" s="451"/>
      <c r="AF3" s="451"/>
      <c r="AG3" s="451"/>
      <c r="AH3" s="451"/>
      <c r="AI3" s="451"/>
      <c r="AJ3" s="451"/>
      <c r="AK3" s="451"/>
      <c r="AL3" s="451"/>
      <c r="AM3" s="451"/>
      <c r="AN3" s="452"/>
      <c r="AO3" s="452"/>
      <c r="AP3" s="452"/>
      <c r="AQ3" s="452"/>
      <c r="AR3" s="452"/>
      <c r="AS3" s="452"/>
      <c r="AT3" s="452"/>
      <c r="AU3" s="452"/>
    </row>
    <row r="4" spans="1:47" ht="15">
      <c r="B4" s="443" t="s">
        <v>430</v>
      </c>
      <c r="C4" s="448">
        <v>541.56762934883636</v>
      </c>
      <c r="D4" s="449" t="s">
        <v>427</v>
      </c>
      <c r="E4" s="446">
        <f>MIN(y_value)</f>
        <v>0</v>
      </c>
      <c r="F4" s="446">
        <f>MAX(y_value)</f>
        <v>10000</v>
      </c>
      <c r="K4" s="445"/>
      <c r="L4" s="460">
        <v>0</v>
      </c>
      <c r="M4" s="461">
        <v>4.4000000000000004</v>
      </c>
      <c r="N4" s="461">
        <v>4.4000000000000004</v>
      </c>
      <c r="O4" s="461">
        <v>2.8</v>
      </c>
      <c r="P4" s="461">
        <v>2.8</v>
      </c>
      <c r="Q4" s="461">
        <v>1.4</v>
      </c>
      <c r="R4" s="461">
        <v>1.4</v>
      </c>
      <c r="S4" s="343"/>
      <c r="T4" s="343"/>
      <c r="U4" s="343"/>
      <c r="V4" s="440"/>
      <c r="W4" s="440"/>
      <c r="X4" s="440"/>
      <c r="Y4" s="440"/>
      <c r="Z4" s="440"/>
      <c r="AA4" s="440"/>
      <c r="AB4" s="440"/>
      <c r="AC4" s="440"/>
      <c r="AD4" s="440"/>
      <c r="AE4" s="440"/>
      <c r="AF4" s="440"/>
      <c r="AG4" s="440"/>
      <c r="AH4" s="440"/>
      <c r="AI4" s="440"/>
      <c r="AJ4" s="440"/>
      <c r="AK4" s="440"/>
      <c r="AL4" s="440"/>
      <c r="AM4" s="343"/>
      <c r="AN4" s="343"/>
      <c r="AO4" s="343"/>
      <c r="AP4" s="343"/>
      <c r="AQ4" s="343"/>
      <c r="AR4" s="343"/>
      <c r="AS4" s="343"/>
      <c r="AT4" s="343"/>
      <c r="AU4" s="343"/>
    </row>
    <row r="5" spans="1:47" ht="15">
      <c r="K5" s="445"/>
      <c r="L5" s="460">
        <v>20</v>
      </c>
      <c r="M5" s="461">
        <v>4.4000000000000004</v>
      </c>
      <c r="N5" s="461">
        <v>4.4000000000000004</v>
      </c>
      <c r="O5" s="461">
        <v>2.8</v>
      </c>
      <c r="P5" s="461">
        <v>2.8</v>
      </c>
      <c r="Q5" s="461">
        <v>1.4</v>
      </c>
      <c r="R5" s="461">
        <v>1.4</v>
      </c>
      <c r="S5" s="343"/>
      <c r="T5" s="343"/>
      <c r="U5" s="343"/>
      <c r="V5" s="440"/>
      <c r="W5" s="440"/>
      <c r="X5" s="440"/>
      <c r="Y5" s="440"/>
      <c r="Z5" s="440"/>
      <c r="AA5" s="440"/>
      <c r="AB5" s="440"/>
      <c r="AC5" s="440"/>
      <c r="AD5" s="440"/>
      <c r="AE5" s="440"/>
      <c r="AF5" s="440"/>
      <c r="AG5" s="440"/>
      <c r="AH5" s="440"/>
      <c r="AI5" s="440"/>
      <c r="AJ5" s="440"/>
      <c r="AK5" s="440"/>
      <c r="AL5" s="440"/>
      <c r="AM5" s="343"/>
      <c r="AN5" s="343"/>
      <c r="AO5" s="343"/>
      <c r="AP5" s="343"/>
      <c r="AQ5" s="343"/>
      <c r="AR5" s="343"/>
      <c r="AS5" s="343"/>
      <c r="AT5" s="343"/>
      <c r="AU5" s="343"/>
    </row>
    <row r="6" spans="1:47" ht="15">
      <c r="B6" s="445" t="s">
        <v>431</v>
      </c>
      <c r="C6" s="445"/>
      <c r="D6" s="445"/>
      <c r="F6" s="446" t="s">
        <v>432</v>
      </c>
      <c r="K6" s="445"/>
      <c r="L6" s="460">
        <v>40</v>
      </c>
      <c r="M6" s="461">
        <v>14.3</v>
      </c>
      <c r="N6" s="461">
        <v>14.3</v>
      </c>
      <c r="O6" s="461">
        <v>9.6</v>
      </c>
      <c r="P6" s="461">
        <v>9.6</v>
      </c>
      <c r="Q6" s="461">
        <v>5.7</v>
      </c>
      <c r="R6" s="461">
        <v>5.7</v>
      </c>
      <c r="S6" s="343"/>
      <c r="T6" s="343"/>
      <c r="U6" s="343"/>
      <c r="V6" s="440"/>
      <c r="W6" s="440"/>
      <c r="X6" s="440"/>
      <c r="Y6" s="440"/>
      <c r="Z6" s="440"/>
      <c r="AA6" s="440"/>
      <c r="AB6" s="440"/>
      <c r="AC6" s="440"/>
      <c r="AD6" s="440"/>
      <c r="AE6" s="440"/>
      <c r="AF6" s="440"/>
      <c r="AG6" s="440"/>
      <c r="AH6" s="440"/>
      <c r="AI6" s="440"/>
      <c r="AJ6" s="440"/>
      <c r="AK6" s="440"/>
      <c r="AL6" s="440"/>
      <c r="AM6" s="343"/>
      <c r="AN6" s="343"/>
      <c r="AO6" s="343"/>
      <c r="AP6" s="343"/>
      <c r="AQ6" s="343"/>
      <c r="AR6" s="343"/>
      <c r="AS6" s="343"/>
      <c r="AT6" s="343"/>
      <c r="AU6" s="343"/>
    </row>
    <row r="7" spans="1:47" ht="15">
      <c r="B7" s="443" t="s">
        <v>433</v>
      </c>
      <c r="C7" s="450">
        <f>INDEX(x_value,MATCH(x,x_value,1))</f>
        <v>0</v>
      </c>
      <c r="D7" s="449" t="s">
        <v>427</v>
      </c>
      <c r="F7" s="446">
        <f>MATCH(x,x_value,1)</f>
        <v>1</v>
      </c>
      <c r="K7" s="445"/>
      <c r="L7" s="460">
        <v>60</v>
      </c>
      <c r="M7" s="461">
        <v>34.1</v>
      </c>
      <c r="N7" s="461">
        <v>34.1</v>
      </c>
      <c r="O7" s="461">
        <v>21.1</v>
      </c>
      <c r="P7" s="461">
        <v>21.1</v>
      </c>
      <c r="Q7" s="461">
        <v>13</v>
      </c>
      <c r="R7" s="461">
        <v>13</v>
      </c>
      <c r="S7" s="343"/>
      <c r="T7" s="343"/>
      <c r="U7" s="343"/>
      <c r="V7" s="440"/>
      <c r="W7" s="440"/>
      <c r="X7" s="440"/>
      <c r="Y7" s="440"/>
      <c r="Z7" s="440"/>
      <c r="AA7" s="440"/>
      <c r="AB7" s="440"/>
      <c r="AC7" s="440"/>
      <c r="AD7" s="440"/>
      <c r="AE7" s="440"/>
      <c r="AF7" s="440"/>
      <c r="AG7" s="440"/>
      <c r="AH7" s="440"/>
      <c r="AI7" s="440"/>
      <c r="AJ7" s="440"/>
      <c r="AK7" s="440"/>
      <c r="AL7" s="440"/>
      <c r="AM7" s="343"/>
      <c r="AN7" s="343"/>
      <c r="AO7" s="343"/>
      <c r="AP7" s="343"/>
      <c r="AQ7" s="343"/>
      <c r="AR7" s="343"/>
      <c r="AS7" s="343"/>
      <c r="AT7" s="343"/>
      <c r="AU7" s="343"/>
    </row>
    <row r="8" spans="1:47" ht="15">
      <c r="B8" s="443" t="s">
        <v>434</v>
      </c>
      <c r="C8" s="450">
        <f>INDEX(x_value,MATCH(x,x_value,1)+1)</f>
        <v>20</v>
      </c>
      <c r="D8" s="449" t="s">
        <v>427</v>
      </c>
      <c r="F8" s="446">
        <f>MATCH(x,x_value,1)+1</f>
        <v>2</v>
      </c>
      <c r="K8" s="445"/>
      <c r="L8" s="460">
        <v>200</v>
      </c>
      <c r="M8" s="461">
        <v>34.1</v>
      </c>
      <c r="N8" s="461">
        <v>34.1</v>
      </c>
      <c r="O8" s="461">
        <v>21.1</v>
      </c>
      <c r="P8" s="461">
        <v>21.1</v>
      </c>
      <c r="Q8" s="461">
        <v>13</v>
      </c>
      <c r="R8" s="461">
        <v>13</v>
      </c>
      <c r="S8" s="343"/>
      <c r="T8" s="343"/>
      <c r="U8" s="343"/>
      <c r="V8" s="440"/>
      <c r="W8" s="440"/>
      <c r="X8" s="440"/>
      <c r="Y8" s="440"/>
      <c r="Z8" s="440"/>
      <c r="AA8" s="440"/>
      <c r="AB8" s="440"/>
      <c r="AC8" s="440"/>
      <c r="AD8" s="440"/>
      <c r="AE8" s="440"/>
      <c r="AF8" s="440"/>
      <c r="AG8" s="440"/>
      <c r="AH8" s="440"/>
      <c r="AI8" s="440"/>
      <c r="AJ8" s="440"/>
      <c r="AK8" s="440"/>
      <c r="AL8" s="440"/>
      <c r="AM8" s="343"/>
      <c r="AN8" s="343"/>
      <c r="AO8" s="343"/>
      <c r="AP8" s="343"/>
      <c r="AQ8" s="343"/>
      <c r="AR8" s="343"/>
      <c r="AS8" s="343"/>
      <c r="AT8" s="343"/>
      <c r="AU8" s="343"/>
    </row>
    <row r="9" spans="1:47" ht="15">
      <c r="B9" s="443" t="s">
        <v>435</v>
      </c>
      <c r="C9" s="450">
        <f>INDEX(y_value,MATCH(y,y_value,1))</f>
        <v>300.01</v>
      </c>
      <c r="D9" s="449" t="s">
        <v>427</v>
      </c>
      <c r="F9" s="446">
        <f>MATCH(y,y_value,1)</f>
        <v>3</v>
      </c>
      <c r="K9" s="445"/>
      <c r="L9" s="460"/>
      <c r="M9" s="461"/>
      <c r="N9" s="461"/>
      <c r="O9" s="461"/>
      <c r="P9" s="461"/>
      <c r="Q9" s="461"/>
      <c r="R9" s="461"/>
      <c r="S9" s="343"/>
      <c r="T9" s="343"/>
      <c r="U9" s="343"/>
      <c r="V9" s="440"/>
      <c r="W9" s="440"/>
      <c r="X9" s="440"/>
      <c r="Y9" s="440"/>
      <c r="Z9" s="440"/>
      <c r="AA9" s="440"/>
      <c r="AB9" s="440"/>
      <c r="AC9" s="440"/>
      <c r="AD9" s="440"/>
      <c r="AE9" s="440"/>
      <c r="AF9" s="440"/>
      <c r="AG9" s="440"/>
      <c r="AH9" s="440"/>
      <c r="AI9" s="440"/>
      <c r="AJ9" s="440"/>
      <c r="AK9" s="440"/>
      <c r="AL9" s="440"/>
      <c r="AM9" s="343"/>
      <c r="AN9" s="343"/>
      <c r="AO9" s="343"/>
      <c r="AP9" s="343"/>
      <c r="AQ9" s="343"/>
      <c r="AR9" s="343"/>
      <c r="AS9" s="343"/>
      <c r="AT9" s="343"/>
      <c r="AU9" s="343"/>
    </row>
    <row r="10" spans="1:47" ht="15">
      <c r="B10" s="443" t="s">
        <v>436</v>
      </c>
      <c r="C10" s="450">
        <f>INDEX(y_value,MATCH(y,y_value,1)+1)</f>
        <v>600</v>
      </c>
      <c r="D10" s="449" t="s">
        <v>427</v>
      </c>
      <c r="F10" s="446">
        <f>MATCH(y,y_value,1)+1</f>
        <v>4</v>
      </c>
      <c r="K10" s="445"/>
      <c r="L10" s="460"/>
      <c r="M10" s="461"/>
      <c r="N10" s="461"/>
      <c r="O10" s="461"/>
      <c r="P10" s="461"/>
      <c r="Q10" s="461"/>
      <c r="R10" s="461"/>
      <c r="S10" s="343"/>
      <c r="T10" s="343"/>
      <c r="U10" s="343"/>
      <c r="V10" s="440"/>
      <c r="W10" s="440"/>
      <c r="X10" s="440"/>
      <c r="Y10" s="440"/>
      <c r="Z10" s="440"/>
      <c r="AA10" s="440"/>
      <c r="AB10" s="440"/>
      <c r="AC10" s="440"/>
      <c r="AD10" s="440"/>
      <c r="AE10" s="440"/>
      <c r="AF10" s="440"/>
      <c r="AG10" s="440"/>
      <c r="AH10" s="440"/>
      <c r="AI10" s="440"/>
      <c r="AJ10" s="440"/>
      <c r="AK10" s="440"/>
      <c r="AL10" s="440"/>
      <c r="AM10" s="343"/>
      <c r="AN10" s="343"/>
      <c r="AO10" s="343"/>
      <c r="AP10" s="343"/>
      <c r="AQ10" s="343"/>
      <c r="AR10" s="343"/>
      <c r="AS10" s="343"/>
      <c r="AT10" s="343"/>
      <c r="AU10" s="343"/>
    </row>
    <row r="11" spans="1:47" ht="15">
      <c r="B11" s="443" t="s">
        <v>437</v>
      </c>
      <c r="C11" s="450">
        <f>INDEX(z_value,MATCH(x_1,x_value,1),MATCH(y_1,y_value,1))</f>
        <v>2.8</v>
      </c>
      <c r="D11" s="449" t="s">
        <v>427</v>
      </c>
      <c r="K11" s="445"/>
      <c r="L11" s="460"/>
      <c r="M11" s="461"/>
      <c r="N11" s="461"/>
      <c r="O11" s="461"/>
      <c r="P11" s="461"/>
      <c r="Q11" s="461"/>
      <c r="R11" s="461"/>
      <c r="S11" s="343"/>
      <c r="T11" s="343"/>
      <c r="U11" s="343"/>
      <c r="V11" s="440"/>
      <c r="W11" s="440"/>
      <c r="X11" s="440"/>
      <c r="Y11" s="440"/>
      <c r="Z11" s="440"/>
      <c r="AA11" s="440"/>
      <c r="AB11" s="440"/>
      <c r="AC11" s="440"/>
      <c r="AD11" s="440"/>
      <c r="AE11" s="440"/>
      <c r="AF11" s="440"/>
      <c r="AG11" s="440"/>
      <c r="AH11" s="440"/>
      <c r="AI11" s="440"/>
      <c r="AJ11" s="440"/>
      <c r="AK11" s="440"/>
      <c r="AL11" s="440"/>
      <c r="AM11" s="343"/>
      <c r="AN11" s="343"/>
      <c r="AO11" s="343"/>
      <c r="AP11" s="343"/>
      <c r="AQ11" s="343"/>
      <c r="AR11" s="343"/>
      <c r="AS11" s="343"/>
      <c r="AT11" s="343"/>
      <c r="AU11" s="343"/>
    </row>
    <row r="12" spans="1:47" ht="15">
      <c r="B12" s="443" t="s">
        <v>438</v>
      </c>
      <c r="C12" s="450">
        <f>INDEX(z_value,MATCH(x_1,x_value,1),MATCH(y_2,y_value,1))</f>
        <v>2.8</v>
      </c>
      <c r="D12" s="449" t="s">
        <v>427</v>
      </c>
      <c r="K12" s="445"/>
      <c r="L12" s="460"/>
      <c r="M12" s="461"/>
      <c r="N12" s="461"/>
      <c r="O12" s="461"/>
      <c r="P12" s="461"/>
      <c r="Q12" s="461"/>
      <c r="R12" s="461"/>
      <c r="S12" s="343"/>
      <c r="T12" s="343"/>
      <c r="U12" s="343"/>
      <c r="V12" s="440"/>
      <c r="W12" s="440"/>
      <c r="X12" s="440"/>
      <c r="Y12" s="440"/>
      <c r="Z12" s="440"/>
      <c r="AA12" s="440"/>
      <c r="AB12" s="440"/>
      <c r="AC12" s="440"/>
      <c r="AD12" s="440"/>
      <c r="AE12" s="440"/>
      <c r="AF12" s="440"/>
      <c r="AG12" s="440"/>
      <c r="AH12" s="440"/>
      <c r="AI12" s="440"/>
      <c r="AJ12" s="440"/>
      <c r="AK12" s="440"/>
      <c r="AL12" s="440"/>
      <c r="AM12" s="343"/>
      <c r="AN12" s="343"/>
      <c r="AO12" s="343"/>
      <c r="AP12" s="343"/>
      <c r="AQ12" s="343"/>
      <c r="AR12" s="343"/>
      <c r="AS12" s="343"/>
      <c r="AT12" s="343"/>
      <c r="AU12" s="343"/>
    </row>
    <row r="13" spans="1:47" ht="15" customHeight="1">
      <c r="B13" s="443" t="s">
        <v>439</v>
      </c>
      <c r="C13" s="450">
        <f>INDEX(z_value,MATCH(x_2,x_value,1),MATCH(y_1,y_value,1))</f>
        <v>2.8</v>
      </c>
      <c r="D13" s="449" t="s">
        <v>427</v>
      </c>
      <c r="K13" s="445"/>
      <c r="L13" s="460"/>
      <c r="M13" s="461"/>
      <c r="N13" s="461"/>
      <c r="O13" s="461"/>
      <c r="P13" s="462"/>
      <c r="Q13" s="462"/>
      <c r="R13" s="462"/>
      <c r="W13" s="440"/>
      <c r="X13" s="440"/>
      <c r="Y13" s="440"/>
      <c r="Z13" s="440"/>
      <c r="AA13" s="440"/>
      <c r="AB13" s="440"/>
      <c r="AC13" s="440"/>
      <c r="AD13" s="440"/>
      <c r="AE13" s="440"/>
      <c r="AF13" s="440"/>
      <c r="AG13" s="440"/>
      <c r="AH13" s="440"/>
      <c r="AI13" s="440"/>
      <c r="AJ13" s="440"/>
      <c r="AK13" s="440"/>
      <c r="AL13" s="440"/>
      <c r="AM13" s="343"/>
      <c r="AN13" s="343"/>
      <c r="AO13" s="343"/>
      <c r="AP13" s="343"/>
      <c r="AQ13" s="343"/>
      <c r="AR13" s="343"/>
      <c r="AS13" s="343"/>
      <c r="AT13" s="343"/>
      <c r="AU13" s="343"/>
    </row>
    <row r="14" spans="1:47" ht="15" customHeight="1">
      <c r="B14" s="443" t="s">
        <v>440</v>
      </c>
      <c r="C14" s="450">
        <f>INDEX(z_value,MATCH(x_2,x_value,1),MATCH(y_2,y_value,1))</f>
        <v>2.8</v>
      </c>
      <c r="D14" s="449" t="s">
        <v>427</v>
      </c>
      <c r="K14" s="445"/>
      <c r="L14" s="460"/>
      <c r="M14" s="461"/>
      <c r="N14" s="461"/>
      <c r="O14" s="461"/>
      <c r="P14" s="462"/>
      <c r="Q14" s="462"/>
      <c r="R14" s="462"/>
      <c r="W14" s="440"/>
      <c r="X14" s="440"/>
      <c r="Y14" s="440"/>
      <c r="Z14" s="440"/>
      <c r="AA14" s="440"/>
      <c r="AB14" s="440"/>
      <c r="AC14" s="440"/>
      <c r="AD14" s="440"/>
      <c r="AE14" s="440"/>
      <c r="AF14" s="440"/>
      <c r="AG14" s="440"/>
      <c r="AH14" s="440"/>
      <c r="AI14" s="440"/>
      <c r="AJ14" s="440"/>
      <c r="AK14" s="440"/>
      <c r="AL14" s="440"/>
      <c r="AM14" s="343"/>
      <c r="AN14" s="343"/>
      <c r="AO14" s="343"/>
      <c r="AP14" s="343"/>
      <c r="AQ14" s="343"/>
      <c r="AR14" s="343"/>
      <c r="AS14" s="343"/>
      <c r="AT14" s="343"/>
      <c r="AU14" s="343"/>
    </row>
    <row r="15" spans="1:47" ht="15">
      <c r="K15" s="445"/>
      <c r="L15" s="460"/>
      <c r="M15" s="463"/>
      <c r="N15" s="463"/>
      <c r="O15" s="463"/>
      <c r="P15" s="462"/>
      <c r="Q15" s="462"/>
      <c r="R15" s="462"/>
      <c r="W15" s="440"/>
      <c r="X15" s="440"/>
      <c r="Y15" s="440"/>
      <c r="Z15" s="440"/>
      <c r="AA15" s="440"/>
      <c r="AB15" s="440"/>
      <c r="AC15" s="440"/>
      <c r="AD15" s="440"/>
      <c r="AE15" s="440"/>
      <c r="AF15" s="440"/>
      <c r="AG15" s="440"/>
      <c r="AH15" s="440"/>
      <c r="AI15" s="440"/>
      <c r="AJ15" s="440"/>
      <c r="AK15" s="440"/>
      <c r="AL15" s="440"/>
      <c r="AM15" s="343"/>
      <c r="AN15" s="440"/>
      <c r="AO15" s="440"/>
      <c r="AP15" s="440"/>
      <c r="AQ15" s="440"/>
      <c r="AR15" s="440"/>
      <c r="AS15" s="440"/>
      <c r="AT15" s="440"/>
      <c r="AU15" s="440"/>
    </row>
    <row r="16" spans="1:47" ht="15">
      <c r="B16" s="445" t="s">
        <v>441</v>
      </c>
      <c r="C16" s="445"/>
      <c r="D16" s="445"/>
      <c r="E16" s="445"/>
      <c r="F16" s="445"/>
      <c r="G16" s="445"/>
      <c r="H16" s="445"/>
      <c r="I16" s="445"/>
      <c r="K16" s="445"/>
      <c r="L16" s="460"/>
      <c r="M16" s="463"/>
      <c r="N16" s="463"/>
      <c r="O16" s="463"/>
      <c r="P16" s="462"/>
      <c r="Q16" s="462"/>
      <c r="R16" s="462"/>
      <c r="W16" s="440"/>
      <c r="X16" s="440"/>
      <c r="Y16" s="440"/>
      <c r="Z16" s="440"/>
      <c r="AA16" s="440"/>
      <c r="AB16" s="440"/>
      <c r="AC16" s="440"/>
      <c r="AD16" s="440"/>
      <c r="AE16" s="440"/>
      <c r="AF16" s="440"/>
      <c r="AG16" s="440"/>
      <c r="AH16" s="440"/>
      <c r="AI16" s="440"/>
      <c r="AJ16" s="440"/>
      <c r="AK16" s="440"/>
      <c r="AL16" s="440"/>
      <c r="AM16" s="343"/>
      <c r="AN16" s="440"/>
      <c r="AO16" s="440"/>
      <c r="AP16" s="440"/>
      <c r="AQ16" s="440"/>
      <c r="AR16" s="440"/>
      <c r="AS16" s="440"/>
      <c r="AT16" s="440"/>
      <c r="AU16" s="440"/>
    </row>
    <row r="17" spans="2:47" ht="15">
      <c r="K17" s="445"/>
      <c r="L17" s="460"/>
      <c r="M17" s="461"/>
      <c r="N17" s="461"/>
      <c r="O17" s="461"/>
      <c r="P17" s="462"/>
      <c r="Q17" s="462"/>
      <c r="R17" s="462"/>
      <c r="W17" s="440"/>
      <c r="X17" s="440"/>
      <c r="Y17" s="440"/>
      <c r="Z17" s="440"/>
      <c r="AA17" s="440"/>
      <c r="AB17" s="440"/>
      <c r="AC17" s="440"/>
      <c r="AD17" s="440"/>
      <c r="AE17" s="440"/>
      <c r="AF17" s="440"/>
      <c r="AG17" s="440"/>
      <c r="AH17" s="440"/>
      <c r="AI17" s="440"/>
      <c r="AJ17" s="440"/>
      <c r="AK17" s="440"/>
      <c r="AL17" s="440"/>
      <c r="AM17" s="343"/>
      <c r="AN17" s="343"/>
      <c r="AO17" s="343"/>
      <c r="AP17" s="343"/>
      <c r="AQ17" s="343"/>
      <c r="AR17" s="343"/>
      <c r="AS17" s="343"/>
      <c r="AT17" s="343"/>
      <c r="AU17" s="343"/>
    </row>
    <row r="18" spans="2:47" ht="15">
      <c r="B18" s="453" t="s">
        <v>442</v>
      </c>
      <c r="C18" s="450"/>
      <c r="D18" s="454">
        <v>1</v>
      </c>
      <c r="E18" s="455">
        <f>x_1</f>
        <v>0</v>
      </c>
      <c r="F18" s="455">
        <f>y_1</f>
        <v>300.01</v>
      </c>
      <c r="G18" s="456">
        <f>E18*F18</f>
        <v>0</v>
      </c>
      <c r="H18" s="457" t="s">
        <v>443</v>
      </c>
      <c r="I18" s="454">
        <f>f_11</f>
        <v>2.8</v>
      </c>
      <c r="K18" s="445"/>
      <c r="L18" s="460"/>
      <c r="M18" s="461"/>
      <c r="N18" s="461"/>
      <c r="O18" s="461"/>
      <c r="P18" s="462"/>
      <c r="Q18" s="462"/>
      <c r="R18" s="462"/>
      <c r="W18" s="440"/>
      <c r="X18" s="440"/>
      <c r="Y18" s="440"/>
      <c r="Z18" s="440"/>
      <c r="AA18" s="440"/>
      <c r="AB18" s="440"/>
      <c r="AC18" s="440"/>
      <c r="AD18" s="440"/>
      <c r="AE18" s="440"/>
      <c r="AF18" s="440"/>
      <c r="AG18" s="440"/>
      <c r="AH18" s="440"/>
      <c r="AI18" s="440"/>
      <c r="AJ18" s="440"/>
      <c r="AK18" s="440"/>
      <c r="AL18" s="440"/>
      <c r="AM18" s="343"/>
      <c r="AN18" s="343"/>
      <c r="AO18" s="343"/>
      <c r="AP18" s="343"/>
      <c r="AQ18" s="343"/>
      <c r="AR18" s="343"/>
      <c r="AS18" s="343"/>
      <c r="AT18" s="343"/>
      <c r="AU18" s="343"/>
    </row>
    <row r="19" spans="2:47" ht="15">
      <c r="B19" s="453" t="s">
        <v>444</v>
      </c>
      <c r="C19" s="450"/>
      <c r="D19" s="454">
        <v>1</v>
      </c>
      <c r="E19" s="455">
        <f>x_1</f>
        <v>0</v>
      </c>
      <c r="F19" s="455">
        <f>y_2</f>
        <v>600</v>
      </c>
      <c r="G19" s="456">
        <f t="shared" ref="G19:G21" si="0">E19*F19</f>
        <v>0</v>
      </c>
      <c r="H19" s="450"/>
      <c r="I19" s="454">
        <f>f_12</f>
        <v>2.8</v>
      </c>
      <c r="K19" s="445"/>
      <c r="L19" s="459"/>
      <c r="M19" s="463"/>
      <c r="N19" s="463"/>
      <c r="O19" s="463"/>
      <c r="P19" s="462"/>
      <c r="Q19" s="462"/>
      <c r="R19" s="462"/>
      <c r="W19" s="440"/>
      <c r="X19" s="440"/>
      <c r="Y19" s="440"/>
      <c r="Z19" s="440"/>
      <c r="AA19" s="440"/>
      <c r="AB19" s="440"/>
      <c r="AC19" s="440"/>
      <c r="AD19" s="440"/>
      <c r="AE19" s="440"/>
      <c r="AF19" s="440"/>
      <c r="AG19" s="440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440"/>
      <c r="AU19" s="440"/>
    </row>
    <row r="20" spans="2:47" ht="15">
      <c r="B20" s="453" t="s">
        <v>445</v>
      </c>
      <c r="C20" s="450" t="s">
        <v>446</v>
      </c>
      <c r="D20" s="454">
        <v>1</v>
      </c>
      <c r="E20" s="455">
        <f>x_2</f>
        <v>20</v>
      </c>
      <c r="F20" s="455">
        <f>y_1</f>
        <v>300.01</v>
      </c>
      <c r="G20" s="456">
        <f t="shared" si="0"/>
        <v>6000.2</v>
      </c>
      <c r="H20" s="450" t="s">
        <v>447</v>
      </c>
      <c r="I20" s="454">
        <f>f_21</f>
        <v>2.8</v>
      </c>
      <c r="K20" s="445"/>
      <c r="L20" s="459"/>
      <c r="M20" s="463"/>
      <c r="N20" s="463"/>
      <c r="O20" s="463"/>
      <c r="P20" s="462"/>
      <c r="Q20" s="462"/>
      <c r="R20" s="462"/>
      <c r="W20" s="440"/>
      <c r="X20" s="440"/>
      <c r="Y20" s="440"/>
      <c r="Z20" s="440"/>
      <c r="AA20" s="440"/>
      <c r="AB20" s="440"/>
      <c r="AC20" s="440"/>
      <c r="AD20" s="440"/>
      <c r="AE20" s="440"/>
      <c r="AF20" s="440"/>
      <c r="AG20" s="440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40"/>
    </row>
    <row r="21" spans="2:47" ht="15" customHeight="1">
      <c r="B21" s="453" t="s">
        <v>448</v>
      </c>
      <c r="C21" s="450"/>
      <c r="D21" s="454">
        <v>1</v>
      </c>
      <c r="E21" s="455">
        <f>x_2</f>
        <v>20</v>
      </c>
      <c r="F21" s="455">
        <f>y_2</f>
        <v>600</v>
      </c>
      <c r="G21" s="456">
        <f t="shared" si="0"/>
        <v>12000</v>
      </c>
      <c r="H21" s="450"/>
      <c r="I21" s="454">
        <f>f_22</f>
        <v>2.8</v>
      </c>
      <c r="K21" s="445"/>
      <c r="L21" s="452"/>
      <c r="M21" s="343"/>
      <c r="N21" s="343"/>
      <c r="P21" s="440"/>
      <c r="Q21" s="440"/>
      <c r="R21" s="440"/>
      <c r="S21" s="440"/>
      <c r="T21" s="440"/>
      <c r="U21" s="440"/>
      <c r="V21" s="440"/>
      <c r="W21" s="440"/>
      <c r="X21" s="440"/>
      <c r="Y21" s="440"/>
      <c r="Z21" s="440"/>
      <c r="AA21" s="440"/>
      <c r="AB21" s="440"/>
      <c r="AC21" s="440"/>
      <c r="AD21" s="440"/>
      <c r="AE21" s="440"/>
      <c r="AF21" s="343"/>
      <c r="AG21" s="343"/>
      <c r="AH21" s="343"/>
      <c r="AI21" s="343"/>
      <c r="AJ21" s="343"/>
      <c r="AK21" s="343"/>
      <c r="AL21" s="343"/>
      <c r="AM21" s="343"/>
      <c r="AN21" s="343"/>
    </row>
    <row r="22" spans="2:47" ht="15" customHeight="1">
      <c r="B22" s="458"/>
      <c r="C22" s="450"/>
      <c r="D22" s="450"/>
      <c r="E22" s="450"/>
      <c r="F22" s="450"/>
      <c r="G22" s="450"/>
      <c r="H22" s="450"/>
      <c r="I22" s="450"/>
      <c r="K22" s="445"/>
      <c r="L22" s="452"/>
      <c r="M22" s="343"/>
      <c r="N22" s="343"/>
      <c r="P22" s="440"/>
      <c r="Q22" s="440"/>
      <c r="R22" s="440"/>
      <c r="S22" s="440"/>
      <c r="T22" s="440"/>
      <c r="U22" s="440"/>
      <c r="V22" s="440"/>
      <c r="W22" s="440"/>
      <c r="X22" s="440"/>
      <c r="Y22" s="440"/>
      <c r="Z22" s="440"/>
      <c r="AA22" s="440"/>
      <c r="AB22" s="440"/>
      <c r="AC22" s="440"/>
      <c r="AD22" s="440"/>
      <c r="AE22" s="440"/>
      <c r="AF22" s="343"/>
      <c r="AG22" s="343"/>
      <c r="AH22" s="343"/>
      <c r="AI22" s="343"/>
      <c r="AJ22" s="343"/>
      <c r="AK22" s="343"/>
      <c r="AL22" s="343"/>
      <c r="AM22" s="343"/>
      <c r="AN22" s="343"/>
    </row>
    <row r="23" spans="2:47" ht="15">
      <c r="B23" s="453" t="s">
        <v>442</v>
      </c>
      <c r="C23" s="450"/>
      <c r="D23" s="454">
        <f t="array" ref="D23:D26">MMULT(MINVERSE(D18:G21),I18:I21)</f>
        <v>2.8000000000000003</v>
      </c>
      <c r="E23" s="450"/>
      <c r="F23" s="454">
        <v>1</v>
      </c>
      <c r="G23" s="450"/>
      <c r="H23" s="454">
        <v>1</v>
      </c>
      <c r="I23" s="450"/>
      <c r="K23" s="445"/>
      <c r="L23" s="452"/>
      <c r="M23" s="343"/>
      <c r="N23" s="343"/>
      <c r="P23" s="440"/>
      <c r="Q23" s="440"/>
      <c r="R23" s="440"/>
      <c r="S23" s="440"/>
      <c r="T23" s="440"/>
      <c r="U23" s="440"/>
      <c r="V23" s="440"/>
      <c r="W23" s="440"/>
      <c r="X23" s="440"/>
      <c r="Y23" s="440"/>
      <c r="Z23" s="440"/>
      <c r="AA23" s="440"/>
      <c r="AB23" s="440"/>
      <c r="AC23" s="440"/>
      <c r="AD23" s="440"/>
      <c r="AE23" s="440"/>
      <c r="AF23" s="343"/>
      <c r="AG23" s="343"/>
      <c r="AH23" s="343"/>
      <c r="AI23" s="343"/>
      <c r="AJ23" s="343"/>
      <c r="AK23" s="343"/>
      <c r="AL23" s="343"/>
      <c r="AM23" s="343"/>
      <c r="AN23" s="343"/>
    </row>
    <row r="24" spans="2:47" ht="15">
      <c r="B24" s="453" t="s">
        <v>444</v>
      </c>
      <c r="C24" s="450"/>
      <c r="D24" s="454">
        <v>0</v>
      </c>
      <c r="E24" s="450"/>
      <c r="F24" s="454" t="s">
        <v>426</v>
      </c>
      <c r="G24" s="450"/>
      <c r="H24" s="454">
        <f>x</f>
        <v>16.666666666666671</v>
      </c>
      <c r="I24" s="450"/>
      <c r="K24" s="445"/>
      <c r="L24" s="452"/>
      <c r="M24" s="343"/>
      <c r="N24" s="343"/>
      <c r="P24" s="440"/>
      <c r="Q24" s="440"/>
      <c r="R24" s="440"/>
      <c r="S24" s="440"/>
      <c r="T24" s="440"/>
      <c r="U24" s="440"/>
      <c r="V24" s="440"/>
      <c r="W24" s="440"/>
      <c r="X24" s="440"/>
      <c r="Y24" s="440"/>
      <c r="Z24" s="440"/>
      <c r="AA24" s="440"/>
      <c r="AB24" s="440"/>
      <c r="AC24" s="440"/>
      <c r="AD24" s="440"/>
      <c r="AE24" s="440"/>
      <c r="AF24" s="343"/>
      <c r="AG24" s="343"/>
      <c r="AH24" s="343"/>
      <c r="AI24" s="343"/>
      <c r="AJ24" s="343"/>
      <c r="AK24" s="343"/>
      <c r="AL24" s="343"/>
      <c r="AM24" s="343"/>
      <c r="AN24" s="343"/>
    </row>
    <row r="25" spans="2:47" ht="15">
      <c r="B25" s="453" t="s">
        <v>445</v>
      </c>
      <c r="C25" s="450" t="s">
        <v>446</v>
      </c>
      <c r="D25" s="454">
        <v>0</v>
      </c>
      <c r="E25" s="450"/>
      <c r="F25" s="454" t="s">
        <v>430</v>
      </c>
      <c r="G25" s="450" t="s">
        <v>446</v>
      </c>
      <c r="H25" s="454">
        <f>y</f>
        <v>541.56762934883636</v>
      </c>
      <c r="I25" s="450"/>
      <c r="K25" s="445"/>
      <c r="L25" s="452"/>
      <c r="M25" s="343"/>
      <c r="N25" s="343"/>
      <c r="P25" s="440"/>
      <c r="Q25" s="440"/>
      <c r="R25" s="440"/>
      <c r="S25" s="440"/>
      <c r="T25" s="440"/>
      <c r="U25" s="440"/>
      <c r="V25" s="440"/>
      <c r="W25" s="440"/>
      <c r="X25" s="440"/>
      <c r="Y25" s="440"/>
      <c r="Z25" s="440"/>
      <c r="AA25" s="440"/>
      <c r="AB25" s="440"/>
      <c r="AC25" s="440"/>
      <c r="AD25" s="440"/>
      <c r="AE25" s="440"/>
      <c r="AF25" s="343"/>
      <c r="AG25" s="343"/>
      <c r="AH25" s="343"/>
      <c r="AI25" s="343"/>
      <c r="AJ25" s="343"/>
      <c r="AK25" s="343"/>
      <c r="AL25" s="343"/>
      <c r="AM25" s="343"/>
      <c r="AN25" s="343"/>
    </row>
    <row r="26" spans="2:47" ht="15">
      <c r="B26" s="453" t="s">
        <v>448</v>
      </c>
      <c r="C26" s="450"/>
      <c r="D26" s="454">
        <v>0</v>
      </c>
      <c r="E26" s="450"/>
      <c r="F26" s="454" t="s">
        <v>449</v>
      </c>
      <c r="G26" s="450"/>
      <c r="H26" s="454">
        <f>H25*H24</f>
        <v>9026.1271558139415</v>
      </c>
      <c r="I26" s="450"/>
      <c r="K26" s="445"/>
      <c r="L26" s="452"/>
      <c r="M26" s="343"/>
      <c r="N26" s="343"/>
      <c r="P26" s="440"/>
      <c r="Q26" s="440"/>
      <c r="R26" s="440"/>
      <c r="S26" s="440"/>
      <c r="T26" s="440"/>
      <c r="U26" s="440"/>
      <c r="V26" s="440"/>
      <c r="W26" s="440"/>
      <c r="X26" s="440"/>
      <c r="Y26" s="440"/>
      <c r="Z26" s="440"/>
      <c r="AA26" s="440"/>
      <c r="AB26" s="440"/>
      <c r="AC26" s="440"/>
      <c r="AD26" s="440"/>
      <c r="AE26" s="440"/>
      <c r="AF26" s="343"/>
      <c r="AG26" s="343"/>
      <c r="AH26" s="343"/>
      <c r="AI26" s="343"/>
      <c r="AJ26" s="343"/>
      <c r="AK26" s="343"/>
      <c r="AL26" s="343"/>
      <c r="AM26" s="343"/>
      <c r="AN26" s="343"/>
    </row>
    <row r="27" spans="2:47" ht="15">
      <c r="H27" s="450"/>
      <c r="K27" s="445"/>
      <c r="L27" s="451"/>
      <c r="M27" s="440"/>
      <c r="N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0"/>
      <c r="AC27" s="440"/>
      <c r="AD27" s="440"/>
      <c r="AE27" s="440"/>
      <c r="AF27" s="440"/>
      <c r="AG27" s="440"/>
      <c r="AH27" s="440"/>
      <c r="AI27" s="440"/>
      <c r="AJ27" s="440"/>
      <c r="AK27" s="440"/>
      <c r="AL27" s="440"/>
      <c r="AM27" s="440"/>
      <c r="AN27" s="440"/>
    </row>
    <row r="28" spans="2:47" ht="15">
      <c r="K28" s="445"/>
      <c r="L28" s="451"/>
      <c r="M28" s="343"/>
      <c r="N28" s="343"/>
      <c r="P28" s="440"/>
      <c r="Q28" s="440"/>
      <c r="R28" s="440"/>
      <c r="S28" s="440"/>
      <c r="T28" s="440"/>
      <c r="U28" s="440"/>
      <c r="V28" s="440"/>
      <c r="W28" s="440"/>
      <c r="X28" s="440"/>
      <c r="Y28" s="440"/>
      <c r="Z28" s="440"/>
      <c r="AA28" s="440"/>
      <c r="AB28" s="440"/>
      <c r="AC28" s="440"/>
      <c r="AD28" s="440"/>
      <c r="AE28" s="440"/>
      <c r="AF28" s="440"/>
      <c r="AG28" s="343"/>
      <c r="AH28" s="343"/>
      <c r="AI28" s="343"/>
      <c r="AJ28" s="343"/>
      <c r="AK28" s="343"/>
      <c r="AL28" s="343"/>
      <c r="AM28" s="343"/>
      <c r="AN28" s="343"/>
    </row>
    <row r="29" spans="2:47" ht="15">
      <c r="B29" s="445" t="s">
        <v>450</v>
      </c>
      <c r="C29" s="445"/>
      <c r="D29" s="445"/>
      <c r="E29" s="445"/>
      <c r="F29" s="445"/>
      <c r="G29" s="445"/>
      <c r="H29" s="445"/>
      <c r="I29" s="445"/>
      <c r="K29" s="445"/>
      <c r="L29" s="451"/>
      <c r="M29" s="343"/>
      <c r="N29" s="343"/>
      <c r="P29" s="440"/>
      <c r="Q29" s="440"/>
      <c r="R29" s="440"/>
      <c r="S29" s="440"/>
      <c r="T29" s="440"/>
      <c r="U29" s="440"/>
      <c r="V29" s="440"/>
      <c r="W29" s="440"/>
      <c r="X29" s="440"/>
      <c r="Y29" s="440"/>
      <c r="Z29" s="440"/>
      <c r="AA29" s="440"/>
      <c r="AB29" s="440"/>
      <c r="AC29" s="440"/>
      <c r="AD29" s="440"/>
      <c r="AE29" s="440"/>
      <c r="AF29" s="440"/>
      <c r="AG29" s="343"/>
      <c r="AH29" s="343"/>
      <c r="AI29" s="343"/>
      <c r="AJ29" s="343"/>
      <c r="AK29" s="343"/>
      <c r="AL29" s="343"/>
      <c r="AM29" s="343"/>
      <c r="AN29" s="343"/>
    </row>
    <row r="30" spans="2:47" ht="15">
      <c r="K30" s="445"/>
      <c r="L30" s="451"/>
      <c r="M30" s="343"/>
      <c r="N30" s="343"/>
      <c r="P30" s="440"/>
      <c r="Q30" s="440"/>
      <c r="R30" s="440"/>
      <c r="S30" s="440"/>
      <c r="T30" s="440"/>
      <c r="U30" s="440"/>
      <c r="V30" s="440"/>
      <c r="W30" s="440"/>
      <c r="X30" s="440"/>
      <c r="Y30" s="440"/>
      <c r="Z30" s="440"/>
      <c r="AA30" s="440"/>
      <c r="AB30" s="440"/>
      <c r="AC30" s="440"/>
      <c r="AD30" s="440"/>
      <c r="AE30" s="440"/>
      <c r="AF30" s="440"/>
      <c r="AG30" s="343"/>
      <c r="AH30" s="343"/>
      <c r="AI30" s="343"/>
      <c r="AJ30" s="343"/>
      <c r="AK30" s="343"/>
      <c r="AL30" s="343"/>
      <c r="AM30" s="343"/>
      <c r="AN30" s="343"/>
    </row>
    <row r="31" spans="2:47" ht="15">
      <c r="K31" s="445"/>
      <c r="L31" s="451"/>
      <c r="M31" s="343"/>
      <c r="N31" s="343"/>
      <c r="P31" s="440"/>
      <c r="Q31" s="440"/>
      <c r="R31" s="440"/>
      <c r="S31" s="440"/>
      <c r="T31" s="440"/>
      <c r="U31" s="440"/>
      <c r="V31" s="440"/>
      <c r="W31" s="440"/>
      <c r="X31" s="440"/>
      <c r="Y31" s="440"/>
      <c r="Z31" s="440"/>
      <c r="AA31" s="440"/>
      <c r="AB31" s="440"/>
      <c r="AC31" s="440"/>
      <c r="AD31" s="440"/>
      <c r="AE31" s="440"/>
      <c r="AF31" s="440"/>
      <c r="AG31" s="343"/>
      <c r="AH31" s="343"/>
      <c r="AI31" s="343"/>
      <c r="AJ31" s="343"/>
      <c r="AK31" s="343"/>
      <c r="AL31" s="343"/>
      <c r="AM31" s="343"/>
      <c r="AN31" s="343"/>
    </row>
    <row r="32" spans="2:47" ht="15">
      <c r="K32" s="445"/>
      <c r="L32" s="451"/>
      <c r="M32" s="343"/>
      <c r="N32" s="343"/>
      <c r="P32" s="440"/>
      <c r="Q32" s="440"/>
      <c r="R32" s="440"/>
      <c r="S32" s="440"/>
      <c r="T32" s="440"/>
      <c r="U32" s="440"/>
      <c r="V32" s="440"/>
      <c r="W32" s="440"/>
      <c r="X32" s="440"/>
      <c r="Y32" s="440"/>
      <c r="Z32" s="440"/>
      <c r="AA32" s="440"/>
      <c r="AB32" s="440"/>
      <c r="AC32" s="440"/>
      <c r="AD32" s="440"/>
      <c r="AE32" s="440"/>
      <c r="AF32" s="440"/>
      <c r="AG32" s="343"/>
      <c r="AH32" s="343"/>
      <c r="AI32" s="343"/>
      <c r="AJ32" s="343"/>
      <c r="AK32" s="343"/>
      <c r="AL32" s="343"/>
      <c r="AM32" s="343"/>
      <c r="AN32" s="343"/>
    </row>
    <row r="33" spans="1:40" ht="15">
      <c r="A33" s="497"/>
      <c r="B33" s="497"/>
      <c r="C33" s="497"/>
      <c r="D33" s="497"/>
      <c r="E33" s="497"/>
      <c r="F33" s="497"/>
      <c r="G33" s="497"/>
      <c r="H33" s="497"/>
      <c r="I33" s="497"/>
      <c r="J33" s="497"/>
      <c r="K33" s="445"/>
      <c r="L33" s="451"/>
      <c r="M33" s="343"/>
      <c r="N33" s="343"/>
      <c r="O33" s="440"/>
      <c r="P33" s="440"/>
      <c r="Q33" s="440"/>
      <c r="R33" s="440"/>
      <c r="S33" s="440"/>
      <c r="T33" s="440"/>
      <c r="U33" s="440"/>
      <c r="V33" s="440"/>
      <c r="W33" s="440"/>
      <c r="X33" s="440"/>
      <c r="Y33" s="440"/>
      <c r="Z33" s="440"/>
      <c r="AA33" s="440"/>
      <c r="AB33" s="440"/>
      <c r="AC33" s="440"/>
      <c r="AD33" s="440"/>
      <c r="AE33" s="440"/>
      <c r="AF33" s="440"/>
      <c r="AG33" s="343"/>
      <c r="AH33" s="343"/>
      <c r="AI33" s="343"/>
      <c r="AJ33" s="343"/>
      <c r="AK33" s="343"/>
      <c r="AL33" s="343"/>
      <c r="AM33" s="343"/>
      <c r="AN33" s="343"/>
    </row>
    <row r="34" spans="1:40" ht="15">
      <c r="K34" s="445"/>
      <c r="L34" s="451"/>
      <c r="M34" s="440"/>
      <c r="N34" s="440"/>
      <c r="O34" s="440"/>
      <c r="P34" s="440"/>
      <c r="Q34" s="440"/>
      <c r="R34" s="440"/>
      <c r="S34" s="440"/>
      <c r="T34" s="440"/>
      <c r="U34" s="440"/>
      <c r="V34" s="440"/>
      <c r="W34" s="440"/>
      <c r="X34" s="440"/>
      <c r="Y34" s="440"/>
      <c r="Z34" s="440"/>
      <c r="AA34" s="440"/>
      <c r="AB34" s="440"/>
      <c r="AC34" s="440"/>
      <c r="AD34" s="440"/>
      <c r="AE34" s="440"/>
      <c r="AF34" s="440"/>
      <c r="AG34" s="440"/>
      <c r="AH34" s="440"/>
      <c r="AI34" s="440"/>
      <c r="AJ34" s="440"/>
      <c r="AK34" s="440"/>
      <c r="AL34" s="440"/>
      <c r="AM34" s="440"/>
      <c r="AN34" s="440"/>
    </row>
    <row r="35" spans="1:40" ht="15">
      <c r="K35" s="445"/>
      <c r="L35" s="451"/>
      <c r="M35" s="440"/>
      <c r="N35" s="440"/>
      <c r="O35" s="440"/>
      <c r="P35" s="440"/>
      <c r="Q35" s="440"/>
      <c r="R35" s="440"/>
      <c r="S35" s="440"/>
      <c r="T35" s="440"/>
      <c r="U35" s="440"/>
      <c r="V35" s="440"/>
      <c r="W35" s="440"/>
      <c r="X35" s="440"/>
      <c r="Y35" s="440"/>
      <c r="Z35" s="440"/>
      <c r="AA35" s="440"/>
      <c r="AB35" s="440"/>
      <c r="AC35" s="440"/>
      <c r="AD35" s="440"/>
      <c r="AE35" s="440"/>
      <c r="AF35" s="440"/>
      <c r="AG35" s="440"/>
      <c r="AH35" s="440"/>
      <c r="AI35" s="440"/>
      <c r="AJ35" s="440"/>
      <c r="AK35" s="440"/>
      <c r="AL35" s="440"/>
      <c r="AM35" s="440"/>
      <c r="AN35" s="440"/>
    </row>
    <row r="36" spans="1:40" ht="15">
      <c r="A36" s="497"/>
      <c r="B36" s="497"/>
      <c r="C36" s="497"/>
      <c r="D36" s="497"/>
      <c r="E36" s="497"/>
      <c r="F36" s="497"/>
      <c r="G36" s="497"/>
      <c r="H36" s="497"/>
      <c r="I36" s="497"/>
      <c r="J36" s="497"/>
      <c r="K36" s="445"/>
      <c r="L36" s="451"/>
      <c r="M36" s="440"/>
      <c r="N36" s="440"/>
      <c r="O36" s="440"/>
      <c r="P36" s="440"/>
      <c r="Q36" s="440"/>
      <c r="R36" s="440"/>
      <c r="S36" s="440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  <c r="AG36" s="440"/>
      <c r="AH36" s="440"/>
      <c r="AI36" s="440"/>
      <c r="AJ36" s="440"/>
      <c r="AK36" s="440"/>
      <c r="AL36" s="440"/>
      <c r="AM36" s="440"/>
      <c r="AN36" s="440"/>
    </row>
    <row r="37" spans="1:40" ht="15">
      <c r="K37" s="445"/>
      <c r="L37" s="451"/>
      <c r="M37" s="440"/>
      <c r="N37" s="440"/>
      <c r="O37" s="440"/>
      <c r="P37" s="440"/>
      <c r="Q37" s="440"/>
      <c r="R37" s="440"/>
      <c r="S37" s="440"/>
      <c r="T37" s="440"/>
      <c r="U37" s="440"/>
      <c r="V37" s="440"/>
      <c r="W37" s="440"/>
      <c r="X37" s="440"/>
      <c r="Y37" s="440"/>
      <c r="Z37" s="440"/>
      <c r="AA37" s="440"/>
      <c r="AB37" s="440"/>
      <c r="AC37" s="440"/>
      <c r="AD37" s="440"/>
      <c r="AE37" s="440"/>
      <c r="AF37" s="440"/>
      <c r="AG37" s="440"/>
      <c r="AH37" s="440"/>
      <c r="AI37" s="440"/>
      <c r="AJ37" s="440"/>
      <c r="AK37" s="440"/>
      <c r="AL37" s="440"/>
      <c r="AM37" s="440"/>
      <c r="AN37" s="440"/>
    </row>
    <row r="38" spans="1:40" ht="15">
      <c r="K38" s="445"/>
      <c r="L38" s="451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2060"/>
  </sheetPr>
  <dimension ref="B3:L17"/>
  <sheetViews>
    <sheetView workbookViewId="0">
      <selection activeCell="I3" sqref="I3:J3"/>
    </sheetView>
  </sheetViews>
  <sheetFormatPr defaultRowHeight="12.75"/>
  <cols>
    <col min="1" max="7" width="9.140625" style="499"/>
    <col min="8" max="8" width="37.28515625" style="499" bestFit="1" customWidth="1"/>
    <col min="9" max="16384" width="9.140625" style="499"/>
  </cols>
  <sheetData>
    <row r="3" spans="2:12" ht="15">
      <c r="B3" s="445" t="s">
        <v>421</v>
      </c>
      <c r="C3" s="445"/>
      <c r="D3" s="445"/>
      <c r="H3" s="445" t="s">
        <v>533</v>
      </c>
      <c r="I3" s="447" t="s">
        <v>253</v>
      </c>
      <c r="J3" s="447" t="s">
        <v>254</v>
      </c>
    </row>
    <row r="4" spans="2:12" ht="15">
      <c r="B4" s="443" t="s">
        <v>426</v>
      </c>
      <c r="C4" s="502">
        <v>186.08435422175194</v>
      </c>
      <c r="D4" s="449" t="s">
        <v>427</v>
      </c>
      <c r="H4" s="447">
        <v>0</v>
      </c>
      <c r="I4" s="500">
        <f t="shared" ref="I4" si="0">-1*K4/1000</f>
        <v>-1.2999999999999999E-2</v>
      </c>
      <c r="J4" s="500">
        <f t="shared" ref="J4" si="1">L4/1000</f>
        <v>0.66800000000000004</v>
      </c>
      <c r="K4" s="501">
        <v>13</v>
      </c>
      <c r="L4" s="501">
        <v>668</v>
      </c>
    </row>
    <row r="5" spans="2:12" ht="15">
      <c r="H5" s="447">
        <v>200</v>
      </c>
      <c r="I5" s="500">
        <f t="shared" ref="I5:I12" si="2">-1*K5/1000</f>
        <v>-1.2999999999999999E-2</v>
      </c>
      <c r="J5" s="500">
        <f t="shared" ref="J5:J12" si="3">L5/1000</f>
        <v>0.66800000000000004</v>
      </c>
      <c r="K5" s="501">
        <v>13</v>
      </c>
      <c r="L5" s="501">
        <v>668</v>
      </c>
    </row>
    <row r="6" spans="2:12" ht="15">
      <c r="B6" s="445" t="s">
        <v>424</v>
      </c>
      <c r="C6" s="445"/>
      <c r="D6" s="445"/>
      <c r="H6" s="447">
        <v>400</v>
      </c>
      <c r="I6" s="500">
        <f t="shared" si="2"/>
        <v>-5.7000000000000002E-2</v>
      </c>
      <c r="J6" s="500">
        <f t="shared" si="3"/>
        <v>0.47899999999999998</v>
      </c>
      <c r="K6" s="501">
        <v>57</v>
      </c>
      <c r="L6" s="501">
        <v>479</v>
      </c>
    </row>
    <row r="7" spans="2:12" ht="15">
      <c r="B7" s="499" t="s">
        <v>253</v>
      </c>
      <c r="C7" s="499">
        <f>$C$17*($C$14-$C$13)+$C$13</f>
        <v>-1.2999999999999999E-2</v>
      </c>
      <c r="H7" s="447">
        <v>600</v>
      </c>
      <c r="I7" s="500">
        <f t="shared" si="2"/>
        <v>-0.1</v>
      </c>
      <c r="J7" s="500">
        <f>L7/1000</f>
        <v>0.41299999999999998</v>
      </c>
      <c r="K7" s="501">
        <v>100</v>
      </c>
      <c r="L7" s="501">
        <v>413</v>
      </c>
    </row>
    <row r="8" spans="2:12" ht="15">
      <c r="B8" s="499" t="s">
        <v>254</v>
      </c>
      <c r="C8" s="499">
        <f>$C$17*($C$16-$C$15)+$C$15</f>
        <v>0.66800000000000004</v>
      </c>
      <c r="H8" s="447">
        <v>800</v>
      </c>
      <c r="I8" s="500">
        <f t="shared" si="2"/>
        <v>-0.17299999999999999</v>
      </c>
      <c r="J8" s="500">
        <f t="shared" si="3"/>
        <v>0.34899999999999998</v>
      </c>
      <c r="K8" s="501">
        <v>173</v>
      </c>
      <c r="L8" s="501">
        <v>349</v>
      </c>
    </row>
    <row r="9" spans="2:12" ht="15">
      <c r="H9" s="447">
        <v>1000</v>
      </c>
      <c r="I9" s="500">
        <f t="shared" si="2"/>
        <v>-0.32</v>
      </c>
      <c r="J9" s="500">
        <f t="shared" si="3"/>
        <v>0.27600000000000002</v>
      </c>
      <c r="K9" s="501">
        <v>320</v>
      </c>
      <c r="L9" s="501">
        <v>276</v>
      </c>
    </row>
    <row r="10" spans="2:12" ht="15">
      <c r="B10" s="445" t="s">
        <v>431</v>
      </c>
      <c r="C10" s="445"/>
      <c r="D10" s="445"/>
      <c r="E10" s="446" t="s">
        <v>432</v>
      </c>
      <c r="H10" s="447">
        <v>1200</v>
      </c>
      <c r="I10" s="500">
        <f t="shared" si="2"/>
        <v>-0.43</v>
      </c>
      <c r="J10" s="500">
        <f t="shared" si="3"/>
        <v>0.24199999999999999</v>
      </c>
      <c r="K10" s="501">
        <v>430</v>
      </c>
      <c r="L10" s="501">
        <v>242</v>
      </c>
    </row>
    <row r="11" spans="2:12" ht="15">
      <c r="B11" s="499" t="s">
        <v>433</v>
      </c>
      <c r="C11" s="499">
        <f>INDEX($H$4:$H$13,E11)</f>
        <v>0</v>
      </c>
      <c r="E11" s="446">
        <f>MATCH($C$4,$H$4:$H$13,1)</f>
        <v>1</v>
      </c>
      <c r="H11" s="447">
        <v>1400</v>
      </c>
      <c r="I11" s="500">
        <f t="shared" si="2"/>
        <v>-0.52200000000000002</v>
      </c>
      <c r="J11" s="500">
        <f t="shared" si="3"/>
        <v>0.22500000000000001</v>
      </c>
      <c r="K11" s="501">
        <v>522</v>
      </c>
      <c r="L11" s="501">
        <v>225</v>
      </c>
    </row>
    <row r="12" spans="2:12" ht="15">
      <c r="B12" s="499" t="s">
        <v>434</v>
      </c>
      <c r="C12" s="499">
        <f t="shared" ref="C12" si="4">INDEX($H$4:$H$13,E12)</f>
        <v>200</v>
      </c>
      <c r="E12" s="446">
        <f>MATCH($C$4,$H$4:$H$13,1)+1</f>
        <v>2</v>
      </c>
      <c r="H12" s="447">
        <v>1600</v>
      </c>
      <c r="I12" s="500">
        <f t="shared" si="2"/>
        <v>-0.66500000000000004</v>
      </c>
      <c r="J12" s="500">
        <f t="shared" si="3"/>
        <v>0.19900000000000001</v>
      </c>
      <c r="K12" s="501">
        <v>665</v>
      </c>
      <c r="L12" s="501">
        <v>199</v>
      </c>
    </row>
    <row r="13" spans="2:12" ht="15">
      <c r="B13" s="499" t="s">
        <v>444</v>
      </c>
      <c r="C13" s="499">
        <f>INDEX($I$4:$I$13,E13)</f>
        <v>-1.2999999999999999E-2</v>
      </c>
      <c r="E13" s="446">
        <f>E11</f>
        <v>1</v>
      </c>
      <c r="H13" s="447">
        <v>10000</v>
      </c>
      <c r="I13" s="500">
        <f t="shared" ref="I13" si="5">-1*K13/1000</f>
        <v>-0.66500000000000004</v>
      </c>
      <c r="J13" s="500">
        <f t="shared" ref="J13" si="6">L13/1000</f>
        <v>0.19900000000000001</v>
      </c>
      <c r="K13" s="501">
        <v>665</v>
      </c>
      <c r="L13" s="501">
        <v>199</v>
      </c>
    </row>
    <row r="14" spans="2:12">
      <c r="B14" s="499" t="s">
        <v>445</v>
      </c>
      <c r="C14" s="499">
        <f>INDEX($I$4:$I$13,E14)</f>
        <v>-1.2999999999999999E-2</v>
      </c>
      <c r="E14" s="446">
        <f>E12</f>
        <v>2</v>
      </c>
    </row>
    <row r="15" spans="2:12">
      <c r="B15" s="499" t="s">
        <v>530</v>
      </c>
      <c r="C15" s="499">
        <f>INDEX($J$4:$J$13,E15)</f>
        <v>0.66800000000000004</v>
      </c>
      <c r="E15" s="446">
        <f>E13</f>
        <v>1</v>
      </c>
    </row>
    <row r="16" spans="2:12">
      <c r="B16" s="499" t="s">
        <v>531</v>
      </c>
      <c r="C16" s="499">
        <f>INDEX($J$4:$J$13,E16)</f>
        <v>0.66800000000000004</v>
      </c>
      <c r="E16" s="446">
        <f>E14</f>
        <v>2</v>
      </c>
    </row>
    <row r="17" spans="2:3">
      <c r="B17" s="499" t="s">
        <v>532</v>
      </c>
      <c r="C17" s="499">
        <f>($C$4-$C$11)/($C$12-$C$11)</f>
        <v>0.93042177110875968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002060"/>
  </sheetPr>
  <dimension ref="A1:AU38"/>
  <sheetViews>
    <sheetView workbookViewId="0">
      <selection activeCell="A2" sqref="A2"/>
    </sheetView>
  </sheetViews>
  <sheetFormatPr defaultRowHeight="12.75"/>
  <cols>
    <col min="1" max="10" width="9.140625" style="443"/>
    <col min="11" max="11" width="9.140625" style="497"/>
    <col min="12" max="12" width="10.5703125" style="497" bestFit="1" customWidth="1"/>
    <col min="13" max="18" width="9.28515625" style="497" bestFit="1" customWidth="1"/>
    <col min="19" max="16384" width="9.140625" style="497"/>
  </cols>
  <sheetData>
    <row r="1" spans="1:47" s="443" customFormat="1" ht="23.25">
      <c r="A1" s="495" t="s">
        <v>616</v>
      </c>
      <c r="L1" s="496" t="s">
        <v>597</v>
      </c>
      <c r="M1" s="519" t="s">
        <v>598</v>
      </c>
    </row>
    <row r="2" spans="1:47" ht="15">
      <c r="B2" s="445" t="s">
        <v>421</v>
      </c>
      <c r="C2" s="445"/>
      <c r="D2" s="445"/>
      <c r="E2" s="446" t="s">
        <v>422</v>
      </c>
      <c r="F2" s="446" t="s">
        <v>423</v>
      </c>
      <c r="G2" s="445" t="s">
        <v>424</v>
      </c>
      <c r="H2" s="445"/>
      <c r="I2" s="445"/>
      <c r="K2" s="447" t="s">
        <v>425</v>
      </c>
      <c r="L2" s="447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  <c r="X2" s="445"/>
      <c r="Y2" s="445"/>
      <c r="Z2" s="445"/>
      <c r="AA2" s="445"/>
      <c r="AB2" s="445"/>
      <c r="AC2" s="445"/>
      <c r="AD2" s="445"/>
      <c r="AE2" s="445"/>
      <c r="AF2" s="445"/>
      <c r="AG2" s="445"/>
      <c r="AH2" s="445"/>
      <c r="AI2" s="445"/>
      <c r="AJ2" s="445"/>
      <c r="AK2" s="445"/>
      <c r="AL2" s="445"/>
      <c r="AM2" s="445"/>
      <c r="AN2" s="445"/>
      <c r="AO2" s="445"/>
      <c r="AP2" s="445"/>
      <c r="AQ2" s="445"/>
      <c r="AR2" s="445"/>
      <c r="AS2" s="445"/>
      <c r="AT2" s="445"/>
      <c r="AU2" s="445"/>
    </row>
    <row r="3" spans="1:47" ht="15">
      <c r="B3" s="443" t="s">
        <v>426</v>
      </c>
      <c r="C3" s="448">
        <v>541.56762934883636</v>
      </c>
      <c r="D3" s="449" t="s">
        <v>427</v>
      </c>
      <c r="E3" s="446">
        <f>MIN(x_value)</f>
        <v>0</v>
      </c>
      <c r="F3" s="446">
        <f>MAX(x_value)</f>
        <v>10000</v>
      </c>
      <c r="G3" s="443" t="s">
        <v>428</v>
      </c>
      <c r="H3" s="450">
        <f>SUMPRODUCT(D23:D26,H23:H26)</f>
        <v>1.2000000000000002</v>
      </c>
      <c r="I3" s="449" t="s">
        <v>427</v>
      </c>
      <c r="K3" s="447"/>
      <c r="L3" s="459" t="s">
        <v>429</v>
      </c>
      <c r="M3" s="460">
        <v>0</v>
      </c>
      <c r="N3" s="460">
        <v>1</v>
      </c>
      <c r="O3" s="460"/>
      <c r="P3" s="460"/>
      <c r="Q3" s="460"/>
      <c r="R3" s="460"/>
      <c r="S3" s="452"/>
      <c r="T3" s="452"/>
      <c r="U3" s="452"/>
      <c r="V3" s="451"/>
      <c r="W3" s="451"/>
      <c r="X3" s="451"/>
      <c r="Y3" s="451"/>
      <c r="Z3" s="451"/>
      <c r="AA3" s="451"/>
      <c r="AB3" s="451"/>
      <c r="AC3" s="451"/>
      <c r="AD3" s="451"/>
      <c r="AE3" s="451"/>
      <c r="AF3" s="451"/>
      <c r="AG3" s="451"/>
      <c r="AH3" s="451"/>
      <c r="AI3" s="451"/>
      <c r="AJ3" s="451"/>
      <c r="AK3" s="451"/>
      <c r="AL3" s="451"/>
      <c r="AM3" s="451"/>
      <c r="AN3" s="452"/>
      <c r="AO3" s="452"/>
      <c r="AP3" s="452"/>
      <c r="AQ3" s="452"/>
      <c r="AR3" s="452"/>
      <c r="AS3" s="452"/>
      <c r="AT3" s="452"/>
      <c r="AU3" s="452"/>
    </row>
    <row r="4" spans="1:47" ht="15">
      <c r="B4" s="443" t="s">
        <v>430</v>
      </c>
      <c r="C4" s="448">
        <v>0</v>
      </c>
      <c r="D4" s="449" t="s">
        <v>427</v>
      </c>
      <c r="E4" s="446">
        <f>MIN(y_value)</f>
        <v>0</v>
      </c>
      <c r="F4" s="446">
        <f>MAX(y_value)</f>
        <v>1</v>
      </c>
      <c r="K4" s="445"/>
      <c r="L4" s="460">
        <v>0</v>
      </c>
      <c r="M4" s="462">
        <v>1.7</v>
      </c>
      <c r="N4" s="462">
        <v>2.5</v>
      </c>
      <c r="O4" s="461"/>
      <c r="P4" s="461"/>
      <c r="Q4" s="461"/>
      <c r="R4" s="461"/>
      <c r="S4" s="343"/>
      <c r="T4" s="343"/>
      <c r="U4" s="343"/>
      <c r="V4" s="440"/>
      <c r="W4" s="440"/>
      <c r="X4" s="440"/>
      <c r="Y4" s="440"/>
      <c r="Z4" s="440"/>
      <c r="AA4" s="440"/>
      <c r="AB4" s="440"/>
      <c r="AC4" s="440"/>
      <c r="AD4" s="440"/>
      <c r="AE4" s="440"/>
      <c r="AF4" s="440"/>
      <c r="AG4" s="440"/>
      <c r="AH4" s="440"/>
      <c r="AI4" s="440"/>
      <c r="AJ4" s="440"/>
      <c r="AK4" s="440"/>
      <c r="AL4" s="440"/>
      <c r="AM4" s="343"/>
      <c r="AN4" s="343"/>
      <c r="AO4" s="343"/>
      <c r="AP4" s="343"/>
      <c r="AQ4" s="343"/>
      <c r="AR4" s="343"/>
      <c r="AS4" s="343"/>
      <c r="AT4" s="343"/>
      <c r="AU4" s="343"/>
    </row>
    <row r="5" spans="1:47" ht="15">
      <c r="K5" s="445"/>
      <c r="L5" s="460">
        <v>300</v>
      </c>
      <c r="M5" s="462">
        <v>1.7</v>
      </c>
      <c r="N5" s="462">
        <v>2.5</v>
      </c>
      <c r="O5" s="461"/>
      <c r="P5" s="461"/>
      <c r="Q5" s="461"/>
      <c r="R5" s="461"/>
      <c r="S5" s="343"/>
      <c r="T5" s="343"/>
      <c r="U5" s="343"/>
      <c r="V5" s="440"/>
      <c r="W5" s="440"/>
      <c r="X5" s="440"/>
      <c r="Y5" s="440"/>
      <c r="Z5" s="440"/>
      <c r="AA5" s="440"/>
      <c r="AB5" s="440"/>
      <c r="AC5" s="440"/>
      <c r="AD5" s="440"/>
      <c r="AE5" s="440"/>
      <c r="AF5" s="440"/>
      <c r="AG5" s="440"/>
      <c r="AH5" s="440"/>
      <c r="AI5" s="440"/>
      <c r="AJ5" s="440"/>
      <c r="AK5" s="440"/>
      <c r="AL5" s="440"/>
      <c r="AM5" s="343"/>
      <c r="AN5" s="343"/>
      <c r="AO5" s="343"/>
      <c r="AP5" s="343"/>
      <c r="AQ5" s="343"/>
      <c r="AR5" s="343"/>
      <c r="AS5" s="343"/>
      <c r="AT5" s="343"/>
      <c r="AU5" s="343"/>
    </row>
    <row r="6" spans="1:47" ht="15">
      <c r="B6" s="445" t="s">
        <v>431</v>
      </c>
      <c r="C6" s="445"/>
      <c r="D6" s="445"/>
      <c r="F6" s="446" t="s">
        <v>432</v>
      </c>
      <c r="K6" s="445"/>
      <c r="L6" s="460">
        <v>300.01</v>
      </c>
      <c r="M6" s="462">
        <v>1.2</v>
      </c>
      <c r="N6" s="462">
        <v>1.9</v>
      </c>
      <c r="O6" s="461"/>
      <c r="P6" s="461"/>
      <c r="Q6" s="461"/>
      <c r="R6" s="461"/>
      <c r="S6" s="343"/>
      <c r="T6" s="343"/>
      <c r="U6" s="343"/>
      <c r="V6" s="440"/>
      <c r="W6" s="440"/>
      <c r="X6" s="440"/>
      <c r="Y6" s="440"/>
      <c r="Z6" s="440"/>
      <c r="AA6" s="440"/>
      <c r="AB6" s="440"/>
      <c r="AC6" s="440"/>
      <c r="AD6" s="440"/>
      <c r="AE6" s="440"/>
      <c r="AF6" s="440"/>
      <c r="AG6" s="440"/>
      <c r="AH6" s="440"/>
      <c r="AI6" s="440"/>
      <c r="AJ6" s="440"/>
      <c r="AK6" s="440"/>
      <c r="AL6" s="440"/>
      <c r="AM6" s="343"/>
      <c r="AN6" s="343"/>
      <c r="AO6" s="343"/>
      <c r="AP6" s="343"/>
      <c r="AQ6" s="343"/>
      <c r="AR6" s="343"/>
      <c r="AS6" s="343"/>
      <c r="AT6" s="343"/>
      <c r="AU6" s="343"/>
    </row>
    <row r="7" spans="1:47" ht="15">
      <c r="B7" s="443" t="s">
        <v>433</v>
      </c>
      <c r="C7" s="450">
        <f>INDEX(x_value,MATCH(x,x_value,1))</f>
        <v>300.01</v>
      </c>
      <c r="D7" s="449" t="s">
        <v>427</v>
      </c>
      <c r="F7" s="446">
        <f>MATCH(x,x_value,1)</f>
        <v>3</v>
      </c>
      <c r="K7" s="445"/>
      <c r="L7" s="460">
        <v>600</v>
      </c>
      <c r="M7" s="462">
        <v>1.2</v>
      </c>
      <c r="N7" s="462">
        <v>1.9</v>
      </c>
      <c r="O7" s="461"/>
      <c r="P7" s="461"/>
      <c r="Q7" s="461"/>
      <c r="R7" s="461"/>
      <c r="S7" s="343"/>
      <c r="T7" s="343"/>
      <c r="U7" s="343"/>
      <c r="V7" s="440"/>
      <c r="W7" s="440"/>
      <c r="X7" s="440"/>
      <c r="Y7" s="440"/>
      <c r="Z7" s="440"/>
      <c r="AA7" s="440"/>
      <c r="AB7" s="440"/>
      <c r="AC7" s="440"/>
      <c r="AD7" s="440"/>
      <c r="AE7" s="440"/>
      <c r="AF7" s="440"/>
      <c r="AG7" s="440"/>
      <c r="AH7" s="440"/>
      <c r="AI7" s="440"/>
      <c r="AJ7" s="440"/>
      <c r="AK7" s="440"/>
      <c r="AL7" s="440"/>
      <c r="AM7" s="343"/>
      <c r="AN7" s="343"/>
      <c r="AO7" s="343"/>
      <c r="AP7" s="343"/>
      <c r="AQ7" s="343"/>
      <c r="AR7" s="343"/>
      <c r="AS7" s="343"/>
      <c r="AT7" s="343"/>
      <c r="AU7" s="343"/>
    </row>
    <row r="8" spans="1:47" ht="15">
      <c r="B8" s="443" t="s">
        <v>434</v>
      </c>
      <c r="C8" s="450">
        <f>INDEX(x_value,MATCH(x,x_value,1)+1)</f>
        <v>600</v>
      </c>
      <c r="D8" s="449" t="s">
        <v>427</v>
      </c>
      <c r="F8" s="446">
        <f>MATCH(x,x_value,1)+1</f>
        <v>4</v>
      </c>
      <c r="K8" s="445"/>
      <c r="L8" s="460">
        <v>600.01</v>
      </c>
      <c r="M8" s="462">
        <v>1.1000000000000001</v>
      </c>
      <c r="N8" s="462">
        <v>1.5</v>
      </c>
      <c r="O8" s="461"/>
      <c r="P8" s="461"/>
      <c r="Q8" s="461"/>
      <c r="R8" s="461"/>
      <c r="S8" s="343"/>
      <c r="T8" s="343"/>
      <c r="U8" s="343"/>
      <c r="V8" s="440"/>
      <c r="W8" s="440"/>
      <c r="X8" s="440"/>
      <c r="Y8" s="440"/>
      <c r="Z8" s="440"/>
      <c r="AA8" s="440"/>
      <c r="AB8" s="440"/>
      <c r="AC8" s="440"/>
      <c r="AD8" s="440"/>
      <c r="AE8" s="440"/>
      <c r="AF8" s="440"/>
      <c r="AG8" s="440"/>
      <c r="AH8" s="440"/>
      <c r="AI8" s="440"/>
      <c r="AJ8" s="440"/>
      <c r="AK8" s="440"/>
      <c r="AL8" s="440"/>
      <c r="AM8" s="343"/>
      <c r="AN8" s="343"/>
      <c r="AO8" s="343"/>
      <c r="AP8" s="343"/>
      <c r="AQ8" s="343"/>
      <c r="AR8" s="343"/>
      <c r="AS8" s="343"/>
      <c r="AT8" s="343"/>
      <c r="AU8" s="343"/>
    </row>
    <row r="9" spans="1:47" ht="15">
      <c r="B9" s="443" t="s">
        <v>435</v>
      </c>
      <c r="C9" s="450">
        <f>INDEX(y_value,MATCH(y,y_value,1))</f>
        <v>0</v>
      </c>
      <c r="D9" s="449" t="s">
        <v>427</v>
      </c>
      <c r="F9" s="446">
        <f>MATCH(y,y_value,1)</f>
        <v>1</v>
      </c>
      <c r="K9" s="445"/>
      <c r="L9" s="460">
        <v>10000</v>
      </c>
      <c r="M9" s="462">
        <v>1.1000000000000001</v>
      </c>
      <c r="N9" s="462">
        <v>1.5</v>
      </c>
      <c r="O9" s="461"/>
      <c r="P9" s="461"/>
      <c r="Q9" s="461"/>
      <c r="R9" s="461"/>
      <c r="S9" s="343"/>
      <c r="T9" s="343"/>
      <c r="U9" s="343"/>
      <c r="V9" s="440"/>
      <c r="W9" s="440"/>
      <c r="X9" s="440"/>
      <c r="Y9" s="440"/>
      <c r="Z9" s="440"/>
      <c r="AA9" s="440"/>
      <c r="AB9" s="440"/>
      <c r="AC9" s="440"/>
      <c r="AD9" s="440"/>
      <c r="AE9" s="440"/>
      <c r="AF9" s="440"/>
      <c r="AG9" s="440"/>
      <c r="AH9" s="440"/>
      <c r="AI9" s="440"/>
      <c r="AJ9" s="440"/>
      <c r="AK9" s="440"/>
      <c r="AL9" s="440"/>
      <c r="AM9" s="343"/>
      <c r="AN9" s="343"/>
      <c r="AO9" s="343"/>
      <c r="AP9" s="343"/>
      <c r="AQ9" s="343"/>
      <c r="AR9" s="343"/>
      <c r="AS9" s="343"/>
      <c r="AT9" s="343"/>
      <c r="AU9" s="343"/>
    </row>
    <row r="10" spans="1:47" ht="15">
      <c r="B10" s="443" t="s">
        <v>436</v>
      </c>
      <c r="C10" s="450">
        <f>INDEX(y_value,MATCH(y,y_value,1)+1)</f>
        <v>1</v>
      </c>
      <c r="D10" s="449" t="s">
        <v>427</v>
      </c>
      <c r="F10" s="446">
        <f>MATCH(y,y_value,1)+1</f>
        <v>2</v>
      </c>
      <c r="K10" s="445"/>
      <c r="L10" s="460"/>
      <c r="M10" s="461"/>
      <c r="N10" s="461"/>
      <c r="O10" s="461"/>
      <c r="P10" s="461"/>
      <c r="Q10" s="461"/>
      <c r="R10" s="461"/>
      <c r="S10" s="343"/>
      <c r="T10" s="343"/>
      <c r="U10" s="343"/>
      <c r="V10" s="440"/>
      <c r="W10" s="440"/>
      <c r="X10" s="440"/>
      <c r="Y10" s="440"/>
      <c r="Z10" s="440"/>
      <c r="AA10" s="440"/>
      <c r="AB10" s="440"/>
      <c r="AC10" s="440"/>
      <c r="AD10" s="440"/>
      <c r="AE10" s="440"/>
      <c r="AF10" s="440"/>
      <c r="AG10" s="440"/>
      <c r="AH10" s="440"/>
      <c r="AI10" s="440"/>
      <c r="AJ10" s="440"/>
      <c r="AK10" s="440"/>
      <c r="AL10" s="440"/>
      <c r="AM10" s="343"/>
      <c r="AN10" s="343"/>
      <c r="AO10" s="343"/>
      <c r="AP10" s="343"/>
      <c r="AQ10" s="343"/>
      <c r="AR10" s="343"/>
      <c r="AS10" s="343"/>
      <c r="AT10" s="343"/>
      <c r="AU10" s="343"/>
    </row>
    <row r="11" spans="1:47" ht="15">
      <c r="B11" s="443" t="s">
        <v>437</v>
      </c>
      <c r="C11" s="450">
        <f>INDEX(z_value,MATCH(x_1,x_value,1),MATCH(y_1,y_value,1))</f>
        <v>1.2</v>
      </c>
      <c r="D11" s="449" t="s">
        <v>427</v>
      </c>
      <c r="K11" s="445"/>
      <c r="L11" s="460"/>
      <c r="M11" s="461"/>
      <c r="N11" s="461"/>
      <c r="O11" s="461"/>
      <c r="P11" s="461"/>
      <c r="Q11" s="461"/>
      <c r="R11" s="461"/>
      <c r="S11" s="343"/>
      <c r="T11" s="343"/>
      <c r="U11" s="343"/>
      <c r="V11" s="440"/>
      <c r="W11" s="440"/>
      <c r="X11" s="440"/>
      <c r="Y11" s="440"/>
      <c r="Z11" s="440"/>
      <c r="AA11" s="440"/>
      <c r="AB11" s="440"/>
      <c r="AC11" s="440"/>
      <c r="AD11" s="440"/>
      <c r="AE11" s="440"/>
      <c r="AF11" s="440"/>
      <c r="AG11" s="440"/>
      <c r="AH11" s="440"/>
      <c r="AI11" s="440"/>
      <c r="AJ11" s="440"/>
      <c r="AK11" s="440"/>
      <c r="AL11" s="440"/>
      <c r="AM11" s="343"/>
      <c r="AN11" s="343"/>
      <c r="AO11" s="343"/>
      <c r="AP11" s="343"/>
      <c r="AQ11" s="343"/>
      <c r="AR11" s="343"/>
      <c r="AS11" s="343"/>
      <c r="AT11" s="343"/>
      <c r="AU11" s="343"/>
    </row>
    <row r="12" spans="1:47" ht="15">
      <c r="B12" s="443" t="s">
        <v>438</v>
      </c>
      <c r="C12" s="450">
        <f>INDEX(z_value,MATCH(x_1,x_value,1),MATCH(y_2,y_value,1))</f>
        <v>1.9</v>
      </c>
      <c r="D12" s="449" t="s">
        <v>427</v>
      </c>
      <c r="K12" s="445"/>
      <c r="L12" s="460"/>
      <c r="M12" s="461"/>
      <c r="N12" s="461"/>
      <c r="O12" s="461"/>
      <c r="P12" s="461"/>
      <c r="Q12" s="461"/>
      <c r="R12" s="461"/>
      <c r="S12" s="343"/>
      <c r="T12" s="343"/>
      <c r="U12" s="343"/>
      <c r="V12" s="440"/>
      <c r="W12" s="440"/>
      <c r="X12" s="440"/>
      <c r="Y12" s="440"/>
      <c r="Z12" s="440"/>
      <c r="AA12" s="440"/>
      <c r="AB12" s="440"/>
      <c r="AC12" s="440"/>
      <c r="AD12" s="440"/>
      <c r="AE12" s="440"/>
      <c r="AF12" s="440"/>
      <c r="AG12" s="440"/>
      <c r="AH12" s="440"/>
      <c r="AI12" s="440"/>
      <c r="AJ12" s="440"/>
      <c r="AK12" s="440"/>
      <c r="AL12" s="440"/>
      <c r="AM12" s="343"/>
      <c r="AN12" s="343"/>
      <c r="AO12" s="343"/>
      <c r="AP12" s="343"/>
      <c r="AQ12" s="343"/>
      <c r="AR12" s="343"/>
      <c r="AS12" s="343"/>
      <c r="AT12" s="343"/>
      <c r="AU12" s="343"/>
    </row>
    <row r="13" spans="1:47" ht="15" customHeight="1">
      <c r="B13" s="443" t="s">
        <v>439</v>
      </c>
      <c r="C13" s="450">
        <f>INDEX(z_value,MATCH(x_2,x_value,1),MATCH(y_1,y_value,1))</f>
        <v>1.2</v>
      </c>
      <c r="D13" s="449" t="s">
        <v>427</v>
      </c>
      <c r="K13" s="445"/>
      <c r="L13" s="460"/>
      <c r="M13" s="461"/>
      <c r="N13" s="461"/>
      <c r="O13" s="461"/>
      <c r="P13" s="462"/>
      <c r="Q13" s="462"/>
      <c r="R13" s="462"/>
      <c r="W13" s="440"/>
      <c r="X13" s="440"/>
      <c r="Y13" s="440"/>
      <c r="Z13" s="440"/>
      <c r="AA13" s="440"/>
      <c r="AB13" s="440"/>
      <c r="AC13" s="440"/>
      <c r="AD13" s="440"/>
      <c r="AE13" s="440"/>
      <c r="AF13" s="440"/>
      <c r="AG13" s="440"/>
      <c r="AH13" s="440"/>
      <c r="AI13" s="440"/>
      <c r="AJ13" s="440"/>
      <c r="AK13" s="440"/>
      <c r="AL13" s="440"/>
      <c r="AM13" s="343"/>
      <c r="AN13" s="343"/>
      <c r="AO13" s="343"/>
      <c r="AP13" s="343"/>
      <c r="AQ13" s="343"/>
      <c r="AR13" s="343"/>
      <c r="AS13" s="343"/>
      <c r="AT13" s="343"/>
      <c r="AU13" s="343"/>
    </row>
    <row r="14" spans="1:47" ht="15" customHeight="1">
      <c r="B14" s="443" t="s">
        <v>440</v>
      </c>
      <c r="C14" s="450">
        <f>INDEX(z_value,MATCH(x_2,x_value,1),MATCH(y_2,y_value,1))</f>
        <v>1.9</v>
      </c>
      <c r="D14" s="449" t="s">
        <v>427</v>
      </c>
      <c r="K14" s="445"/>
      <c r="L14" s="460"/>
      <c r="M14" s="461"/>
      <c r="N14" s="461"/>
      <c r="O14" s="461"/>
      <c r="P14" s="462"/>
      <c r="Q14" s="462"/>
      <c r="R14" s="462"/>
      <c r="W14" s="440"/>
      <c r="X14" s="440"/>
      <c r="Y14" s="440"/>
      <c r="Z14" s="440"/>
      <c r="AA14" s="440"/>
      <c r="AB14" s="440"/>
      <c r="AC14" s="440"/>
      <c r="AD14" s="440"/>
      <c r="AE14" s="440"/>
      <c r="AF14" s="440"/>
      <c r="AG14" s="440"/>
      <c r="AH14" s="440"/>
      <c r="AI14" s="440"/>
      <c r="AJ14" s="440"/>
      <c r="AK14" s="440"/>
      <c r="AL14" s="440"/>
      <c r="AM14" s="343"/>
      <c r="AN14" s="343"/>
      <c r="AO14" s="343"/>
      <c r="AP14" s="343"/>
      <c r="AQ14" s="343"/>
      <c r="AR14" s="343"/>
      <c r="AS14" s="343"/>
      <c r="AT14" s="343"/>
      <c r="AU14" s="343"/>
    </row>
    <row r="15" spans="1:47" ht="15">
      <c r="K15" s="445"/>
      <c r="L15" s="460"/>
      <c r="M15" s="463"/>
      <c r="N15" s="463"/>
      <c r="O15" s="463"/>
      <c r="P15" s="462"/>
      <c r="Q15" s="462"/>
      <c r="R15" s="462"/>
      <c r="W15" s="440"/>
      <c r="X15" s="440"/>
      <c r="Y15" s="440"/>
      <c r="Z15" s="440"/>
      <c r="AA15" s="440"/>
      <c r="AB15" s="440"/>
      <c r="AC15" s="440"/>
      <c r="AD15" s="440"/>
      <c r="AE15" s="440"/>
      <c r="AF15" s="440"/>
      <c r="AG15" s="440"/>
      <c r="AH15" s="440"/>
      <c r="AI15" s="440"/>
      <c r="AJ15" s="440"/>
      <c r="AK15" s="440"/>
      <c r="AL15" s="440"/>
      <c r="AM15" s="343"/>
      <c r="AN15" s="440"/>
      <c r="AO15" s="440"/>
      <c r="AP15" s="440"/>
      <c r="AQ15" s="440"/>
      <c r="AR15" s="440"/>
      <c r="AS15" s="440"/>
      <c r="AT15" s="440"/>
      <c r="AU15" s="440"/>
    </row>
    <row r="16" spans="1:47" ht="15">
      <c r="B16" s="445" t="s">
        <v>441</v>
      </c>
      <c r="C16" s="445"/>
      <c r="D16" s="445"/>
      <c r="E16" s="445"/>
      <c r="F16" s="445"/>
      <c r="G16" s="445"/>
      <c r="H16" s="445"/>
      <c r="I16" s="445"/>
      <c r="K16" s="445"/>
      <c r="L16" s="460"/>
      <c r="M16" s="463"/>
      <c r="N16" s="463"/>
      <c r="O16" s="463"/>
      <c r="P16" s="462"/>
      <c r="Q16" s="462"/>
      <c r="R16" s="462"/>
      <c r="W16" s="440"/>
      <c r="X16" s="440"/>
      <c r="Y16" s="440"/>
      <c r="Z16" s="440"/>
      <c r="AA16" s="440"/>
      <c r="AB16" s="440"/>
      <c r="AC16" s="440"/>
      <c r="AD16" s="440"/>
      <c r="AE16" s="440"/>
      <c r="AF16" s="440"/>
      <c r="AG16" s="440"/>
      <c r="AH16" s="440"/>
      <c r="AI16" s="440"/>
      <c r="AJ16" s="440"/>
      <c r="AK16" s="440"/>
      <c r="AL16" s="440"/>
      <c r="AM16" s="343"/>
      <c r="AN16" s="440"/>
      <c r="AO16" s="440"/>
      <c r="AP16" s="440"/>
      <c r="AQ16" s="440"/>
      <c r="AR16" s="440"/>
      <c r="AS16" s="440"/>
      <c r="AT16" s="440"/>
      <c r="AU16" s="440"/>
    </row>
    <row r="17" spans="2:47" ht="15">
      <c r="K17" s="445"/>
      <c r="L17" s="460"/>
      <c r="M17" s="461"/>
      <c r="N17" s="461"/>
      <c r="O17" s="461"/>
      <c r="P17" s="462"/>
      <c r="Q17" s="462"/>
      <c r="R17" s="462"/>
      <c r="W17" s="440"/>
      <c r="X17" s="440"/>
      <c r="Y17" s="440"/>
      <c r="Z17" s="440"/>
      <c r="AA17" s="440"/>
      <c r="AB17" s="440"/>
      <c r="AC17" s="440"/>
      <c r="AD17" s="440"/>
      <c r="AE17" s="440"/>
      <c r="AF17" s="440"/>
      <c r="AG17" s="440"/>
      <c r="AH17" s="440"/>
      <c r="AI17" s="440"/>
      <c r="AJ17" s="440"/>
      <c r="AK17" s="440"/>
      <c r="AL17" s="440"/>
      <c r="AM17" s="343"/>
      <c r="AN17" s="343"/>
      <c r="AO17" s="343"/>
      <c r="AP17" s="343"/>
      <c r="AQ17" s="343"/>
      <c r="AR17" s="343"/>
      <c r="AS17" s="343"/>
      <c r="AT17" s="343"/>
      <c r="AU17" s="343"/>
    </row>
    <row r="18" spans="2:47" ht="15">
      <c r="B18" s="453" t="s">
        <v>442</v>
      </c>
      <c r="C18" s="450"/>
      <c r="D18" s="454">
        <v>1</v>
      </c>
      <c r="E18" s="455">
        <f>x_1</f>
        <v>300.01</v>
      </c>
      <c r="F18" s="455">
        <f>y_1</f>
        <v>0</v>
      </c>
      <c r="G18" s="456">
        <f>E18*F18</f>
        <v>0</v>
      </c>
      <c r="H18" s="457" t="s">
        <v>443</v>
      </c>
      <c r="I18" s="454">
        <f>f_11</f>
        <v>1.2</v>
      </c>
      <c r="K18" s="445"/>
      <c r="L18" s="460"/>
      <c r="M18" s="461"/>
      <c r="N18" s="461"/>
      <c r="O18" s="461"/>
      <c r="P18" s="462"/>
      <c r="Q18" s="462"/>
      <c r="R18" s="462"/>
      <c r="W18" s="440"/>
      <c r="X18" s="440"/>
      <c r="Y18" s="440"/>
      <c r="Z18" s="440"/>
      <c r="AA18" s="440"/>
      <c r="AB18" s="440"/>
      <c r="AC18" s="440"/>
      <c r="AD18" s="440"/>
      <c r="AE18" s="440"/>
      <c r="AF18" s="440"/>
      <c r="AG18" s="440"/>
      <c r="AH18" s="440"/>
      <c r="AI18" s="440"/>
      <c r="AJ18" s="440"/>
      <c r="AK18" s="440"/>
      <c r="AL18" s="440"/>
      <c r="AM18" s="343"/>
      <c r="AN18" s="343"/>
      <c r="AO18" s="343"/>
      <c r="AP18" s="343"/>
      <c r="AQ18" s="343"/>
      <c r="AR18" s="343"/>
      <c r="AS18" s="343"/>
      <c r="AT18" s="343"/>
      <c r="AU18" s="343"/>
    </row>
    <row r="19" spans="2:47" ht="15">
      <c r="B19" s="453" t="s">
        <v>444</v>
      </c>
      <c r="C19" s="450"/>
      <c r="D19" s="454">
        <v>1</v>
      </c>
      <c r="E19" s="455">
        <f>x_1</f>
        <v>300.01</v>
      </c>
      <c r="F19" s="455">
        <f>y_2</f>
        <v>1</v>
      </c>
      <c r="G19" s="456">
        <f t="shared" ref="G19:G21" si="0">E19*F19</f>
        <v>300.01</v>
      </c>
      <c r="H19" s="450"/>
      <c r="I19" s="454">
        <f>f_12</f>
        <v>1.9</v>
      </c>
      <c r="K19" s="445"/>
      <c r="L19" s="459"/>
      <c r="M19" s="463"/>
      <c r="N19" s="463"/>
      <c r="O19" s="463"/>
      <c r="P19" s="462"/>
      <c r="Q19" s="462"/>
      <c r="R19" s="462"/>
      <c r="W19" s="440"/>
      <c r="X19" s="440"/>
      <c r="Y19" s="440"/>
      <c r="Z19" s="440"/>
      <c r="AA19" s="440"/>
      <c r="AB19" s="440"/>
      <c r="AC19" s="440"/>
      <c r="AD19" s="440"/>
      <c r="AE19" s="440"/>
      <c r="AF19" s="440"/>
      <c r="AG19" s="440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440"/>
      <c r="AU19" s="440"/>
    </row>
    <row r="20" spans="2:47" ht="15">
      <c r="B20" s="453" t="s">
        <v>445</v>
      </c>
      <c r="C20" s="450" t="s">
        <v>446</v>
      </c>
      <c r="D20" s="454">
        <v>1</v>
      </c>
      <c r="E20" s="455">
        <f>x_2</f>
        <v>600</v>
      </c>
      <c r="F20" s="455">
        <f>y_1</f>
        <v>0</v>
      </c>
      <c r="G20" s="456">
        <f t="shared" si="0"/>
        <v>0</v>
      </c>
      <c r="H20" s="450" t="s">
        <v>447</v>
      </c>
      <c r="I20" s="454">
        <f>f_21</f>
        <v>1.2</v>
      </c>
      <c r="K20" s="445"/>
      <c r="L20" s="459"/>
      <c r="M20" s="463"/>
      <c r="N20" s="463"/>
      <c r="O20" s="463"/>
      <c r="P20" s="462"/>
      <c r="Q20" s="462"/>
      <c r="R20" s="462"/>
      <c r="W20" s="440"/>
      <c r="X20" s="440"/>
      <c r="Y20" s="440"/>
      <c r="Z20" s="440"/>
      <c r="AA20" s="440"/>
      <c r="AB20" s="440"/>
      <c r="AC20" s="440"/>
      <c r="AD20" s="440"/>
      <c r="AE20" s="440"/>
      <c r="AF20" s="440"/>
      <c r="AG20" s="440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40"/>
    </row>
    <row r="21" spans="2:47" ht="15" customHeight="1">
      <c r="B21" s="453" t="s">
        <v>448</v>
      </c>
      <c r="C21" s="450"/>
      <c r="D21" s="454">
        <v>1</v>
      </c>
      <c r="E21" s="455">
        <f>x_2</f>
        <v>600</v>
      </c>
      <c r="F21" s="455">
        <f>y_2</f>
        <v>1</v>
      </c>
      <c r="G21" s="456">
        <f t="shared" si="0"/>
        <v>600</v>
      </c>
      <c r="H21" s="450"/>
      <c r="I21" s="454">
        <f>f_22</f>
        <v>1.9</v>
      </c>
      <c r="K21" s="445"/>
      <c r="L21" s="452"/>
      <c r="M21" s="343"/>
      <c r="N21" s="343"/>
      <c r="P21" s="440"/>
      <c r="Q21" s="440"/>
      <c r="R21" s="440"/>
      <c r="S21" s="440"/>
      <c r="T21" s="440"/>
      <c r="U21" s="440"/>
      <c r="V21" s="440"/>
      <c r="W21" s="440"/>
      <c r="X21" s="440"/>
      <c r="Y21" s="440"/>
      <c r="Z21" s="440"/>
      <c r="AA21" s="440"/>
      <c r="AB21" s="440"/>
      <c r="AC21" s="440"/>
      <c r="AD21" s="440"/>
      <c r="AE21" s="440"/>
      <c r="AF21" s="343"/>
      <c r="AG21" s="343"/>
      <c r="AH21" s="343"/>
      <c r="AI21" s="343"/>
      <c r="AJ21" s="343"/>
      <c r="AK21" s="343"/>
      <c r="AL21" s="343"/>
      <c r="AM21" s="343"/>
      <c r="AN21" s="343"/>
    </row>
    <row r="22" spans="2:47" ht="15" customHeight="1">
      <c r="B22" s="458"/>
      <c r="C22" s="450"/>
      <c r="D22" s="450"/>
      <c r="E22" s="450"/>
      <c r="F22" s="450"/>
      <c r="G22" s="450"/>
      <c r="H22" s="450"/>
      <c r="I22" s="450"/>
      <c r="K22" s="445"/>
      <c r="L22" s="452"/>
      <c r="M22" s="343"/>
      <c r="N22" s="343"/>
      <c r="P22" s="440"/>
      <c r="Q22" s="440"/>
      <c r="R22" s="440"/>
      <c r="S22" s="440"/>
      <c r="T22" s="440"/>
      <c r="U22" s="440"/>
      <c r="V22" s="440"/>
      <c r="W22" s="440"/>
      <c r="X22" s="440"/>
      <c r="Y22" s="440"/>
      <c r="Z22" s="440"/>
      <c r="AA22" s="440"/>
      <c r="AB22" s="440"/>
      <c r="AC22" s="440"/>
      <c r="AD22" s="440"/>
      <c r="AE22" s="440"/>
      <c r="AF22" s="343"/>
      <c r="AG22" s="343"/>
      <c r="AH22" s="343"/>
      <c r="AI22" s="343"/>
      <c r="AJ22" s="343"/>
      <c r="AK22" s="343"/>
      <c r="AL22" s="343"/>
      <c r="AM22" s="343"/>
      <c r="AN22" s="343"/>
    </row>
    <row r="23" spans="2:47" ht="15">
      <c r="B23" s="453" t="s">
        <v>442</v>
      </c>
      <c r="C23" s="450"/>
      <c r="D23" s="454">
        <f t="array" ref="D23:D26">MMULT(MINVERSE(D18:G21),I18:I21)</f>
        <v>1.2000000000000002</v>
      </c>
      <c r="E23" s="450"/>
      <c r="F23" s="454">
        <v>1</v>
      </c>
      <c r="G23" s="450"/>
      <c r="H23" s="454">
        <v>1</v>
      </c>
      <c r="I23" s="450"/>
      <c r="K23" s="445"/>
      <c r="L23" s="452"/>
      <c r="M23" s="343"/>
      <c r="N23" s="343"/>
      <c r="P23" s="440"/>
      <c r="Q23" s="440"/>
      <c r="R23" s="440"/>
      <c r="S23" s="440"/>
      <c r="T23" s="440"/>
      <c r="U23" s="440"/>
      <c r="V23" s="440"/>
      <c r="W23" s="440"/>
      <c r="X23" s="440"/>
      <c r="Y23" s="440"/>
      <c r="Z23" s="440"/>
      <c r="AA23" s="440"/>
      <c r="AB23" s="440"/>
      <c r="AC23" s="440"/>
      <c r="AD23" s="440"/>
      <c r="AE23" s="440"/>
      <c r="AF23" s="343"/>
      <c r="AG23" s="343"/>
      <c r="AH23" s="343"/>
      <c r="AI23" s="343"/>
      <c r="AJ23" s="343"/>
      <c r="AK23" s="343"/>
      <c r="AL23" s="343"/>
      <c r="AM23" s="343"/>
      <c r="AN23" s="343"/>
    </row>
    <row r="24" spans="2:47" ht="15">
      <c r="B24" s="453" t="s">
        <v>444</v>
      </c>
      <c r="C24" s="450"/>
      <c r="D24" s="454">
        <v>0</v>
      </c>
      <c r="E24" s="450"/>
      <c r="F24" s="454" t="s">
        <v>426</v>
      </c>
      <c r="G24" s="450"/>
      <c r="H24" s="454">
        <f>x</f>
        <v>541.56762934883636</v>
      </c>
      <c r="I24" s="450"/>
      <c r="K24" s="445"/>
      <c r="L24" s="452"/>
      <c r="M24" s="343"/>
      <c r="N24" s="343"/>
      <c r="P24" s="440"/>
      <c r="Q24" s="440"/>
      <c r="R24" s="440"/>
      <c r="S24" s="440"/>
      <c r="T24" s="440"/>
      <c r="U24" s="440"/>
      <c r="V24" s="440"/>
      <c r="W24" s="440"/>
      <c r="X24" s="440"/>
      <c r="Y24" s="440"/>
      <c r="Z24" s="440"/>
      <c r="AA24" s="440"/>
      <c r="AB24" s="440"/>
      <c r="AC24" s="440"/>
      <c r="AD24" s="440"/>
      <c r="AE24" s="440"/>
      <c r="AF24" s="343"/>
      <c r="AG24" s="343"/>
      <c r="AH24" s="343"/>
      <c r="AI24" s="343"/>
      <c r="AJ24" s="343"/>
      <c r="AK24" s="343"/>
      <c r="AL24" s="343"/>
      <c r="AM24" s="343"/>
      <c r="AN24" s="343"/>
    </row>
    <row r="25" spans="2:47" ht="15">
      <c r="B25" s="453" t="s">
        <v>445</v>
      </c>
      <c r="C25" s="450" t="s">
        <v>446</v>
      </c>
      <c r="D25" s="454">
        <v>0.7</v>
      </c>
      <c r="E25" s="450"/>
      <c r="F25" s="454" t="s">
        <v>430</v>
      </c>
      <c r="G25" s="450" t="s">
        <v>446</v>
      </c>
      <c r="H25" s="454">
        <f>y</f>
        <v>0</v>
      </c>
      <c r="I25" s="450"/>
      <c r="K25" s="445"/>
      <c r="L25" s="452"/>
      <c r="M25" s="343"/>
      <c r="N25" s="343"/>
      <c r="P25" s="440"/>
      <c r="Q25" s="440"/>
      <c r="R25" s="440"/>
      <c r="S25" s="440"/>
      <c r="T25" s="440"/>
      <c r="U25" s="440"/>
      <c r="V25" s="440"/>
      <c r="W25" s="440"/>
      <c r="X25" s="440"/>
      <c r="Y25" s="440"/>
      <c r="Z25" s="440"/>
      <c r="AA25" s="440"/>
      <c r="AB25" s="440"/>
      <c r="AC25" s="440"/>
      <c r="AD25" s="440"/>
      <c r="AE25" s="440"/>
      <c r="AF25" s="343"/>
      <c r="AG25" s="343"/>
      <c r="AH25" s="343"/>
      <c r="AI25" s="343"/>
      <c r="AJ25" s="343"/>
      <c r="AK25" s="343"/>
      <c r="AL25" s="343"/>
      <c r="AM25" s="343"/>
      <c r="AN25" s="343"/>
    </row>
    <row r="26" spans="2:47" ht="15">
      <c r="B26" s="453" t="s">
        <v>448</v>
      </c>
      <c r="C26" s="450"/>
      <c r="D26" s="454">
        <v>0</v>
      </c>
      <c r="E26" s="450"/>
      <c r="F26" s="454" t="s">
        <v>449</v>
      </c>
      <c r="G26" s="450"/>
      <c r="H26" s="454">
        <f>H25*H24</f>
        <v>0</v>
      </c>
      <c r="I26" s="450"/>
      <c r="K26" s="445"/>
      <c r="L26" s="452"/>
      <c r="M26" s="343"/>
      <c r="N26" s="343"/>
      <c r="P26" s="440"/>
      <c r="Q26" s="440"/>
      <c r="R26" s="440"/>
      <c r="S26" s="440"/>
      <c r="T26" s="440"/>
      <c r="U26" s="440"/>
      <c r="V26" s="440"/>
      <c r="W26" s="440"/>
      <c r="X26" s="440"/>
      <c r="Y26" s="440"/>
      <c r="Z26" s="440"/>
      <c r="AA26" s="440"/>
      <c r="AB26" s="440"/>
      <c r="AC26" s="440"/>
      <c r="AD26" s="440"/>
      <c r="AE26" s="440"/>
      <c r="AF26" s="343"/>
      <c r="AG26" s="343"/>
      <c r="AH26" s="343"/>
      <c r="AI26" s="343"/>
      <c r="AJ26" s="343"/>
      <c r="AK26" s="343"/>
      <c r="AL26" s="343"/>
      <c r="AM26" s="343"/>
      <c r="AN26" s="343"/>
    </row>
    <row r="27" spans="2:47" ht="15">
      <c r="H27" s="450"/>
      <c r="K27" s="445"/>
      <c r="L27" s="451"/>
      <c r="M27" s="440"/>
      <c r="N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0"/>
      <c r="AC27" s="440"/>
      <c r="AD27" s="440"/>
      <c r="AE27" s="440"/>
      <c r="AF27" s="440"/>
      <c r="AG27" s="440"/>
      <c r="AH27" s="440"/>
      <c r="AI27" s="440"/>
      <c r="AJ27" s="440"/>
      <c r="AK27" s="440"/>
      <c r="AL27" s="440"/>
      <c r="AM27" s="440"/>
      <c r="AN27" s="440"/>
    </row>
    <row r="28" spans="2:47" ht="15">
      <c r="K28" s="445"/>
      <c r="L28" s="451"/>
      <c r="M28" s="343"/>
      <c r="N28" s="343"/>
      <c r="P28" s="440"/>
      <c r="Q28" s="440"/>
      <c r="R28" s="440"/>
      <c r="S28" s="440"/>
      <c r="T28" s="440"/>
      <c r="U28" s="440"/>
      <c r="V28" s="440"/>
      <c r="W28" s="440"/>
      <c r="X28" s="440"/>
      <c r="Y28" s="440"/>
      <c r="Z28" s="440"/>
      <c r="AA28" s="440"/>
      <c r="AB28" s="440"/>
      <c r="AC28" s="440"/>
      <c r="AD28" s="440"/>
      <c r="AE28" s="440"/>
      <c r="AF28" s="440"/>
      <c r="AG28" s="343"/>
      <c r="AH28" s="343"/>
      <c r="AI28" s="343"/>
      <c r="AJ28" s="343"/>
      <c r="AK28" s="343"/>
      <c r="AL28" s="343"/>
      <c r="AM28" s="343"/>
      <c r="AN28" s="343"/>
    </row>
    <row r="29" spans="2:47" ht="15">
      <c r="B29" s="445" t="s">
        <v>450</v>
      </c>
      <c r="C29" s="445"/>
      <c r="D29" s="445"/>
      <c r="E29" s="445"/>
      <c r="F29" s="445"/>
      <c r="G29" s="445"/>
      <c r="H29" s="445"/>
      <c r="I29" s="445"/>
      <c r="K29" s="445"/>
      <c r="L29" s="451"/>
      <c r="M29" s="343"/>
      <c r="N29" s="343"/>
      <c r="P29" s="440"/>
      <c r="Q29" s="440"/>
      <c r="R29" s="440"/>
      <c r="S29" s="440"/>
      <c r="T29" s="440"/>
      <c r="U29" s="440"/>
      <c r="V29" s="440"/>
      <c r="W29" s="440"/>
      <c r="X29" s="440"/>
      <c r="Y29" s="440"/>
      <c r="Z29" s="440"/>
      <c r="AA29" s="440"/>
      <c r="AB29" s="440"/>
      <c r="AC29" s="440"/>
      <c r="AD29" s="440"/>
      <c r="AE29" s="440"/>
      <c r="AF29" s="440"/>
      <c r="AG29" s="343"/>
      <c r="AH29" s="343"/>
      <c r="AI29" s="343"/>
      <c r="AJ29" s="343"/>
      <c r="AK29" s="343"/>
      <c r="AL29" s="343"/>
      <c r="AM29" s="343"/>
      <c r="AN29" s="343"/>
    </row>
    <row r="30" spans="2:47" ht="15">
      <c r="K30" s="445"/>
      <c r="L30" s="451"/>
      <c r="M30" s="343"/>
      <c r="N30" s="343"/>
      <c r="P30" s="440"/>
      <c r="Q30" s="440"/>
      <c r="R30" s="440"/>
      <c r="S30" s="440"/>
      <c r="T30" s="440"/>
      <c r="U30" s="440"/>
      <c r="V30" s="440"/>
      <c r="W30" s="440"/>
      <c r="X30" s="440"/>
      <c r="Y30" s="440"/>
      <c r="Z30" s="440"/>
      <c r="AA30" s="440"/>
      <c r="AB30" s="440"/>
      <c r="AC30" s="440"/>
      <c r="AD30" s="440"/>
      <c r="AE30" s="440"/>
      <c r="AF30" s="440"/>
      <c r="AG30" s="343"/>
      <c r="AH30" s="343"/>
      <c r="AI30" s="343"/>
      <c r="AJ30" s="343"/>
      <c r="AK30" s="343"/>
      <c r="AL30" s="343"/>
      <c r="AM30" s="343"/>
      <c r="AN30" s="343"/>
    </row>
    <row r="31" spans="2:47" ht="15">
      <c r="K31" s="445"/>
      <c r="L31" s="451"/>
      <c r="M31" s="343"/>
      <c r="N31" s="343"/>
      <c r="P31" s="440"/>
      <c r="Q31" s="440"/>
      <c r="R31" s="440"/>
      <c r="S31" s="440"/>
      <c r="T31" s="440"/>
      <c r="U31" s="440"/>
      <c r="V31" s="440"/>
      <c r="W31" s="440"/>
      <c r="X31" s="440"/>
      <c r="Y31" s="440"/>
      <c r="Z31" s="440"/>
      <c r="AA31" s="440"/>
      <c r="AB31" s="440"/>
      <c r="AC31" s="440"/>
      <c r="AD31" s="440"/>
      <c r="AE31" s="440"/>
      <c r="AF31" s="440"/>
      <c r="AG31" s="343"/>
      <c r="AH31" s="343"/>
      <c r="AI31" s="343"/>
      <c r="AJ31" s="343"/>
      <c r="AK31" s="343"/>
      <c r="AL31" s="343"/>
      <c r="AM31" s="343"/>
      <c r="AN31" s="343"/>
    </row>
    <row r="32" spans="2:47" ht="15">
      <c r="K32" s="445"/>
      <c r="L32" s="451"/>
      <c r="M32" s="343"/>
      <c r="N32" s="343"/>
      <c r="P32" s="440"/>
      <c r="Q32" s="440"/>
      <c r="R32" s="440"/>
      <c r="S32" s="440"/>
      <c r="T32" s="440"/>
      <c r="U32" s="440"/>
      <c r="V32" s="440"/>
      <c r="W32" s="440"/>
      <c r="X32" s="440"/>
      <c r="Y32" s="440"/>
      <c r="Z32" s="440"/>
      <c r="AA32" s="440"/>
      <c r="AB32" s="440"/>
      <c r="AC32" s="440"/>
      <c r="AD32" s="440"/>
      <c r="AE32" s="440"/>
      <c r="AF32" s="440"/>
      <c r="AG32" s="343"/>
      <c r="AH32" s="343"/>
      <c r="AI32" s="343"/>
      <c r="AJ32" s="343"/>
      <c r="AK32" s="343"/>
      <c r="AL32" s="343"/>
      <c r="AM32" s="343"/>
      <c r="AN32" s="343"/>
    </row>
    <row r="33" spans="1:40" ht="15">
      <c r="A33" s="497"/>
      <c r="B33" s="497"/>
      <c r="C33" s="497"/>
      <c r="D33" s="497"/>
      <c r="E33" s="497"/>
      <c r="F33" s="497"/>
      <c r="G33" s="497"/>
      <c r="H33" s="497"/>
      <c r="I33" s="497"/>
      <c r="J33" s="497"/>
      <c r="K33" s="445"/>
      <c r="L33" s="451"/>
      <c r="M33" s="343"/>
      <c r="N33" s="343"/>
      <c r="O33" s="440"/>
      <c r="P33" s="440"/>
      <c r="Q33" s="440"/>
      <c r="R33" s="440"/>
      <c r="S33" s="440"/>
      <c r="T33" s="440"/>
      <c r="U33" s="440"/>
      <c r="V33" s="440"/>
      <c r="W33" s="440"/>
      <c r="X33" s="440"/>
      <c r="Y33" s="440"/>
      <c r="Z33" s="440"/>
      <c r="AA33" s="440"/>
      <c r="AB33" s="440"/>
      <c r="AC33" s="440"/>
      <c r="AD33" s="440"/>
      <c r="AE33" s="440"/>
      <c r="AF33" s="440"/>
      <c r="AG33" s="343"/>
      <c r="AH33" s="343"/>
      <c r="AI33" s="343"/>
      <c r="AJ33" s="343"/>
      <c r="AK33" s="343"/>
      <c r="AL33" s="343"/>
      <c r="AM33" s="343"/>
      <c r="AN33" s="343"/>
    </row>
    <row r="34" spans="1:40" ht="15">
      <c r="K34" s="445"/>
      <c r="L34" s="451"/>
      <c r="M34" s="440"/>
      <c r="N34" s="440"/>
      <c r="O34" s="440"/>
      <c r="P34" s="440"/>
      <c r="Q34" s="440"/>
      <c r="R34" s="440"/>
      <c r="S34" s="440"/>
      <c r="T34" s="440"/>
      <c r="U34" s="440"/>
      <c r="V34" s="440"/>
      <c r="W34" s="440"/>
      <c r="X34" s="440"/>
      <c r="Y34" s="440"/>
      <c r="Z34" s="440"/>
      <c r="AA34" s="440"/>
      <c r="AB34" s="440"/>
      <c r="AC34" s="440"/>
      <c r="AD34" s="440"/>
      <c r="AE34" s="440"/>
      <c r="AF34" s="440"/>
      <c r="AG34" s="440"/>
      <c r="AH34" s="440"/>
      <c r="AI34" s="440"/>
      <c r="AJ34" s="440"/>
      <c r="AK34" s="440"/>
      <c r="AL34" s="440"/>
      <c r="AM34" s="440"/>
      <c r="AN34" s="440"/>
    </row>
    <row r="35" spans="1:40" ht="15">
      <c r="K35" s="445"/>
      <c r="L35" s="451"/>
      <c r="M35" s="440"/>
      <c r="N35" s="440"/>
      <c r="O35" s="440"/>
      <c r="P35" s="440"/>
      <c r="Q35" s="440"/>
      <c r="R35" s="440"/>
      <c r="S35" s="440"/>
      <c r="T35" s="440"/>
      <c r="U35" s="440"/>
      <c r="V35" s="440"/>
      <c r="W35" s="440"/>
      <c r="X35" s="440"/>
      <c r="Y35" s="440"/>
      <c r="Z35" s="440"/>
      <c r="AA35" s="440"/>
      <c r="AB35" s="440"/>
      <c r="AC35" s="440"/>
      <c r="AD35" s="440"/>
      <c r="AE35" s="440"/>
      <c r="AF35" s="440"/>
      <c r="AG35" s="440"/>
      <c r="AH35" s="440"/>
      <c r="AI35" s="440"/>
      <c r="AJ35" s="440"/>
      <c r="AK35" s="440"/>
      <c r="AL35" s="440"/>
      <c r="AM35" s="440"/>
      <c r="AN35" s="440"/>
    </row>
    <row r="36" spans="1:40" ht="15">
      <c r="A36" s="497"/>
      <c r="B36" s="497"/>
      <c r="C36" s="497"/>
      <c r="D36" s="497"/>
      <c r="E36" s="497"/>
      <c r="F36" s="497"/>
      <c r="G36" s="497"/>
      <c r="H36" s="497"/>
      <c r="I36" s="497"/>
      <c r="J36" s="497"/>
      <c r="K36" s="445"/>
      <c r="L36" s="451"/>
      <c r="M36" s="440"/>
      <c r="N36" s="440"/>
      <c r="O36" s="440"/>
      <c r="P36" s="440"/>
      <c r="Q36" s="440"/>
      <c r="R36" s="440"/>
      <c r="S36" s="440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  <c r="AG36" s="440"/>
      <c r="AH36" s="440"/>
      <c r="AI36" s="440"/>
      <c r="AJ36" s="440"/>
      <c r="AK36" s="440"/>
      <c r="AL36" s="440"/>
      <c r="AM36" s="440"/>
      <c r="AN36" s="440"/>
    </row>
    <row r="37" spans="1:40" ht="15">
      <c r="K37" s="445"/>
      <c r="L37" s="451"/>
      <c r="M37" s="440"/>
      <c r="N37" s="440"/>
      <c r="O37" s="440"/>
      <c r="P37" s="440"/>
      <c r="Q37" s="440"/>
      <c r="R37" s="440"/>
      <c r="S37" s="440"/>
      <c r="T37" s="440"/>
      <c r="U37" s="440"/>
      <c r="V37" s="440"/>
      <c r="W37" s="440"/>
      <c r="X37" s="440"/>
      <c r="Y37" s="440"/>
      <c r="Z37" s="440"/>
      <c r="AA37" s="440"/>
      <c r="AB37" s="440"/>
      <c r="AC37" s="440"/>
      <c r="AD37" s="440"/>
      <c r="AE37" s="440"/>
      <c r="AF37" s="440"/>
      <c r="AG37" s="440"/>
      <c r="AH37" s="440"/>
      <c r="AI37" s="440"/>
      <c r="AJ37" s="440"/>
      <c r="AK37" s="440"/>
      <c r="AL37" s="440"/>
      <c r="AM37" s="440"/>
      <c r="AN37" s="440"/>
    </row>
    <row r="38" spans="1:40" ht="15">
      <c r="K38" s="445"/>
      <c r="L38" s="451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2060"/>
  </sheetPr>
  <dimension ref="A1:AU38"/>
  <sheetViews>
    <sheetView workbookViewId="0">
      <selection activeCell="N10" sqref="N10"/>
    </sheetView>
  </sheetViews>
  <sheetFormatPr defaultRowHeight="12.75"/>
  <cols>
    <col min="1" max="10" width="9.140625" style="443"/>
    <col min="11" max="11" width="9.140625" style="497"/>
    <col min="12" max="12" width="10.5703125" style="497" bestFit="1" customWidth="1"/>
    <col min="13" max="18" width="9.28515625" style="497" bestFit="1" customWidth="1"/>
    <col min="19" max="16384" width="9.140625" style="497"/>
  </cols>
  <sheetData>
    <row r="1" spans="1:47" s="443" customFormat="1" ht="23.25">
      <c r="A1" s="495" t="s">
        <v>596</v>
      </c>
      <c r="L1" s="496" t="s">
        <v>597</v>
      </c>
      <c r="M1" s="519" t="s">
        <v>598</v>
      </c>
    </row>
    <row r="2" spans="1:47" ht="15">
      <c r="B2" s="445" t="s">
        <v>421</v>
      </c>
      <c r="C2" s="445"/>
      <c r="D2" s="445"/>
      <c r="E2" s="446" t="s">
        <v>422</v>
      </c>
      <c r="F2" s="446" t="s">
        <v>423</v>
      </c>
      <c r="G2" s="445" t="s">
        <v>424</v>
      </c>
      <c r="H2" s="445"/>
      <c r="I2" s="445"/>
      <c r="K2" s="447" t="s">
        <v>425</v>
      </c>
      <c r="L2" s="447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  <c r="X2" s="445"/>
      <c r="Y2" s="445"/>
      <c r="Z2" s="445"/>
      <c r="AA2" s="445"/>
      <c r="AB2" s="445"/>
      <c r="AC2" s="445"/>
      <c r="AD2" s="445"/>
      <c r="AE2" s="445"/>
      <c r="AF2" s="445"/>
      <c r="AG2" s="445"/>
      <c r="AH2" s="445"/>
      <c r="AI2" s="445"/>
      <c r="AJ2" s="445"/>
      <c r="AK2" s="445"/>
      <c r="AL2" s="445"/>
      <c r="AM2" s="445"/>
      <c r="AN2" s="445"/>
      <c r="AO2" s="445"/>
      <c r="AP2" s="445"/>
      <c r="AQ2" s="445"/>
      <c r="AR2" s="445"/>
      <c r="AS2" s="445"/>
      <c r="AT2" s="445"/>
      <c r="AU2" s="445"/>
    </row>
    <row r="3" spans="1:47" ht="15">
      <c r="B3" s="443" t="s">
        <v>426</v>
      </c>
      <c r="C3" s="448">
        <v>541.56762934883636</v>
      </c>
      <c r="D3" s="449" t="s">
        <v>427</v>
      </c>
      <c r="E3" s="446">
        <f>MIN(x_value)</f>
        <v>0</v>
      </c>
      <c r="F3" s="446">
        <f>MAX(x_value)</f>
        <v>10000</v>
      </c>
      <c r="G3" s="443" t="s">
        <v>428</v>
      </c>
      <c r="H3" s="450">
        <f>SUMPRODUCT(D23:D26,H23:H26)</f>
        <v>1.0000000000000002</v>
      </c>
      <c r="I3" s="449" t="s">
        <v>427</v>
      </c>
      <c r="K3" s="447"/>
      <c r="L3" s="459" t="s">
        <v>429</v>
      </c>
      <c r="M3" s="460">
        <v>0</v>
      </c>
      <c r="N3" s="460">
        <v>1</v>
      </c>
      <c r="O3" s="460"/>
      <c r="P3" s="460"/>
      <c r="Q3" s="460"/>
      <c r="R3" s="460"/>
      <c r="S3" s="452"/>
      <c r="T3" s="452"/>
      <c r="U3" s="452"/>
      <c r="V3" s="451"/>
      <c r="W3" s="451"/>
      <c r="X3" s="451"/>
      <c r="Y3" s="451"/>
      <c r="Z3" s="451"/>
      <c r="AA3" s="451"/>
      <c r="AB3" s="451"/>
      <c r="AC3" s="451"/>
      <c r="AD3" s="451"/>
      <c r="AE3" s="451"/>
      <c r="AF3" s="451"/>
      <c r="AG3" s="451"/>
      <c r="AH3" s="451"/>
      <c r="AI3" s="451"/>
      <c r="AJ3" s="451"/>
      <c r="AK3" s="451"/>
      <c r="AL3" s="451"/>
      <c r="AM3" s="451"/>
      <c r="AN3" s="452"/>
      <c r="AO3" s="452"/>
      <c r="AP3" s="452"/>
      <c r="AQ3" s="452"/>
      <c r="AR3" s="452"/>
      <c r="AS3" s="452"/>
      <c r="AT3" s="452"/>
      <c r="AU3" s="452"/>
    </row>
    <row r="4" spans="1:47" ht="15">
      <c r="B4" s="443" t="s">
        <v>430</v>
      </c>
      <c r="C4" s="448">
        <v>0</v>
      </c>
      <c r="D4" s="449" t="s">
        <v>427</v>
      </c>
      <c r="E4" s="446">
        <f>MIN(y_value)</f>
        <v>0</v>
      </c>
      <c r="F4" s="446">
        <f>MAX(y_value)</f>
        <v>1</v>
      </c>
      <c r="K4" s="445"/>
      <c r="L4" s="460">
        <v>0</v>
      </c>
      <c r="M4" s="461">
        <v>1</v>
      </c>
      <c r="N4" s="461">
        <v>1.1000000000000001</v>
      </c>
      <c r="O4" s="461"/>
      <c r="P4" s="461"/>
      <c r="Q4" s="461"/>
      <c r="R4" s="461"/>
      <c r="S4" s="343"/>
      <c r="T4" s="343"/>
      <c r="U4" s="343"/>
      <c r="V4" s="440"/>
      <c r="W4" s="440"/>
      <c r="X4" s="440"/>
      <c r="Y4" s="440"/>
      <c r="Z4" s="440"/>
      <c r="AA4" s="440"/>
      <c r="AB4" s="440"/>
      <c r="AC4" s="440"/>
      <c r="AD4" s="440"/>
      <c r="AE4" s="440"/>
      <c r="AF4" s="440"/>
      <c r="AG4" s="440"/>
      <c r="AH4" s="440"/>
      <c r="AI4" s="440"/>
      <c r="AJ4" s="440"/>
      <c r="AK4" s="440"/>
      <c r="AL4" s="440"/>
      <c r="AM4" s="343"/>
      <c r="AN4" s="343"/>
      <c r="AO4" s="343"/>
      <c r="AP4" s="343"/>
      <c r="AQ4" s="343"/>
      <c r="AR4" s="343"/>
      <c r="AS4" s="343"/>
      <c r="AT4" s="343"/>
      <c r="AU4" s="343"/>
    </row>
    <row r="5" spans="1:47" ht="15">
      <c r="K5" s="445"/>
      <c r="L5" s="460">
        <v>300</v>
      </c>
      <c r="M5" s="461">
        <v>1</v>
      </c>
      <c r="N5" s="461">
        <v>1.1000000000000001</v>
      </c>
      <c r="O5" s="461"/>
      <c r="P5" s="461"/>
      <c r="Q5" s="461"/>
      <c r="R5" s="461"/>
      <c r="S5" s="343"/>
      <c r="T5" s="343"/>
      <c r="U5" s="343"/>
      <c r="V5" s="440"/>
      <c r="W5" s="440"/>
      <c r="X5" s="440"/>
      <c r="Y5" s="440"/>
      <c r="Z5" s="440"/>
      <c r="AA5" s="440"/>
      <c r="AB5" s="440"/>
      <c r="AC5" s="440"/>
      <c r="AD5" s="440"/>
      <c r="AE5" s="440"/>
      <c r="AF5" s="440"/>
      <c r="AG5" s="440"/>
      <c r="AH5" s="440"/>
      <c r="AI5" s="440"/>
      <c r="AJ5" s="440"/>
      <c r="AK5" s="440"/>
      <c r="AL5" s="440"/>
      <c r="AM5" s="343"/>
      <c r="AN5" s="343"/>
      <c r="AO5" s="343"/>
      <c r="AP5" s="343"/>
      <c r="AQ5" s="343"/>
      <c r="AR5" s="343"/>
      <c r="AS5" s="343"/>
      <c r="AT5" s="343"/>
      <c r="AU5" s="343"/>
    </row>
    <row r="6" spans="1:47" ht="15">
      <c r="B6" s="445" t="s">
        <v>431</v>
      </c>
      <c r="C6" s="445"/>
      <c r="D6" s="445"/>
      <c r="F6" s="446" t="s">
        <v>432</v>
      </c>
      <c r="K6" s="445"/>
      <c r="L6" s="460">
        <v>300.01</v>
      </c>
      <c r="M6" s="461">
        <v>1</v>
      </c>
      <c r="N6" s="461">
        <v>1.1000000000000001</v>
      </c>
      <c r="O6" s="461"/>
      <c r="P6" s="461"/>
      <c r="Q6" s="461"/>
      <c r="R6" s="461"/>
      <c r="S6" s="343"/>
      <c r="T6" s="343"/>
      <c r="U6" s="343"/>
      <c r="V6" s="440"/>
      <c r="W6" s="440"/>
      <c r="X6" s="440"/>
      <c r="Y6" s="440"/>
      <c r="Z6" s="440"/>
      <c r="AA6" s="440"/>
      <c r="AB6" s="440"/>
      <c r="AC6" s="440"/>
      <c r="AD6" s="440"/>
      <c r="AE6" s="440"/>
      <c r="AF6" s="440"/>
      <c r="AG6" s="440"/>
      <c r="AH6" s="440"/>
      <c r="AI6" s="440"/>
      <c r="AJ6" s="440"/>
      <c r="AK6" s="440"/>
      <c r="AL6" s="440"/>
      <c r="AM6" s="343"/>
      <c r="AN6" s="343"/>
      <c r="AO6" s="343"/>
      <c r="AP6" s="343"/>
      <c r="AQ6" s="343"/>
      <c r="AR6" s="343"/>
      <c r="AS6" s="343"/>
      <c r="AT6" s="343"/>
      <c r="AU6" s="343"/>
    </row>
    <row r="7" spans="1:47" ht="15">
      <c r="B7" s="443" t="s">
        <v>433</v>
      </c>
      <c r="C7" s="450">
        <f>INDEX(x_value,MATCH(x,x_value,1))</f>
        <v>300.01</v>
      </c>
      <c r="D7" s="449" t="s">
        <v>427</v>
      </c>
      <c r="F7" s="446">
        <f>MATCH(x,x_value,1)</f>
        <v>3</v>
      </c>
      <c r="K7" s="445"/>
      <c r="L7" s="460">
        <v>600</v>
      </c>
      <c r="M7" s="461">
        <v>1</v>
      </c>
      <c r="N7" s="461">
        <v>1.1000000000000001</v>
      </c>
      <c r="O7" s="461"/>
      <c r="P7" s="461"/>
      <c r="Q7" s="461"/>
      <c r="R7" s="461"/>
      <c r="S7" s="343"/>
      <c r="T7" s="343"/>
      <c r="U7" s="343"/>
      <c r="V7" s="440"/>
      <c r="W7" s="440"/>
      <c r="X7" s="440"/>
      <c r="Y7" s="440"/>
      <c r="Z7" s="440"/>
      <c r="AA7" s="440"/>
      <c r="AB7" s="440"/>
      <c r="AC7" s="440"/>
      <c r="AD7" s="440"/>
      <c r="AE7" s="440"/>
      <c r="AF7" s="440"/>
      <c r="AG7" s="440"/>
      <c r="AH7" s="440"/>
      <c r="AI7" s="440"/>
      <c r="AJ7" s="440"/>
      <c r="AK7" s="440"/>
      <c r="AL7" s="440"/>
      <c r="AM7" s="343"/>
      <c r="AN7" s="343"/>
      <c r="AO7" s="343"/>
      <c r="AP7" s="343"/>
      <c r="AQ7" s="343"/>
      <c r="AR7" s="343"/>
      <c r="AS7" s="343"/>
      <c r="AT7" s="343"/>
      <c r="AU7" s="343"/>
    </row>
    <row r="8" spans="1:47" ht="15">
      <c r="B8" s="443" t="s">
        <v>434</v>
      </c>
      <c r="C8" s="450">
        <f>INDEX(x_value,MATCH(x,x_value,1)+1)</f>
        <v>600</v>
      </c>
      <c r="D8" s="449" t="s">
        <v>427</v>
      </c>
      <c r="F8" s="446">
        <f>MATCH(x,x_value,1)+1</f>
        <v>4</v>
      </c>
      <c r="K8" s="445"/>
      <c r="L8" s="460">
        <v>600.01</v>
      </c>
      <c r="M8" s="461">
        <v>1</v>
      </c>
      <c r="N8" s="461">
        <v>1.1000000000000001</v>
      </c>
      <c r="O8" s="461"/>
      <c r="P8" s="461"/>
      <c r="Q8" s="461"/>
      <c r="R8" s="461"/>
      <c r="S8" s="343"/>
      <c r="T8" s="343"/>
      <c r="U8" s="343"/>
      <c r="V8" s="440"/>
      <c r="W8" s="440"/>
      <c r="X8" s="440"/>
      <c r="Y8" s="440"/>
      <c r="Z8" s="440"/>
      <c r="AA8" s="440"/>
      <c r="AB8" s="440"/>
      <c r="AC8" s="440"/>
      <c r="AD8" s="440"/>
      <c r="AE8" s="440"/>
      <c r="AF8" s="440"/>
      <c r="AG8" s="440"/>
      <c r="AH8" s="440"/>
      <c r="AI8" s="440"/>
      <c r="AJ8" s="440"/>
      <c r="AK8" s="440"/>
      <c r="AL8" s="440"/>
      <c r="AM8" s="343"/>
      <c r="AN8" s="343"/>
      <c r="AO8" s="343"/>
      <c r="AP8" s="343"/>
      <c r="AQ8" s="343"/>
      <c r="AR8" s="343"/>
      <c r="AS8" s="343"/>
      <c r="AT8" s="343"/>
      <c r="AU8" s="343"/>
    </row>
    <row r="9" spans="1:47" ht="15">
      <c r="B9" s="443" t="s">
        <v>435</v>
      </c>
      <c r="C9" s="450">
        <f>INDEX(y_value,MATCH(y,y_value,1))</f>
        <v>0</v>
      </c>
      <c r="D9" s="449" t="s">
        <v>427</v>
      </c>
      <c r="F9" s="446">
        <f>MATCH(y,y_value,1)</f>
        <v>1</v>
      </c>
      <c r="K9" s="445"/>
      <c r="L9" s="460">
        <v>10000</v>
      </c>
      <c r="M9" s="461">
        <v>1</v>
      </c>
      <c r="N9" s="461">
        <v>1.1000000000000001</v>
      </c>
      <c r="O9" s="461"/>
      <c r="P9" s="461"/>
      <c r="Q9" s="461"/>
      <c r="R9" s="461"/>
      <c r="S9" s="343"/>
      <c r="T9" s="343"/>
      <c r="U9" s="343"/>
      <c r="V9" s="440"/>
      <c r="W9" s="440"/>
      <c r="X9" s="440"/>
      <c r="Y9" s="440"/>
      <c r="Z9" s="440"/>
      <c r="AA9" s="440"/>
      <c r="AB9" s="440"/>
      <c r="AC9" s="440"/>
      <c r="AD9" s="440"/>
      <c r="AE9" s="440"/>
      <c r="AF9" s="440"/>
      <c r="AG9" s="440"/>
      <c r="AH9" s="440"/>
      <c r="AI9" s="440"/>
      <c r="AJ9" s="440"/>
      <c r="AK9" s="440"/>
      <c r="AL9" s="440"/>
      <c r="AM9" s="343"/>
      <c r="AN9" s="343"/>
      <c r="AO9" s="343"/>
      <c r="AP9" s="343"/>
      <c r="AQ9" s="343"/>
      <c r="AR9" s="343"/>
      <c r="AS9" s="343"/>
      <c r="AT9" s="343"/>
      <c r="AU9" s="343"/>
    </row>
    <row r="10" spans="1:47" ht="15">
      <c r="B10" s="443" t="s">
        <v>436</v>
      </c>
      <c r="C10" s="450">
        <f>INDEX(y_value,MATCH(y,y_value,1)+1)</f>
        <v>1</v>
      </c>
      <c r="D10" s="449" t="s">
        <v>427</v>
      </c>
      <c r="F10" s="446">
        <f>MATCH(y,y_value,1)+1</f>
        <v>2</v>
      </c>
      <c r="K10" s="445"/>
      <c r="L10" s="460"/>
      <c r="M10" s="461"/>
      <c r="P10" s="461"/>
      <c r="Q10" s="461"/>
      <c r="R10" s="461"/>
      <c r="S10" s="343"/>
      <c r="T10" s="343"/>
      <c r="U10" s="343"/>
      <c r="V10" s="440"/>
      <c r="W10" s="440"/>
      <c r="X10" s="440"/>
      <c r="Y10" s="440"/>
      <c r="Z10" s="440"/>
      <c r="AA10" s="440"/>
      <c r="AB10" s="440"/>
      <c r="AC10" s="440"/>
      <c r="AD10" s="440"/>
      <c r="AE10" s="440"/>
      <c r="AF10" s="440"/>
      <c r="AG10" s="440"/>
      <c r="AH10" s="440"/>
      <c r="AI10" s="440"/>
      <c r="AJ10" s="440"/>
      <c r="AK10" s="440"/>
      <c r="AL10" s="440"/>
      <c r="AM10" s="343"/>
      <c r="AN10" s="343"/>
      <c r="AO10" s="343"/>
      <c r="AP10" s="343"/>
      <c r="AQ10" s="343"/>
      <c r="AR10" s="343"/>
      <c r="AS10" s="343"/>
      <c r="AT10" s="343"/>
      <c r="AU10" s="343"/>
    </row>
    <row r="11" spans="1:47" ht="15">
      <c r="B11" s="443" t="s">
        <v>437</v>
      </c>
      <c r="C11" s="450">
        <f>INDEX(z_value,MATCH(x_1,x_value,1),MATCH(y_1,y_value,1))</f>
        <v>1</v>
      </c>
      <c r="D11" s="449" t="s">
        <v>427</v>
      </c>
      <c r="K11" s="445"/>
      <c r="L11" s="460"/>
      <c r="M11" s="461"/>
      <c r="P11" s="461"/>
      <c r="Q11" s="461"/>
      <c r="R11" s="461"/>
      <c r="S11" s="343"/>
      <c r="T11" s="343"/>
      <c r="U11" s="343"/>
      <c r="V11" s="440"/>
      <c r="W11" s="440"/>
      <c r="X11" s="440"/>
      <c r="Y11" s="440"/>
      <c r="Z11" s="440"/>
      <c r="AA11" s="440"/>
      <c r="AB11" s="440"/>
      <c r="AC11" s="440"/>
      <c r="AD11" s="440"/>
      <c r="AE11" s="440"/>
      <c r="AF11" s="440"/>
      <c r="AG11" s="440"/>
      <c r="AH11" s="440"/>
      <c r="AI11" s="440"/>
      <c r="AJ11" s="440"/>
      <c r="AK11" s="440"/>
      <c r="AL11" s="440"/>
      <c r="AM11" s="343"/>
      <c r="AN11" s="343"/>
      <c r="AO11" s="343"/>
      <c r="AP11" s="343"/>
      <c r="AQ11" s="343"/>
      <c r="AR11" s="343"/>
      <c r="AS11" s="343"/>
      <c r="AT11" s="343"/>
      <c r="AU11" s="343"/>
    </row>
    <row r="12" spans="1:47" ht="15">
      <c r="B12" s="443" t="s">
        <v>438</v>
      </c>
      <c r="C12" s="450">
        <f>INDEX(z_value,MATCH(x_1,x_value,1),MATCH(y_2,y_value,1))</f>
        <v>1.1000000000000001</v>
      </c>
      <c r="D12" s="449" t="s">
        <v>427</v>
      </c>
      <c r="K12" s="445"/>
      <c r="L12" s="460"/>
      <c r="M12" s="461"/>
      <c r="P12" s="461"/>
      <c r="Q12" s="461"/>
      <c r="R12" s="461"/>
      <c r="S12" s="343"/>
      <c r="T12" s="343"/>
      <c r="U12" s="343"/>
      <c r="V12" s="440"/>
      <c r="W12" s="440"/>
      <c r="X12" s="440"/>
      <c r="Y12" s="440"/>
      <c r="Z12" s="440"/>
      <c r="AA12" s="440"/>
      <c r="AB12" s="440"/>
      <c r="AC12" s="440"/>
      <c r="AD12" s="440"/>
      <c r="AE12" s="440"/>
      <c r="AF12" s="440"/>
      <c r="AG12" s="440"/>
      <c r="AH12" s="440"/>
      <c r="AI12" s="440"/>
      <c r="AJ12" s="440"/>
      <c r="AK12" s="440"/>
      <c r="AL12" s="440"/>
      <c r="AM12" s="343"/>
      <c r="AN12" s="343"/>
      <c r="AO12" s="343"/>
      <c r="AP12" s="343"/>
      <c r="AQ12" s="343"/>
      <c r="AR12" s="343"/>
      <c r="AS12" s="343"/>
      <c r="AT12" s="343"/>
      <c r="AU12" s="343"/>
    </row>
    <row r="13" spans="1:47" ht="15" customHeight="1">
      <c r="B13" s="443" t="s">
        <v>439</v>
      </c>
      <c r="C13" s="450">
        <f>INDEX(z_value,MATCH(x_2,x_value,1),MATCH(y_1,y_value,1))</f>
        <v>1</v>
      </c>
      <c r="D13" s="449" t="s">
        <v>427</v>
      </c>
      <c r="K13" s="445"/>
      <c r="L13" s="460"/>
      <c r="M13" s="461"/>
      <c r="N13" s="461"/>
      <c r="O13" s="461"/>
      <c r="P13" s="462"/>
      <c r="Q13" s="462"/>
      <c r="R13" s="462"/>
      <c r="W13" s="440"/>
      <c r="X13" s="440"/>
      <c r="Y13" s="440"/>
      <c r="Z13" s="440"/>
      <c r="AA13" s="440"/>
      <c r="AB13" s="440"/>
      <c r="AC13" s="440"/>
      <c r="AD13" s="440"/>
      <c r="AE13" s="440"/>
      <c r="AF13" s="440"/>
      <c r="AG13" s="440"/>
      <c r="AH13" s="440"/>
      <c r="AI13" s="440"/>
      <c r="AJ13" s="440"/>
      <c r="AK13" s="440"/>
      <c r="AL13" s="440"/>
      <c r="AM13" s="343"/>
      <c r="AN13" s="343"/>
      <c r="AO13" s="343"/>
      <c r="AP13" s="343"/>
      <c r="AQ13" s="343"/>
      <c r="AR13" s="343"/>
      <c r="AS13" s="343"/>
      <c r="AT13" s="343"/>
      <c r="AU13" s="343"/>
    </row>
    <row r="14" spans="1:47" ht="15" customHeight="1">
      <c r="B14" s="443" t="s">
        <v>440</v>
      </c>
      <c r="C14" s="450">
        <f>INDEX(z_value,MATCH(x_2,x_value,1),MATCH(y_2,y_value,1))</f>
        <v>1.1000000000000001</v>
      </c>
      <c r="D14" s="449" t="s">
        <v>427</v>
      </c>
      <c r="K14" s="445"/>
      <c r="L14" s="460"/>
      <c r="M14" s="461"/>
      <c r="N14" s="461"/>
      <c r="O14" s="461"/>
      <c r="P14" s="462"/>
      <c r="Q14" s="462"/>
      <c r="R14" s="462"/>
      <c r="W14" s="440"/>
      <c r="X14" s="440"/>
      <c r="Y14" s="440"/>
      <c r="Z14" s="440"/>
      <c r="AA14" s="440"/>
      <c r="AB14" s="440"/>
      <c r="AC14" s="440"/>
      <c r="AD14" s="440"/>
      <c r="AE14" s="440"/>
      <c r="AF14" s="440"/>
      <c r="AG14" s="440"/>
      <c r="AH14" s="440"/>
      <c r="AI14" s="440"/>
      <c r="AJ14" s="440"/>
      <c r="AK14" s="440"/>
      <c r="AL14" s="440"/>
      <c r="AM14" s="343"/>
      <c r="AN14" s="343"/>
      <c r="AO14" s="343"/>
      <c r="AP14" s="343"/>
      <c r="AQ14" s="343"/>
      <c r="AR14" s="343"/>
      <c r="AS14" s="343"/>
      <c r="AT14" s="343"/>
      <c r="AU14" s="343"/>
    </row>
    <row r="15" spans="1:47" ht="15">
      <c r="K15" s="445"/>
      <c r="L15" s="460"/>
      <c r="M15" s="463"/>
      <c r="N15" s="463"/>
      <c r="O15" s="463"/>
      <c r="P15" s="462"/>
      <c r="Q15" s="462"/>
      <c r="R15" s="462"/>
      <c r="W15" s="440"/>
      <c r="X15" s="440"/>
      <c r="Y15" s="440"/>
      <c r="Z15" s="440"/>
      <c r="AA15" s="440"/>
      <c r="AB15" s="440"/>
      <c r="AC15" s="440"/>
      <c r="AD15" s="440"/>
      <c r="AE15" s="440"/>
      <c r="AF15" s="440"/>
      <c r="AG15" s="440"/>
      <c r="AH15" s="440"/>
      <c r="AI15" s="440"/>
      <c r="AJ15" s="440"/>
      <c r="AK15" s="440"/>
      <c r="AL15" s="440"/>
      <c r="AM15" s="343"/>
      <c r="AN15" s="440"/>
      <c r="AO15" s="440"/>
      <c r="AP15" s="440"/>
      <c r="AQ15" s="440"/>
      <c r="AR15" s="440"/>
      <c r="AS15" s="440"/>
      <c r="AT15" s="440"/>
      <c r="AU15" s="440"/>
    </row>
    <row r="16" spans="1:47" ht="15">
      <c r="B16" s="445" t="s">
        <v>441</v>
      </c>
      <c r="C16" s="445"/>
      <c r="D16" s="445"/>
      <c r="E16" s="445"/>
      <c r="F16" s="445"/>
      <c r="G16" s="445"/>
      <c r="H16" s="445"/>
      <c r="I16" s="445"/>
      <c r="K16" s="445"/>
      <c r="L16" s="460"/>
      <c r="M16" s="463"/>
      <c r="N16" s="463"/>
      <c r="O16" s="463"/>
      <c r="P16" s="462"/>
      <c r="Q16" s="462"/>
      <c r="R16" s="462"/>
      <c r="W16" s="440"/>
      <c r="X16" s="440"/>
      <c r="Y16" s="440"/>
      <c r="Z16" s="440"/>
      <c r="AA16" s="440"/>
      <c r="AB16" s="440"/>
      <c r="AC16" s="440"/>
      <c r="AD16" s="440"/>
      <c r="AE16" s="440"/>
      <c r="AF16" s="440"/>
      <c r="AG16" s="440"/>
      <c r="AH16" s="440"/>
      <c r="AI16" s="440"/>
      <c r="AJ16" s="440"/>
      <c r="AK16" s="440"/>
      <c r="AL16" s="440"/>
      <c r="AM16" s="343"/>
      <c r="AN16" s="440"/>
      <c r="AO16" s="440"/>
      <c r="AP16" s="440"/>
      <c r="AQ16" s="440"/>
      <c r="AR16" s="440"/>
      <c r="AS16" s="440"/>
      <c r="AT16" s="440"/>
      <c r="AU16" s="440"/>
    </row>
    <row r="17" spans="2:47" ht="15">
      <c r="K17" s="445"/>
      <c r="L17" s="460"/>
      <c r="M17" s="461"/>
      <c r="N17" s="461"/>
      <c r="O17" s="461"/>
      <c r="P17" s="462"/>
      <c r="Q17" s="462"/>
      <c r="R17" s="462"/>
      <c r="W17" s="440"/>
      <c r="X17" s="440"/>
      <c r="Y17" s="440"/>
      <c r="Z17" s="440"/>
      <c r="AA17" s="440"/>
      <c r="AB17" s="440"/>
      <c r="AC17" s="440"/>
      <c r="AD17" s="440"/>
      <c r="AE17" s="440"/>
      <c r="AF17" s="440"/>
      <c r="AG17" s="440"/>
      <c r="AH17" s="440"/>
      <c r="AI17" s="440"/>
      <c r="AJ17" s="440"/>
      <c r="AK17" s="440"/>
      <c r="AL17" s="440"/>
      <c r="AM17" s="343"/>
      <c r="AN17" s="343"/>
      <c r="AO17" s="343"/>
      <c r="AP17" s="343"/>
      <c r="AQ17" s="343"/>
      <c r="AR17" s="343"/>
      <c r="AS17" s="343"/>
      <c r="AT17" s="343"/>
      <c r="AU17" s="343"/>
    </row>
    <row r="18" spans="2:47" ht="15">
      <c r="B18" s="453" t="s">
        <v>442</v>
      </c>
      <c r="C18" s="450"/>
      <c r="D18" s="454">
        <v>1</v>
      </c>
      <c r="E18" s="455">
        <f>x_1</f>
        <v>300.01</v>
      </c>
      <c r="F18" s="455">
        <f>y_1</f>
        <v>0</v>
      </c>
      <c r="G18" s="456">
        <f>E18*F18</f>
        <v>0</v>
      </c>
      <c r="H18" s="457" t="s">
        <v>443</v>
      </c>
      <c r="I18" s="454">
        <f>f_11</f>
        <v>1</v>
      </c>
      <c r="K18" s="445"/>
      <c r="L18" s="460"/>
      <c r="M18" s="461"/>
      <c r="N18" s="461"/>
      <c r="O18" s="461"/>
      <c r="P18" s="462"/>
      <c r="Q18" s="462"/>
      <c r="R18" s="462"/>
      <c r="W18" s="440"/>
      <c r="X18" s="440"/>
      <c r="Y18" s="440"/>
      <c r="Z18" s="440"/>
      <c r="AA18" s="440"/>
      <c r="AB18" s="440"/>
      <c r="AC18" s="440"/>
      <c r="AD18" s="440"/>
      <c r="AE18" s="440"/>
      <c r="AF18" s="440"/>
      <c r="AG18" s="440"/>
      <c r="AH18" s="440"/>
      <c r="AI18" s="440"/>
      <c r="AJ18" s="440"/>
      <c r="AK18" s="440"/>
      <c r="AL18" s="440"/>
      <c r="AM18" s="343"/>
      <c r="AN18" s="343"/>
      <c r="AO18" s="343"/>
      <c r="AP18" s="343"/>
      <c r="AQ18" s="343"/>
      <c r="AR18" s="343"/>
      <c r="AS18" s="343"/>
      <c r="AT18" s="343"/>
      <c r="AU18" s="343"/>
    </row>
    <row r="19" spans="2:47" ht="15">
      <c r="B19" s="453" t="s">
        <v>444</v>
      </c>
      <c r="C19" s="450"/>
      <c r="D19" s="454">
        <v>1</v>
      </c>
      <c r="E19" s="455">
        <f>x_1</f>
        <v>300.01</v>
      </c>
      <c r="F19" s="455">
        <f>y_2</f>
        <v>1</v>
      </c>
      <c r="G19" s="456">
        <f t="shared" ref="G19:G21" si="0">E19*F19</f>
        <v>300.01</v>
      </c>
      <c r="H19" s="450"/>
      <c r="I19" s="454">
        <f>f_12</f>
        <v>1.1000000000000001</v>
      </c>
      <c r="K19" s="445"/>
      <c r="L19" s="459"/>
      <c r="M19" s="463"/>
      <c r="N19" s="463"/>
      <c r="O19" s="463"/>
      <c r="P19" s="462"/>
      <c r="Q19" s="462"/>
      <c r="R19" s="462"/>
      <c r="W19" s="440"/>
      <c r="X19" s="440"/>
      <c r="Y19" s="440"/>
      <c r="Z19" s="440"/>
      <c r="AA19" s="440"/>
      <c r="AB19" s="440"/>
      <c r="AC19" s="440"/>
      <c r="AD19" s="440"/>
      <c r="AE19" s="440"/>
      <c r="AF19" s="440"/>
      <c r="AG19" s="440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440"/>
      <c r="AU19" s="440"/>
    </row>
    <row r="20" spans="2:47" ht="15">
      <c r="B20" s="453" t="s">
        <v>445</v>
      </c>
      <c r="C20" s="450" t="s">
        <v>446</v>
      </c>
      <c r="D20" s="454">
        <v>1</v>
      </c>
      <c r="E20" s="455">
        <f>x_2</f>
        <v>600</v>
      </c>
      <c r="F20" s="455">
        <f>y_1</f>
        <v>0</v>
      </c>
      <c r="G20" s="456">
        <f t="shared" si="0"/>
        <v>0</v>
      </c>
      <c r="H20" s="450" t="s">
        <v>447</v>
      </c>
      <c r="I20" s="454">
        <f>f_21</f>
        <v>1</v>
      </c>
      <c r="K20" s="445"/>
      <c r="L20" s="459"/>
      <c r="M20" s="463"/>
      <c r="N20" s="463"/>
      <c r="O20" s="463"/>
      <c r="P20" s="462"/>
      <c r="Q20" s="462"/>
      <c r="R20" s="462"/>
      <c r="W20" s="440"/>
      <c r="X20" s="440"/>
      <c r="Y20" s="440"/>
      <c r="Z20" s="440"/>
      <c r="AA20" s="440"/>
      <c r="AB20" s="440"/>
      <c r="AC20" s="440"/>
      <c r="AD20" s="440"/>
      <c r="AE20" s="440"/>
      <c r="AF20" s="440"/>
      <c r="AG20" s="440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40"/>
    </row>
    <row r="21" spans="2:47" ht="15" customHeight="1">
      <c r="B21" s="453" t="s">
        <v>448</v>
      </c>
      <c r="C21" s="450"/>
      <c r="D21" s="454">
        <v>1</v>
      </c>
      <c r="E21" s="455">
        <f>x_2</f>
        <v>600</v>
      </c>
      <c r="F21" s="455">
        <f>y_2</f>
        <v>1</v>
      </c>
      <c r="G21" s="456">
        <f t="shared" si="0"/>
        <v>600</v>
      </c>
      <c r="H21" s="450"/>
      <c r="I21" s="454">
        <f>f_22</f>
        <v>1.1000000000000001</v>
      </c>
      <c r="K21" s="445"/>
      <c r="L21" s="452"/>
      <c r="M21" s="343"/>
      <c r="N21" s="343"/>
      <c r="P21" s="440"/>
      <c r="Q21" s="440"/>
      <c r="R21" s="440"/>
      <c r="S21" s="440"/>
      <c r="T21" s="440"/>
      <c r="U21" s="440"/>
      <c r="V21" s="440"/>
      <c r="W21" s="440"/>
      <c r="X21" s="440"/>
      <c r="Y21" s="440"/>
      <c r="Z21" s="440"/>
      <c r="AA21" s="440"/>
      <c r="AB21" s="440"/>
      <c r="AC21" s="440"/>
      <c r="AD21" s="440"/>
      <c r="AE21" s="440"/>
      <c r="AF21" s="343"/>
      <c r="AG21" s="343"/>
      <c r="AH21" s="343"/>
      <c r="AI21" s="343"/>
      <c r="AJ21" s="343"/>
      <c r="AK21" s="343"/>
      <c r="AL21" s="343"/>
      <c r="AM21" s="343"/>
      <c r="AN21" s="343"/>
    </row>
    <row r="22" spans="2:47" ht="15" customHeight="1">
      <c r="B22" s="458"/>
      <c r="C22" s="450"/>
      <c r="D22" s="450"/>
      <c r="E22" s="450"/>
      <c r="F22" s="450"/>
      <c r="G22" s="450"/>
      <c r="H22" s="450"/>
      <c r="I22" s="450"/>
      <c r="K22" s="445"/>
      <c r="L22" s="452"/>
      <c r="M22" s="343"/>
      <c r="N22" s="343"/>
      <c r="P22" s="440"/>
      <c r="Q22" s="440"/>
      <c r="R22" s="440"/>
      <c r="S22" s="440"/>
      <c r="T22" s="440"/>
      <c r="U22" s="440"/>
      <c r="V22" s="440"/>
      <c r="W22" s="440"/>
      <c r="X22" s="440"/>
      <c r="Y22" s="440"/>
      <c r="Z22" s="440"/>
      <c r="AA22" s="440"/>
      <c r="AB22" s="440"/>
      <c r="AC22" s="440"/>
      <c r="AD22" s="440"/>
      <c r="AE22" s="440"/>
      <c r="AF22" s="343"/>
      <c r="AG22" s="343"/>
      <c r="AH22" s="343"/>
      <c r="AI22" s="343"/>
      <c r="AJ22" s="343"/>
      <c r="AK22" s="343"/>
      <c r="AL22" s="343"/>
      <c r="AM22" s="343"/>
      <c r="AN22" s="343"/>
    </row>
    <row r="23" spans="2:47" ht="15">
      <c r="B23" s="453" t="s">
        <v>442</v>
      </c>
      <c r="C23" s="450"/>
      <c r="D23" s="454">
        <f t="array" ref="D23:D26">MMULT(MINVERSE(D18:G21),I18:I21)</f>
        <v>1.0000000000000002</v>
      </c>
      <c r="E23" s="450"/>
      <c r="F23" s="454">
        <v>1</v>
      </c>
      <c r="G23" s="450"/>
      <c r="H23" s="454">
        <v>1</v>
      </c>
      <c r="I23" s="450"/>
      <c r="K23" s="445"/>
      <c r="L23" s="452"/>
      <c r="M23" s="343"/>
      <c r="N23" s="343"/>
      <c r="P23" s="440"/>
      <c r="Q23" s="440"/>
      <c r="R23" s="440"/>
      <c r="S23" s="440"/>
      <c r="T23" s="440"/>
      <c r="U23" s="440"/>
      <c r="V23" s="440"/>
      <c r="W23" s="440"/>
      <c r="X23" s="440"/>
      <c r="Y23" s="440"/>
      <c r="Z23" s="440"/>
      <c r="AA23" s="440"/>
      <c r="AB23" s="440"/>
      <c r="AC23" s="440"/>
      <c r="AD23" s="440"/>
      <c r="AE23" s="440"/>
      <c r="AF23" s="343"/>
      <c r="AG23" s="343"/>
      <c r="AH23" s="343"/>
      <c r="AI23" s="343"/>
      <c r="AJ23" s="343"/>
      <c r="AK23" s="343"/>
      <c r="AL23" s="343"/>
      <c r="AM23" s="343"/>
      <c r="AN23" s="343"/>
    </row>
    <row r="24" spans="2:47" ht="15">
      <c r="B24" s="453" t="s">
        <v>444</v>
      </c>
      <c r="C24" s="450"/>
      <c r="D24" s="454">
        <v>0</v>
      </c>
      <c r="E24" s="450"/>
      <c r="F24" s="454" t="s">
        <v>426</v>
      </c>
      <c r="G24" s="450"/>
      <c r="H24" s="454">
        <f>x</f>
        <v>541.56762934883636</v>
      </c>
      <c r="I24" s="450"/>
      <c r="K24" s="445"/>
      <c r="L24" s="452"/>
      <c r="M24" s="343"/>
      <c r="N24" s="343"/>
      <c r="P24" s="440"/>
      <c r="Q24" s="440"/>
      <c r="R24" s="440"/>
      <c r="S24" s="440"/>
      <c r="T24" s="440"/>
      <c r="U24" s="440"/>
      <c r="V24" s="440"/>
      <c r="W24" s="440"/>
      <c r="X24" s="440"/>
      <c r="Y24" s="440"/>
      <c r="Z24" s="440"/>
      <c r="AA24" s="440"/>
      <c r="AB24" s="440"/>
      <c r="AC24" s="440"/>
      <c r="AD24" s="440"/>
      <c r="AE24" s="440"/>
      <c r="AF24" s="343"/>
      <c r="AG24" s="343"/>
      <c r="AH24" s="343"/>
      <c r="AI24" s="343"/>
      <c r="AJ24" s="343"/>
      <c r="AK24" s="343"/>
      <c r="AL24" s="343"/>
      <c r="AM24" s="343"/>
      <c r="AN24" s="343"/>
    </row>
    <row r="25" spans="2:47" ht="15">
      <c r="B25" s="453" t="s">
        <v>445</v>
      </c>
      <c r="C25" s="450" t="s">
        <v>446</v>
      </c>
      <c r="D25" s="454">
        <v>0.10000000000000031</v>
      </c>
      <c r="E25" s="450"/>
      <c r="F25" s="454" t="s">
        <v>430</v>
      </c>
      <c r="G25" s="450" t="s">
        <v>446</v>
      </c>
      <c r="H25" s="454">
        <f>y</f>
        <v>0</v>
      </c>
      <c r="I25" s="450"/>
      <c r="K25" s="445"/>
      <c r="L25" s="452"/>
      <c r="M25" s="343"/>
      <c r="N25" s="343"/>
      <c r="P25" s="440"/>
      <c r="Q25" s="440"/>
      <c r="R25" s="440"/>
      <c r="S25" s="440"/>
      <c r="T25" s="440"/>
      <c r="U25" s="440"/>
      <c r="V25" s="440"/>
      <c r="W25" s="440"/>
      <c r="X25" s="440"/>
      <c r="Y25" s="440"/>
      <c r="Z25" s="440"/>
      <c r="AA25" s="440"/>
      <c r="AB25" s="440"/>
      <c r="AC25" s="440"/>
      <c r="AD25" s="440"/>
      <c r="AE25" s="440"/>
      <c r="AF25" s="343"/>
      <c r="AG25" s="343"/>
      <c r="AH25" s="343"/>
      <c r="AI25" s="343"/>
      <c r="AJ25" s="343"/>
      <c r="AK25" s="343"/>
      <c r="AL25" s="343"/>
      <c r="AM25" s="343"/>
      <c r="AN25" s="343"/>
    </row>
    <row r="26" spans="2:47" ht="15">
      <c r="B26" s="453" t="s">
        <v>448</v>
      </c>
      <c r="C26" s="450"/>
      <c r="D26" s="454">
        <v>0</v>
      </c>
      <c r="E26" s="450"/>
      <c r="F26" s="454" t="s">
        <v>449</v>
      </c>
      <c r="G26" s="450"/>
      <c r="H26" s="454">
        <f>H25*H24</f>
        <v>0</v>
      </c>
      <c r="I26" s="450"/>
      <c r="K26" s="445"/>
      <c r="L26" s="452"/>
      <c r="M26" s="343"/>
      <c r="N26" s="343"/>
      <c r="P26" s="440"/>
      <c r="Q26" s="440"/>
      <c r="R26" s="440"/>
      <c r="S26" s="440"/>
      <c r="T26" s="440"/>
      <c r="U26" s="440"/>
      <c r="V26" s="440"/>
      <c r="W26" s="440"/>
      <c r="X26" s="440"/>
      <c r="Y26" s="440"/>
      <c r="Z26" s="440"/>
      <c r="AA26" s="440"/>
      <c r="AB26" s="440"/>
      <c r="AC26" s="440"/>
      <c r="AD26" s="440"/>
      <c r="AE26" s="440"/>
      <c r="AF26" s="343"/>
      <c r="AG26" s="343"/>
      <c r="AH26" s="343"/>
      <c r="AI26" s="343"/>
      <c r="AJ26" s="343"/>
      <c r="AK26" s="343"/>
      <c r="AL26" s="343"/>
      <c r="AM26" s="343"/>
      <c r="AN26" s="343"/>
    </row>
    <row r="27" spans="2:47" ht="15">
      <c r="H27" s="450"/>
      <c r="K27" s="445"/>
      <c r="L27" s="451"/>
      <c r="M27" s="440"/>
      <c r="N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0"/>
      <c r="AC27" s="440"/>
      <c r="AD27" s="440"/>
      <c r="AE27" s="440"/>
      <c r="AF27" s="440"/>
      <c r="AG27" s="440"/>
      <c r="AH27" s="440"/>
      <c r="AI27" s="440"/>
      <c r="AJ27" s="440"/>
      <c r="AK27" s="440"/>
      <c r="AL27" s="440"/>
      <c r="AM27" s="440"/>
      <c r="AN27" s="440"/>
    </row>
    <row r="28" spans="2:47" ht="15">
      <c r="K28" s="445"/>
      <c r="L28" s="451"/>
      <c r="M28" s="343"/>
      <c r="N28" s="343"/>
      <c r="P28" s="440"/>
      <c r="Q28" s="440"/>
      <c r="R28" s="440"/>
      <c r="S28" s="440"/>
      <c r="T28" s="440"/>
      <c r="U28" s="440"/>
      <c r="V28" s="440"/>
      <c r="W28" s="440"/>
      <c r="X28" s="440"/>
      <c r="Y28" s="440"/>
      <c r="Z28" s="440"/>
      <c r="AA28" s="440"/>
      <c r="AB28" s="440"/>
      <c r="AC28" s="440"/>
      <c r="AD28" s="440"/>
      <c r="AE28" s="440"/>
      <c r="AF28" s="440"/>
      <c r="AG28" s="343"/>
      <c r="AH28" s="343"/>
      <c r="AI28" s="343"/>
      <c r="AJ28" s="343"/>
      <c r="AK28" s="343"/>
      <c r="AL28" s="343"/>
      <c r="AM28" s="343"/>
      <c r="AN28" s="343"/>
    </row>
    <row r="29" spans="2:47" ht="15">
      <c r="B29" s="445" t="s">
        <v>450</v>
      </c>
      <c r="C29" s="445"/>
      <c r="D29" s="445"/>
      <c r="E29" s="445"/>
      <c r="F29" s="445"/>
      <c r="G29" s="445"/>
      <c r="H29" s="445"/>
      <c r="I29" s="445"/>
      <c r="K29" s="445"/>
      <c r="L29" s="451"/>
      <c r="M29" s="343"/>
      <c r="N29" s="343"/>
      <c r="P29" s="440"/>
      <c r="Q29" s="440"/>
      <c r="R29" s="440"/>
      <c r="S29" s="440"/>
      <c r="T29" s="440"/>
      <c r="U29" s="440"/>
      <c r="V29" s="440"/>
      <c r="W29" s="440"/>
      <c r="X29" s="440"/>
      <c r="Y29" s="440"/>
      <c r="Z29" s="440"/>
      <c r="AA29" s="440"/>
      <c r="AB29" s="440"/>
      <c r="AC29" s="440"/>
      <c r="AD29" s="440"/>
      <c r="AE29" s="440"/>
      <c r="AF29" s="440"/>
      <c r="AG29" s="343"/>
      <c r="AH29" s="343"/>
      <c r="AI29" s="343"/>
      <c r="AJ29" s="343"/>
      <c r="AK29" s="343"/>
      <c r="AL29" s="343"/>
      <c r="AM29" s="343"/>
      <c r="AN29" s="343"/>
    </row>
    <row r="30" spans="2:47" ht="15">
      <c r="K30" s="445"/>
      <c r="L30" s="451"/>
      <c r="M30" s="343"/>
      <c r="N30" s="343"/>
      <c r="P30" s="440"/>
      <c r="Q30" s="440"/>
      <c r="R30" s="440"/>
      <c r="S30" s="440"/>
      <c r="T30" s="440"/>
      <c r="U30" s="440"/>
      <c r="V30" s="440"/>
      <c r="W30" s="440"/>
      <c r="X30" s="440"/>
      <c r="Y30" s="440"/>
      <c r="Z30" s="440"/>
      <c r="AA30" s="440"/>
      <c r="AB30" s="440"/>
      <c r="AC30" s="440"/>
      <c r="AD30" s="440"/>
      <c r="AE30" s="440"/>
      <c r="AF30" s="440"/>
      <c r="AG30" s="343"/>
      <c r="AH30" s="343"/>
      <c r="AI30" s="343"/>
      <c r="AJ30" s="343"/>
      <c r="AK30" s="343"/>
      <c r="AL30" s="343"/>
      <c r="AM30" s="343"/>
      <c r="AN30" s="343"/>
    </row>
    <row r="31" spans="2:47" ht="15">
      <c r="K31" s="445"/>
      <c r="L31" s="451"/>
      <c r="M31" s="343"/>
      <c r="N31" s="343"/>
      <c r="P31" s="440"/>
      <c r="Q31" s="440"/>
      <c r="R31" s="440"/>
      <c r="S31" s="440"/>
      <c r="T31" s="440"/>
      <c r="U31" s="440"/>
      <c r="V31" s="440"/>
      <c r="W31" s="440"/>
      <c r="X31" s="440"/>
      <c r="Y31" s="440"/>
      <c r="Z31" s="440"/>
      <c r="AA31" s="440"/>
      <c r="AB31" s="440"/>
      <c r="AC31" s="440"/>
      <c r="AD31" s="440"/>
      <c r="AE31" s="440"/>
      <c r="AF31" s="440"/>
      <c r="AG31" s="343"/>
      <c r="AH31" s="343"/>
      <c r="AI31" s="343"/>
      <c r="AJ31" s="343"/>
      <c r="AK31" s="343"/>
      <c r="AL31" s="343"/>
      <c r="AM31" s="343"/>
      <c r="AN31" s="343"/>
    </row>
    <row r="32" spans="2:47" ht="15">
      <c r="K32" s="445"/>
      <c r="L32" s="451"/>
      <c r="M32" s="343"/>
      <c r="N32" s="343"/>
      <c r="P32" s="440"/>
      <c r="Q32" s="440"/>
      <c r="R32" s="440"/>
      <c r="S32" s="440"/>
      <c r="T32" s="440"/>
      <c r="U32" s="440"/>
      <c r="V32" s="440"/>
      <c r="W32" s="440"/>
      <c r="X32" s="440"/>
      <c r="Y32" s="440"/>
      <c r="Z32" s="440"/>
      <c r="AA32" s="440"/>
      <c r="AB32" s="440"/>
      <c r="AC32" s="440"/>
      <c r="AD32" s="440"/>
      <c r="AE32" s="440"/>
      <c r="AF32" s="440"/>
      <c r="AG32" s="343"/>
      <c r="AH32" s="343"/>
      <c r="AI32" s="343"/>
      <c r="AJ32" s="343"/>
      <c r="AK32" s="343"/>
      <c r="AL32" s="343"/>
      <c r="AM32" s="343"/>
      <c r="AN32" s="343"/>
    </row>
    <row r="33" spans="1:40" ht="15">
      <c r="A33" s="497"/>
      <c r="B33" s="497"/>
      <c r="C33" s="497"/>
      <c r="D33" s="497"/>
      <c r="E33" s="497"/>
      <c r="F33" s="497"/>
      <c r="G33" s="497"/>
      <c r="H33" s="497"/>
      <c r="I33" s="497"/>
      <c r="J33" s="497"/>
      <c r="K33" s="445"/>
      <c r="L33" s="451"/>
      <c r="M33" s="343"/>
      <c r="N33" s="343"/>
      <c r="O33" s="440"/>
      <c r="P33" s="440"/>
      <c r="Q33" s="440"/>
      <c r="R33" s="440"/>
      <c r="S33" s="440"/>
      <c r="T33" s="440"/>
      <c r="U33" s="440"/>
      <c r="V33" s="440"/>
      <c r="W33" s="440"/>
      <c r="X33" s="440"/>
      <c r="Y33" s="440"/>
      <c r="Z33" s="440"/>
      <c r="AA33" s="440"/>
      <c r="AB33" s="440"/>
      <c r="AC33" s="440"/>
      <c r="AD33" s="440"/>
      <c r="AE33" s="440"/>
      <c r="AF33" s="440"/>
      <c r="AG33" s="343"/>
      <c r="AH33" s="343"/>
      <c r="AI33" s="343"/>
      <c r="AJ33" s="343"/>
      <c r="AK33" s="343"/>
      <c r="AL33" s="343"/>
      <c r="AM33" s="343"/>
      <c r="AN33" s="343"/>
    </row>
    <row r="34" spans="1:40" ht="15">
      <c r="K34" s="445"/>
      <c r="L34" s="451"/>
      <c r="M34" s="440"/>
      <c r="N34" s="440"/>
      <c r="O34" s="440"/>
      <c r="P34" s="440"/>
      <c r="Q34" s="440"/>
      <c r="R34" s="440"/>
      <c r="S34" s="440"/>
      <c r="T34" s="440"/>
      <c r="U34" s="440"/>
      <c r="V34" s="440"/>
      <c r="W34" s="440"/>
      <c r="X34" s="440"/>
      <c r="Y34" s="440"/>
      <c r="Z34" s="440"/>
      <c r="AA34" s="440"/>
      <c r="AB34" s="440"/>
      <c r="AC34" s="440"/>
      <c r="AD34" s="440"/>
      <c r="AE34" s="440"/>
      <c r="AF34" s="440"/>
      <c r="AG34" s="440"/>
      <c r="AH34" s="440"/>
      <c r="AI34" s="440"/>
      <c r="AJ34" s="440"/>
      <c r="AK34" s="440"/>
      <c r="AL34" s="440"/>
      <c r="AM34" s="440"/>
      <c r="AN34" s="440"/>
    </row>
    <row r="35" spans="1:40" ht="15">
      <c r="K35" s="445"/>
      <c r="L35" s="451"/>
      <c r="M35" s="440"/>
      <c r="N35" s="440"/>
      <c r="O35" s="440"/>
      <c r="P35" s="440"/>
      <c r="Q35" s="440"/>
      <c r="R35" s="440"/>
      <c r="S35" s="440"/>
      <c r="T35" s="440"/>
      <c r="U35" s="440"/>
      <c r="V35" s="440"/>
      <c r="W35" s="440"/>
      <c r="X35" s="440"/>
      <c r="Y35" s="440"/>
      <c r="Z35" s="440"/>
      <c r="AA35" s="440"/>
      <c r="AB35" s="440"/>
      <c r="AC35" s="440"/>
      <c r="AD35" s="440"/>
      <c r="AE35" s="440"/>
      <c r="AF35" s="440"/>
      <c r="AG35" s="440"/>
      <c r="AH35" s="440"/>
      <c r="AI35" s="440"/>
      <c r="AJ35" s="440"/>
      <c r="AK35" s="440"/>
      <c r="AL35" s="440"/>
      <c r="AM35" s="440"/>
      <c r="AN35" s="440"/>
    </row>
    <row r="36" spans="1:40" ht="15">
      <c r="A36" s="497"/>
      <c r="B36" s="497"/>
      <c r="C36" s="497"/>
      <c r="D36" s="497"/>
      <c r="E36" s="497"/>
      <c r="F36" s="497"/>
      <c r="G36" s="497"/>
      <c r="H36" s="497"/>
      <c r="I36" s="497"/>
      <c r="J36" s="497"/>
      <c r="K36" s="445"/>
      <c r="L36" s="451"/>
      <c r="M36" s="440"/>
      <c r="N36" s="440"/>
      <c r="O36" s="440"/>
      <c r="P36" s="440"/>
      <c r="Q36" s="440"/>
      <c r="R36" s="440"/>
      <c r="S36" s="440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  <c r="AG36" s="440"/>
      <c r="AH36" s="440"/>
      <c r="AI36" s="440"/>
      <c r="AJ36" s="440"/>
      <c r="AK36" s="440"/>
      <c r="AL36" s="440"/>
      <c r="AM36" s="440"/>
      <c r="AN36" s="440"/>
    </row>
    <row r="37" spans="1:40" ht="15">
      <c r="K37" s="445"/>
      <c r="L37" s="451"/>
      <c r="M37" s="440"/>
      <c r="N37" s="440"/>
      <c r="O37" s="440"/>
      <c r="P37" s="440"/>
      <c r="Q37" s="440"/>
      <c r="R37" s="440"/>
      <c r="S37" s="440"/>
      <c r="T37" s="440"/>
      <c r="U37" s="440"/>
      <c r="V37" s="440"/>
      <c r="W37" s="440"/>
      <c r="X37" s="440"/>
      <c r="Y37" s="440"/>
      <c r="Z37" s="440"/>
      <c r="AA37" s="440"/>
      <c r="AB37" s="440"/>
      <c r="AC37" s="440"/>
      <c r="AD37" s="440"/>
      <c r="AE37" s="440"/>
      <c r="AF37" s="440"/>
      <c r="AG37" s="440"/>
      <c r="AH37" s="440"/>
      <c r="AI37" s="440"/>
      <c r="AJ37" s="440"/>
      <c r="AK37" s="440"/>
      <c r="AL37" s="440"/>
      <c r="AM37" s="440"/>
      <c r="AN37" s="440"/>
    </row>
    <row r="38" spans="1:40" ht="15">
      <c r="K38" s="445"/>
      <c r="L38" s="451"/>
    </row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>
    <tabColor rgb="FF002060"/>
  </sheetPr>
  <dimension ref="A1:AU38"/>
  <sheetViews>
    <sheetView workbookViewId="0">
      <selection activeCell="O6" sqref="O6"/>
    </sheetView>
  </sheetViews>
  <sheetFormatPr defaultRowHeight="12.75"/>
  <cols>
    <col min="1" max="10" width="9.140625" style="443"/>
    <col min="11" max="11" width="9.140625" style="497"/>
    <col min="12" max="12" width="10.5703125" style="497" bestFit="1" customWidth="1"/>
    <col min="13" max="18" width="9.28515625" style="497" bestFit="1" customWidth="1"/>
    <col min="19" max="16384" width="9.140625" style="497"/>
  </cols>
  <sheetData>
    <row r="1" spans="1:47" s="443" customFormat="1" ht="23.25">
      <c r="A1" s="495" t="s">
        <v>615</v>
      </c>
      <c r="L1" s="496" t="s">
        <v>597</v>
      </c>
      <c r="M1" s="519" t="s">
        <v>598</v>
      </c>
    </row>
    <row r="2" spans="1:47" ht="15">
      <c r="B2" s="445" t="s">
        <v>421</v>
      </c>
      <c r="C2" s="445"/>
      <c r="D2" s="445"/>
      <c r="E2" s="446" t="s">
        <v>422</v>
      </c>
      <c r="F2" s="446" t="s">
        <v>423</v>
      </c>
      <c r="G2" s="445" t="s">
        <v>424</v>
      </c>
      <c r="H2" s="445"/>
      <c r="I2" s="445"/>
      <c r="K2" s="447" t="s">
        <v>425</v>
      </c>
      <c r="L2" s="447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  <c r="X2" s="445"/>
      <c r="Y2" s="445"/>
      <c r="Z2" s="445"/>
      <c r="AA2" s="445"/>
      <c r="AB2" s="445"/>
      <c r="AC2" s="445"/>
      <c r="AD2" s="445"/>
      <c r="AE2" s="445"/>
      <c r="AF2" s="445"/>
      <c r="AG2" s="445"/>
      <c r="AH2" s="445"/>
      <c r="AI2" s="445"/>
      <c r="AJ2" s="445"/>
      <c r="AK2" s="445"/>
      <c r="AL2" s="445"/>
      <c r="AM2" s="445"/>
      <c r="AN2" s="445"/>
      <c r="AO2" s="445"/>
      <c r="AP2" s="445"/>
      <c r="AQ2" s="445"/>
      <c r="AR2" s="445"/>
      <c r="AS2" s="445"/>
      <c r="AT2" s="445"/>
      <c r="AU2" s="445"/>
    </row>
    <row r="3" spans="1:47" ht="15">
      <c r="B3" s="443" t="s">
        <v>426</v>
      </c>
      <c r="C3" s="448">
        <v>217.26688621904472</v>
      </c>
      <c r="D3" s="449" t="s">
        <v>427</v>
      </c>
      <c r="E3" s="446">
        <f>MIN(x_value)</f>
        <v>0</v>
      </c>
      <c r="F3" s="446">
        <f>MAX(x_value)</f>
        <v>10000</v>
      </c>
      <c r="G3" s="443" t="s">
        <v>428</v>
      </c>
      <c r="H3" s="450">
        <f>SUMPRODUCT(D23:D26,H23:H26)</f>
        <v>1.1000000000000001</v>
      </c>
      <c r="I3" s="449" t="s">
        <v>427</v>
      </c>
      <c r="K3" s="447"/>
      <c r="L3" s="459" t="s">
        <v>429</v>
      </c>
      <c r="M3" s="460">
        <v>0</v>
      </c>
      <c r="N3" s="460">
        <v>1</v>
      </c>
      <c r="O3" s="460"/>
      <c r="P3" s="460"/>
      <c r="Q3" s="460"/>
      <c r="R3" s="460"/>
      <c r="S3" s="452"/>
      <c r="T3" s="452"/>
      <c r="U3" s="452"/>
      <c r="V3" s="451"/>
      <c r="W3" s="451"/>
      <c r="X3" s="451"/>
      <c r="Y3" s="451"/>
      <c r="Z3" s="451"/>
      <c r="AA3" s="451"/>
      <c r="AB3" s="451"/>
      <c r="AC3" s="451"/>
      <c r="AD3" s="451"/>
      <c r="AE3" s="451"/>
      <c r="AF3" s="451"/>
      <c r="AG3" s="451"/>
      <c r="AH3" s="451"/>
      <c r="AI3" s="451"/>
      <c r="AJ3" s="451"/>
      <c r="AK3" s="451"/>
      <c r="AL3" s="451"/>
      <c r="AM3" s="451"/>
      <c r="AN3" s="452"/>
      <c r="AO3" s="452"/>
      <c r="AP3" s="452"/>
      <c r="AQ3" s="452"/>
      <c r="AR3" s="452"/>
      <c r="AS3" s="452"/>
      <c r="AT3" s="452"/>
      <c r="AU3" s="452"/>
    </row>
    <row r="4" spans="1:47" ht="15">
      <c r="B4" s="443" t="s">
        <v>430</v>
      </c>
      <c r="C4" s="448">
        <v>0</v>
      </c>
      <c r="D4" s="449" t="s">
        <v>427</v>
      </c>
      <c r="E4" s="446">
        <f>MIN(y_value)</f>
        <v>0</v>
      </c>
      <c r="F4" s="446">
        <f>MAX(y_value)</f>
        <v>1</v>
      </c>
      <c r="K4" s="445"/>
      <c r="L4" s="460">
        <v>0</v>
      </c>
      <c r="M4" s="461">
        <v>1.1000000000000001</v>
      </c>
      <c r="N4" s="461">
        <v>1.8</v>
      </c>
      <c r="O4" s="461"/>
      <c r="P4" s="461"/>
      <c r="Q4" s="461"/>
      <c r="R4" s="461"/>
      <c r="S4" s="343"/>
      <c r="T4" s="343"/>
      <c r="U4" s="343"/>
      <c r="V4" s="440"/>
      <c r="W4" s="440"/>
      <c r="X4" s="440"/>
      <c r="Y4" s="440"/>
      <c r="Z4" s="440"/>
      <c r="AA4" s="440"/>
      <c r="AB4" s="440"/>
      <c r="AC4" s="440"/>
      <c r="AD4" s="440"/>
      <c r="AE4" s="440"/>
      <c r="AF4" s="440"/>
      <c r="AG4" s="440"/>
      <c r="AH4" s="440"/>
      <c r="AI4" s="440"/>
      <c r="AJ4" s="440"/>
      <c r="AK4" s="440"/>
      <c r="AL4" s="440"/>
      <c r="AM4" s="343"/>
      <c r="AN4" s="343"/>
      <c r="AO4" s="343"/>
      <c r="AP4" s="343"/>
      <c r="AQ4" s="343"/>
      <c r="AR4" s="343"/>
      <c r="AS4" s="343"/>
      <c r="AT4" s="343"/>
      <c r="AU4" s="343"/>
    </row>
    <row r="5" spans="1:47" ht="15">
      <c r="K5" s="445"/>
      <c r="L5" s="460">
        <v>300</v>
      </c>
      <c r="M5" s="461">
        <v>1.1000000000000001</v>
      </c>
      <c r="N5" s="461">
        <v>1.8</v>
      </c>
      <c r="O5" s="461"/>
      <c r="P5" s="461"/>
      <c r="Q5" s="461"/>
      <c r="R5" s="461"/>
      <c r="S5" s="343"/>
      <c r="T5" s="343"/>
      <c r="U5" s="343"/>
      <c r="V5" s="440"/>
      <c r="W5" s="440"/>
      <c r="X5" s="440"/>
      <c r="Y5" s="440"/>
      <c r="Z5" s="440"/>
      <c r="AA5" s="440"/>
      <c r="AB5" s="440"/>
      <c r="AC5" s="440"/>
      <c r="AD5" s="440"/>
      <c r="AE5" s="440"/>
      <c r="AF5" s="440"/>
      <c r="AG5" s="440"/>
      <c r="AH5" s="440"/>
      <c r="AI5" s="440"/>
      <c r="AJ5" s="440"/>
      <c r="AK5" s="440"/>
      <c r="AL5" s="440"/>
      <c r="AM5" s="343"/>
      <c r="AN5" s="343"/>
      <c r="AO5" s="343"/>
      <c r="AP5" s="343"/>
      <c r="AQ5" s="343"/>
      <c r="AR5" s="343"/>
      <c r="AS5" s="343"/>
      <c r="AT5" s="343"/>
      <c r="AU5" s="343"/>
    </row>
    <row r="6" spans="1:47" ht="15">
      <c r="B6" s="445" t="s">
        <v>431</v>
      </c>
      <c r="C6" s="445"/>
      <c r="D6" s="445"/>
      <c r="F6" s="446" t="s">
        <v>432</v>
      </c>
      <c r="K6" s="445"/>
      <c r="L6" s="460">
        <v>300.01</v>
      </c>
      <c r="M6" s="461">
        <v>1.1000000000000001</v>
      </c>
      <c r="N6" s="461">
        <v>1.5</v>
      </c>
      <c r="O6" s="461"/>
      <c r="P6" s="461"/>
      <c r="Q6" s="461"/>
      <c r="R6" s="461"/>
      <c r="S6" s="343"/>
      <c r="T6" s="343"/>
      <c r="U6" s="343"/>
      <c r="V6" s="440"/>
      <c r="W6" s="440"/>
      <c r="X6" s="440"/>
      <c r="Y6" s="440"/>
      <c r="Z6" s="440"/>
      <c r="AA6" s="440"/>
      <c r="AB6" s="440"/>
      <c r="AC6" s="440"/>
      <c r="AD6" s="440"/>
      <c r="AE6" s="440"/>
      <c r="AF6" s="440"/>
      <c r="AG6" s="440"/>
      <c r="AH6" s="440"/>
      <c r="AI6" s="440"/>
      <c r="AJ6" s="440"/>
      <c r="AK6" s="440"/>
      <c r="AL6" s="440"/>
      <c r="AM6" s="343"/>
      <c r="AN6" s="343"/>
      <c r="AO6" s="343"/>
      <c r="AP6" s="343"/>
      <c r="AQ6" s="343"/>
      <c r="AR6" s="343"/>
      <c r="AS6" s="343"/>
      <c r="AT6" s="343"/>
      <c r="AU6" s="343"/>
    </row>
    <row r="7" spans="1:47" ht="15">
      <c r="B7" s="443" t="s">
        <v>433</v>
      </c>
      <c r="C7" s="450">
        <f>INDEX(x_value,MATCH(x,x_value,1))</f>
        <v>0</v>
      </c>
      <c r="D7" s="449" t="s">
        <v>427</v>
      </c>
      <c r="F7" s="446">
        <f>MATCH(x,x_value,1)</f>
        <v>1</v>
      </c>
      <c r="K7" s="445"/>
      <c r="L7" s="460">
        <v>600</v>
      </c>
      <c r="M7" s="461">
        <v>1.1000000000000001</v>
      </c>
      <c r="N7" s="461">
        <v>1.5</v>
      </c>
      <c r="O7" s="461"/>
      <c r="P7" s="461"/>
      <c r="Q7" s="461"/>
      <c r="R7" s="461"/>
      <c r="S7" s="343"/>
      <c r="T7" s="343"/>
      <c r="U7" s="343"/>
      <c r="V7" s="440"/>
      <c r="W7" s="440"/>
      <c r="X7" s="440"/>
      <c r="Y7" s="440"/>
      <c r="Z7" s="440"/>
      <c r="AA7" s="440"/>
      <c r="AB7" s="440"/>
      <c r="AC7" s="440"/>
      <c r="AD7" s="440"/>
      <c r="AE7" s="440"/>
      <c r="AF7" s="440"/>
      <c r="AG7" s="440"/>
      <c r="AH7" s="440"/>
      <c r="AI7" s="440"/>
      <c r="AJ7" s="440"/>
      <c r="AK7" s="440"/>
      <c r="AL7" s="440"/>
      <c r="AM7" s="343"/>
      <c r="AN7" s="343"/>
      <c r="AO7" s="343"/>
      <c r="AP7" s="343"/>
      <c r="AQ7" s="343"/>
      <c r="AR7" s="343"/>
      <c r="AS7" s="343"/>
      <c r="AT7" s="343"/>
      <c r="AU7" s="343"/>
    </row>
    <row r="8" spans="1:47" ht="15">
      <c r="B8" s="443" t="s">
        <v>434</v>
      </c>
      <c r="C8" s="450">
        <f>INDEX(x_value,MATCH(x,x_value,1)+1)</f>
        <v>300</v>
      </c>
      <c r="D8" s="449" t="s">
        <v>427</v>
      </c>
      <c r="F8" s="446">
        <f>MATCH(x,x_value,1)+1</f>
        <v>2</v>
      </c>
      <c r="K8" s="445"/>
      <c r="L8" s="460">
        <v>600.01</v>
      </c>
      <c r="M8" s="461">
        <v>1</v>
      </c>
      <c r="N8" s="461">
        <v>1</v>
      </c>
      <c r="O8" s="461"/>
      <c r="P8" s="461"/>
      <c r="Q8" s="461"/>
      <c r="R8" s="461"/>
      <c r="S8" s="343"/>
      <c r="T8" s="343"/>
      <c r="U8" s="343"/>
      <c r="V8" s="440"/>
      <c r="W8" s="440"/>
      <c r="X8" s="440"/>
      <c r="Y8" s="440"/>
      <c r="Z8" s="440"/>
      <c r="AA8" s="440"/>
      <c r="AB8" s="440"/>
      <c r="AC8" s="440"/>
      <c r="AD8" s="440"/>
      <c r="AE8" s="440"/>
      <c r="AF8" s="440"/>
      <c r="AG8" s="440"/>
      <c r="AH8" s="440"/>
      <c r="AI8" s="440"/>
      <c r="AJ8" s="440"/>
      <c r="AK8" s="440"/>
      <c r="AL8" s="440"/>
      <c r="AM8" s="343"/>
      <c r="AN8" s="343"/>
      <c r="AO8" s="343"/>
      <c r="AP8" s="343"/>
      <c r="AQ8" s="343"/>
      <c r="AR8" s="343"/>
      <c r="AS8" s="343"/>
      <c r="AT8" s="343"/>
      <c r="AU8" s="343"/>
    </row>
    <row r="9" spans="1:47" ht="15">
      <c r="B9" s="443" t="s">
        <v>435</v>
      </c>
      <c r="C9" s="450">
        <f>INDEX(y_value,MATCH(y,y_value,1))</f>
        <v>0</v>
      </c>
      <c r="D9" s="449" t="s">
        <v>427</v>
      </c>
      <c r="F9" s="446">
        <f>MATCH(y,y_value,1)</f>
        <v>1</v>
      </c>
      <c r="K9" s="445"/>
      <c r="L9" s="460">
        <v>10000</v>
      </c>
      <c r="M9" s="461">
        <v>1</v>
      </c>
      <c r="N9" s="461">
        <v>1</v>
      </c>
      <c r="O9" s="461"/>
      <c r="R9" s="461"/>
      <c r="S9" s="343"/>
      <c r="T9" s="343"/>
      <c r="U9" s="343"/>
      <c r="V9" s="440"/>
      <c r="W9" s="440"/>
      <c r="X9" s="440"/>
      <c r="Y9" s="440"/>
      <c r="Z9" s="440"/>
      <c r="AA9" s="440"/>
      <c r="AB9" s="440"/>
      <c r="AC9" s="440"/>
      <c r="AD9" s="440"/>
      <c r="AE9" s="440"/>
      <c r="AF9" s="440"/>
      <c r="AG9" s="440"/>
      <c r="AH9" s="440"/>
      <c r="AI9" s="440"/>
      <c r="AJ9" s="440"/>
      <c r="AK9" s="440"/>
      <c r="AL9" s="440"/>
      <c r="AM9" s="343"/>
      <c r="AN9" s="343"/>
      <c r="AO9" s="343"/>
      <c r="AP9" s="343"/>
      <c r="AQ9" s="343"/>
      <c r="AR9" s="343"/>
      <c r="AS9" s="343"/>
      <c r="AT9" s="343"/>
      <c r="AU9" s="343"/>
    </row>
    <row r="10" spans="1:47" ht="15">
      <c r="B10" s="443" t="s">
        <v>436</v>
      </c>
      <c r="C10" s="450">
        <f>INDEX(y_value,MATCH(y,y_value,1)+1)</f>
        <v>1</v>
      </c>
      <c r="D10" s="449" t="s">
        <v>427</v>
      </c>
      <c r="F10" s="446">
        <f>MATCH(y,y_value,1)+1</f>
        <v>2</v>
      </c>
      <c r="K10" s="445"/>
      <c r="L10" s="460"/>
      <c r="M10" s="461"/>
      <c r="N10" s="461"/>
      <c r="O10" s="461"/>
      <c r="R10" s="461"/>
      <c r="S10" s="343"/>
      <c r="T10" s="343"/>
      <c r="U10" s="343"/>
      <c r="V10" s="440"/>
      <c r="W10" s="440"/>
      <c r="X10" s="440"/>
      <c r="Y10" s="440"/>
      <c r="Z10" s="440"/>
      <c r="AA10" s="440"/>
      <c r="AB10" s="440"/>
      <c r="AC10" s="440"/>
      <c r="AD10" s="440"/>
      <c r="AE10" s="440"/>
      <c r="AF10" s="440"/>
      <c r="AG10" s="440"/>
      <c r="AH10" s="440"/>
      <c r="AI10" s="440"/>
      <c r="AJ10" s="440"/>
      <c r="AK10" s="440"/>
      <c r="AL10" s="440"/>
      <c r="AM10" s="343"/>
      <c r="AN10" s="343"/>
      <c r="AO10" s="343"/>
      <c r="AP10" s="343"/>
      <c r="AQ10" s="343"/>
      <c r="AR10" s="343"/>
      <c r="AS10" s="343"/>
      <c r="AT10" s="343"/>
      <c r="AU10" s="343"/>
    </row>
    <row r="11" spans="1:47" ht="15">
      <c r="B11" s="443" t="s">
        <v>437</v>
      </c>
      <c r="C11" s="450">
        <f>INDEX(z_value,MATCH(x_1,x_value,1),MATCH(y_1,y_value,1))</f>
        <v>1.1000000000000001</v>
      </c>
      <c r="D11" s="449" t="s">
        <v>427</v>
      </c>
      <c r="K11" s="445"/>
      <c r="L11" s="460"/>
      <c r="M11" s="461"/>
      <c r="N11" s="461"/>
      <c r="O11" s="461"/>
      <c r="R11" s="461"/>
      <c r="S11" s="343"/>
      <c r="T11" s="343"/>
      <c r="U11" s="343"/>
      <c r="V11" s="440"/>
      <c r="W11" s="440"/>
      <c r="X11" s="440"/>
      <c r="Y11" s="440"/>
      <c r="Z11" s="440"/>
      <c r="AA11" s="440"/>
      <c r="AB11" s="440"/>
      <c r="AC11" s="440"/>
      <c r="AD11" s="440"/>
      <c r="AE11" s="440"/>
      <c r="AF11" s="440"/>
      <c r="AG11" s="440"/>
      <c r="AH11" s="440"/>
      <c r="AI11" s="440"/>
      <c r="AJ11" s="440"/>
      <c r="AK11" s="440"/>
      <c r="AL11" s="440"/>
      <c r="AM11" s="343"/>
      <c r="AN11" s="343"/>
      <c r="AO11" s="343"/>
      <c r="AP11" s="343"/>
      <c r="AQ11" s="343"/>
      <c r="AR11" s="343"/>
      <c r="AS11" s="343"/>
      <c r="AT11" s="343"/>
      <c r="AU11" s="343"/>
    </row>
    <row r="12" spans="1:47" ht="15">
      <c r="B12" s="443" t="s">
        <v>438</v>
      </c>
      <c r="C12" s="450">
        <f>INDEX(z_value,MATCH(x_1,x_value,1),MATCH(y_2,y_value,1))</f>
        <v>1.8</v>
      </c>
      <c r="D12" s="449" t="s">
        <v>427</v>
      </c>
      <c r="K12" s="445"/>
      <c r="L12" s="460"/>
      <c r="M12" s="461"/>
      <c r="N12" s="461"/>
      <c r="O12" s="461"/>
      <c r="P12" s="461"/>
      <c r="Q12" s="461"/>
      <c r="R12" s="461"/>
      <c r="S12" s="343"/>
      <c r="T12" s="343"/>
      <c r="U12" s="343"/>
      <c r="V12" s="440"/>
      <c r="W12" s="440"/>
      <c r="X12" s="440"/>
      <c r="Y12" s="440"/>
      <c r="Z12" s="440"/>
      <c r="AA12" s="440"/>
      <c r="AB12" s="440"/>
      <c r="AC12" s="440"/>
      <c r="AD12" s="440"/>
      <c r="AE12" s="440"/>
      <c r="AF12" s="440"/>
      <c r="AG12" s="440"/>
      <c r="AH12" s="440"/>
      <c r="AI12" s="440"/>
      <c r="AJ12" s="440"/>
      <c r="AK12" s="440"/>
      <c r="AL12" s="440"/>
      <c r="AM12" s="343"/>
      <c r="AN12" s="343"/>
      <c r="AO12" s="343"/>
      <c r="AP12" s="343"/>
      <c r="AQ12" s="343"/>
      <c r="AR12" s="343"/>
      <c r="AS12" s="343"/>
      <c r="AT12" s="343"/>
      <c r="AU12" s="343"/>
    </row>
    <row r="13" spans="1:47" ht="15" customHeight="1">
      <c r="B13" s="443" t="s">
        <v>439</v>
      </c>
      <c r="C13" s="450">
        <f>INDEX(z_value,MATCH(x_2,x_value,1),MATCH(y_1,y_value,1))</f>
        <v>1.1000000000000001</v>
      </c>
      <c r="D13" s="449" t="s">
        <v>427</v>
      </c>
      <c r="K13" s="445"/>
      <c r="L13" s="460"/>
      <c r="M13" s="461"/>
      <c r="N13" s="461"/>
      <c r="O13" s="461"/>
      <c r="P13" s="462"/>
      <c r="Q13" s="462"/>
      <c r="R13" s="462"/>
      <c r="W13" s="440"/>
      <c r="X13" s="440"/>
      <c r="Y13" s="440"/>
      <c r="Z13" s="440"/>
      <c r="AA13" s="440"/>
      <c r="AB13" s="440"/>
      <c r="AC13" s="440"/>
      <c r="AD13" s="440"/>
      <c r="AE13" s="440"/>
      <c r="AF13" s="440"/>
      <c r="AG13" s="440"/>
      <c r="AH13" s="440"/>
      <c r="AI13" s="440"/>
      <c r="AJ13" s="440"/>
      <c r="AK13" s="440"/>
      <c r="AL13" s="440"/>
      <c r="AM13" s="343"/>
      <c r="AN13" s="343"/>
      <c r="AO13" s="343"/>
      <c r="AP13" s="343"/>
      <c r="AQ13" s="343"/>
      <c r="AR13" s="343"/>
      <c r="AS13" s="343"/>
      <c r="AT13" s="343"/>
      <c r="AU13" s="343"/>
    </row>
    <row r="14" spans="1:47" ht="15" customHeight="1">
      <c r="B14" s="443" t="s">
        <v>440</v>
      </c>
      <c r="C14" s="450">
        <f>INDEX(z_value,MATCH(x_2,x_value,1),MATCH(y_2,y_value,1))</f>
        <v>1.8</v>
      </c>
      <c r="D14" s="449" t="s">
        <v>427</v>
      </c>
      <c r="K14" s="445"/>
      <c r="L14" s="460"/>
      <c r="M14" s="461"/>
      <c r="N14" s="461"/>
      <c r="O14" s="461"/>
      <c r="P14" s="462"/>
      <c r="Q14" s="462"/>
      <c r="R14" s="462"/>
      <c r="W14" s="440"/>
      <c r="X14" s="440"/>
      <c r="Y14" s="440"/>
      <c r="Z14" s="440"/>
      <c r="AA14" s="440"/>
      <c r="AB14" s="440"/>
      <c r="AC14" s="440"/>
      <c r="AD14" s="440"/>
      <c r="AE14" s="440"/>
      <c r="AF14" s="440"/>
      <c r="AG14" s="440"/>
      <c r="AH14" s="440"/>
      <c r="AI14" s="440"/>
      <c r="AJ14" s="440"/>
      <c r="AK14" s="440"/>
      <c r="AL14" s="440"/>
      <c r="AM14" s="343"/>
      <c r="AN14" s="343"/>
      <c r="AO14" s="343"/>
      <c r="AP14" s="343"/>
      <c r="AQ14" s="343"/>
      <c r="AR14" s="343"/>
      <c r="AS14" s="343"/>
      <c r="AT14" s="343"/>
      <c r="AU14" s="343"/>
    </row>
    <row r="15" spans="1:47" ht="15">
      <c r="K15" s="445"/>
      <c r="L15" s="460"/>
      <c r="M15" s="463"/>
      <c r="N15" s="463"/>
      <c r="O15" s="463"/>
      <c r="P15" s="462"/>
      <c r="Q15" s="462"/>
      <c r="R15" s="462"/>
      <c r="W15" s="440"/>
      <c r="X15" s="440"/>
      <c r="Y15" s="440"/>
      <c r="Z15" s="440"/>
      <c r="AA15" s="440"/>
      <c r="AB15" s="440"/>
      <c r="AC15" s="440"/>
      <c r="AD15" s="440"/>
      <c r="AE15" s="440"/>
      <c r="AF15" s="440"/>
      <c r="AG15" s="440"/>
      <c r="AH15" s="440"/>
      <c r="AI15" s="440"/>
      <c r="AJ15" s="440"/>
      <c r="AK15" s="440"/>
      <c r="AL15" s="440"/>
      <c r="AM15" s="343"/>
      <c r="AN15" s="440"/>
      <c r="AO15" s="440"/>
      <c r="AP15" s="440"/>
      <c r="AQ15" s="440"/>
      <c r="AR15" s="440"/>
      <c r="AS15" s="440"/>
      <c r="AT15" s="440"/>
      <c r="AU15" s="440"/>
    </row>
    <row r="16" spans="1:47" ht="15">
      <c r="B16" s="445" t="s">
        <v>441</v>
      </c>
      <c r="C16" s="445"/>
      <c r="D16" s="445"/>
      <c r="E16" s="445"/>
      <c r="F16" s="445"/>
      <c r="G16" s="445"/>
      <c r="H16" s="445"/>
      <c r="I16" s="445"/>
      <c r="K16" s="445"/>
      <c r="L16" s="460"/>
      <c r="M16" s="463"/>
      <c r="N16" s="463"/>
      <c r="O16" s="463"/>
      <c r="P16" s="462"/>
      <c r="Q16" s="462"/>
      <c r="R16" s="462"/>
      <c r="W16" s="440"/>
      <c r="X16" s="440"/>
      <c r="Y16" s="440"/>
      <c r="Z16" s="440"/>
      <c r="AA16" s="440"/>
      <c r="AB16" s="440"/>
      <c r="AC16" s="440"/>
      <c r="AD16" s="440"/>
      <c r="AE16" s="440"/>
      <c r="AF16" s="440"/>
      <c r="AG16" s="440"/>
      <c r="AH16" s="440"/>
      <c r="AI16" s="440"/>
      <c r="AJ16" s="440"/>
      <c r="AK16" s="440"/>
      <c r="AL16" s="440"/>
      <c r="AM16" s="343"/>
      <c r="AN16" s="440"/>
      <c r="AO16" s="440"/>
      <c r="AP16" s="440"/>
      <c r="AQ16" s="440"/>
      <c r="AR16" s="440"/>
      <c r="AS16" s="440"/>
      <c r="AT16" s="440"/>
      <c r="AU16" s="440"/>
    </row>
    <row r="17" spans="2:47" ht="15">
      <c r="K17" s="445"/>
      <c r="L17" s="460"/>
      <c r="M17" s="461"/>
      <c r="N17" s="461"/>
      <c r="O17" s="461"/>
      <c r="P17" s="462"/>
      <c r="Q17" s="462"/>
      <c r="R17" s="462"/>
      <c r="W17" s="440"/>
      <c r="X17" s="440"/>
      <c r="Y17" s="440"/>
      <c r="Z17" s="440"/>
      <c r="AA17" s="440"/>
      <c r="AB17" s="440"/>
      <c r="AC17" s="440"/>
      <c r="AD17" s="440"/>
      <c r="AE17" s="440"/>
      <c r="AF17" s="440"/>
      <c r="AG17" s="440"/>
      <c r="AH17" s="440"/>
      <c r="AI17" s="440"/>
      <c r="AJ17" s="440"/>
      <c r="AK17" s="440"/>
      <c r="AL17" s="440"/>
      <c r="AM17" s="343"/>
      <c r="AN17" s="343"/>
      <c r="AO17" s="343"/>
      <c r="AP17" s="343"/>
      <c r="AQ17" s="343"/>
      <c r="AR17" s="343"/>
      <c r="AS17" s="343"/>
      <c r="AT17" s="343"/>
      <c r="AU17" s="343"/>
    </row>
    <row r="18" spans="2:47" ht="15">
      <c r="B18" s="453" t="s">
        <v>442</v>
      </c>
      <c r="C18" s="450"/>
      <c r="D18" s="454">
        <v>1</v>
      </c>
      <c r="E18" s="455">
        <f>x_1</f>
        <v>0</v>
      </c>
      <c r="F18" s="455">
        <f>y_1</f>
        <v>0</v>
      </c>
      <c r="G18" s="456">
        <f>E18*F18</f>
        <v>0</v>
      </c>
      <c r="H18" s="457" t="s">
        <v>443</v>
      </c>
      <c r="I18" s="454">
        <f>f_11</f>
        <v>1.1000000000000001</v>
      </c>
      <c r="K18" s="445"/>
      <c r="L18" s="460"/>
      <c r="M18" s="461"/>
      <c r="N18" s="461"/>
      <c r="O18" s="461"/>
      <c r="P18" s="462"/>
      <c r="Q18" s="462"/>
      <c r="R18" s="462"/>
      <c r="W18" s="440"/>
      <c r="X18" s="440"/>
      <c r="Y18" s="440"/>
      <c r="Z18" s="440"/>
      <c r="AA18" s="440"/>
      <c r="AB18" s="440"/>
      <c r="AC18" s="440"/>
      <c r="AD18" s="440"/>
      <c r="AE18" s="440"/>
      <c r="AF18" s="440"/>
      <c r="AG18" s="440"/>
      <c r="AH18" s="440"/>
      <c r="AI18" s="440"/>
      <c r="AJ18" s="440"/>
      <c r="AK18" s="440"/>
      <c r="AL18" s="440"/>
      <c r="AM18" s="343"/>
      <c r="AN18" s="343"/>
      <c r="AO18" s="343"/>
      <c r="AP18" s="343"/>
      <c r="AQ18" s="343"/>
      <c r="AR18" s="343"/>
      <c r="AS18" s="343"/>
      <c r="AT18" s="343"/>
      <c r="AU18" s="343"/>
    </row>
    <row r="19" spans="2:47" ht="15">
      <c r="B19" s="453" t="s">
        <v>444</v>
      </c>
      <c r="C19" s="450"/>
      <c r="D19" s="454">
        <v>1</v>
      </c>
      <c r="E19" s="455">
        <f>x_1</f>
        <v>0</v>
      </c>
      <c r="F19" s="455">
        <f>y_2</f>
        <v>1</v>
      </c>
      <c r="G19" s="456">
        <f t="shared" ref="G19:G21" si="0">E19*F19</f>
        <v>0</v>
      </c>
      <c r="H19" s="450"/>
      <c r="I19" s="454">
        <f>f_12</f>
        <v>1.8</v>
      </c>
      <c r="K19" s="445"/>
      <c r="L19" s="459"/>
      <c r="M19" s="463"/>
      <c r="N19" s="463"/>
      <c r="O19" s="463"/>
      <c r="P19" s="462"/>
      <c r="Q19" s="462"/>
      <c r="R19" s="462"/>
      <c r="W19" s="440"/>
      <c r="X19" s="440"/>
      <c r="Y19" s="440"/>
      <c r="Z19" s="440"/>
      <c r="AA19" s="440"/>
      <c r="AB19" s="440"/>
      <c r="AC19" s="440"/>
      <c r="AD19" s="440"/>
      <c r="AE19" s="440"/>
      <c r="AF19" s="440"/>
      <c r="AG19" s="440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440"/>
      <c r="AU19" s="440"/>
    </row>
    <row r="20" spans="2:47" ht="15">
      <c r="B20" s="453" t="s">
        <v>445</v>
      </c>
      <c r="C20" s="450" t="s">
        <v>446</v>
      </c>
      <c r="D20" s="454">
        <v>1</v>
      </c>
      <c r="E20" s="455">
        <f>x_2</f>
        <v>300</v>
      </c>
      <c r="F20" s="455">
        <f>y_1</f>
        <v>0</v>
      </c>
      <c r="G20" s="456">
        <f t="shared" si="0"/>
        <v>0</v>
      </c>
      <c r="H20" s="450" t="s">
        <v>447</v>
      </c>
      <c r="I20" s="454">
        <f>f_21</f>
        <v>1.1000000000000001</v>
      </c>
      <c r="K20" s="445"/>
      <c r="L20" s="459"/>
      <c r="M20" s="463"/>
      <c r="N20" s="463"/>
      <c r="O20" s="463"/>
      <c r="P20" s="462"/>
      <c r="Q20" s="462"/>
      <c r="R20" s="462"/>
      <c r="W20" s="440"/>
      <c r="X20" s="440"/>
      <c r="Y20" s="440"/>
      <c r="Z20" s="440"/>
      <c r="AA20" s="440"/>
      <c r="AB20" s="440"/>
      <c r="AC20" s="440"/>
      <c r="AD20" s="440"/>
      <c r="AE20" s="440"/>
      <c r="AF20" s="440"/>
      <c r="AG20" s="440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40"/>
    </row>
    <row r="21" spans="2:47" ht="15" customHeight="1">
      <c r="B21" s="453" t="s">
        <v>448</v>
      </c>
      <c r="C21" s="450"/>
      <c r="D21" s="454">
        <v>1</v>
      </c>
      <c r="E21" s="455">
        <f>x_2</f>
        <v>300</v>
      </c>
      <c r="F21" s="455">
        <f>y_2</f>
        <v>1</v>
      </c>
      <c r="G21" s="456">
        <f t="shared" si="0"/>
        <v>300</v>
      </c>
      <c r="H21" s="450"/>
      <c r="I21" s="454">
        <f>f_22</f>
        <v>1.8</v>
      </c>
      <c r="K21" s="445"/>
      <c r="L21" s="452"/>
      <c r="M21" s="343"/>
      <c r="N21" s="343"/>
      <c r="P21" s="440"/>
      <c r="Q21" s="440"/>
      <c r="R21" s="440"/>
      <c r="S21" s="440"/>
      <c r="T21" s="440"/>
      <c r="U21" s="440"/>
      <c r="V21" s="440"/>
      <c r="W21" s="440"/>
      <c r="X21" s="440"/>
      <c r="Y21" s="440"/>
      <c r="Z21" s="440"/>
      <c r="AA21" s="440"/>
      <c r="AB21" s="440"/>
      <c r="AC21" s="440"/>
      <c r="AD21" s="440"/>
      <c r="AE21" s="440"/>
      <c r="AF21" s="343"/>
      <c r="AG21" s="343"/>
      <c r="AH21" s="343"/>
      <c r="AI21" s="343"/>
      <c r="AJ21" s="343"/>
      <c r="AK21" s="343"/>
      <c r="AL21" s="343"/>
      <c r="AM21" s="343"/>
      <c r="AN21" s="343"/>
    </row>
    <row r="22" spans="2:47" ht="15" customHeight="1">
      <c r="B22" s="458"/>
      <c r="C22" s="450"/>
      <c r="D22" s="450"/>
      <c r="E22" s="450"/>
      <c r="F22" s="450"/>
      <c r="G22" s="450"/>
      <c r="H22" s="450"/>
      <c r="I22" s="450"/>
      <c r="K22" s="445"/>
      <c r="L22" s="452"/>
      <c r="M22" s="343"/>
      <c r="N22" s="343"/>
      <c r="P22" s="440"/>
      <c r="Q22" s="440"/>
      <c r="R22" s="440"/>
      <c r="S22" s="440"/>
      <c r="T22" s="440"/>
      <c r="U22" s="440"/>
      <c r="V22" s="440"/>
      <c r="W22" s="440"/>
      <c r="X22" s="440"/>
      <c r="Y22" s="440"/>
      <c r="Z22" s="440"/>
      <c r="AA22" s="440"/>
      <c r="AB22" s="440"/>
      <c r="AC22" s="440"/>
      <c r="AD22" s="440"/>
      <c r="AE22" s="440"/>
      <c r="AF22" s="343"/>
      <c r="AG22" s="343"/>
      <c r="AH22" s="343"/>
      <c r="AI22" s="343"/>
      <c r="AJ22" s="343"/>
      <c r="AK22" s="343"/>
      <c r="AL22" s="343"/>
      <c r="AM22" s="343"/>
      <c r="AN22" s="343"/>
    </row>
    <row r="23" spans="2:47" ht="15">
      <c r="B23" s="453" t="s">
        <v>442</v>
      </c>
      <c r="C23" s="450"/>
      <c r="D23" s="454">
        <f t="array" ref="D23:D26">MMULT(MINVERSE(D18:G21),I18:I21)</f>
        <v>1.1000000000000001</v>
      </c>
      <c r="E23" s="450"/>
      <c r="F23" s="454">
        <v>1</v>
      </c>
      <c r="G23" s="450"/>
      <c r="H23" s="454">
        <v>1</v>
      </c>
      <c r="I23" s="450"/>
      <c r="K23" s="445"/>
      <c r="L23" s="452"/>
      <c r="M23" s="343"/>
      <c r="N23" s="343"/>
      <c r="P23" s="440"/>
      <c r="Q23" s="440"/>
      <c r="R23" s="440"/>
      <c r="S23" s="440"/>
      <c r="T23" s="440"/>
      <c r="U23" s="440"/>
      <c r="V23" s="440"/>
      <c r="W23" s="440"/>
      <c r="X23" s="440"/>
      <c r="Y23" s="440"/>
      <c r="Z23" s="440"/>
      <c r="AA23" s="440"/>
      <c r="AB23" s="440"/>
      <c r="AC23" s="440"/>
      <c r="AD23" s="440"/>
      <c r="AE23" s="440"/>
      <c r="AF23" s="343"/>
      <c r="AG23" s="343"/>
      <c r="AH23" s="343"/>
      <c r="AI23" s="343"/>
      <c r="AJ23" s="343"/>
      <c r="AK23" s="343"/>
      <c r="AL23" s="343"/>
      <c r="AM23" s="343"/>
      <c r="AN23" s="343"/>
    </row>
    <row r="24" spans="2:47" ht="15">
      <c r="B24" s="453" t="s">
        <v>444</v>
      </c>
      <c r="C24" s="450"/>
      <c r="D24" s="454">
        <v>0</v>
      </c>
      <c r="E24" s="450"/>
      <c r="F24" s="454" t="s">
        <v>426</v>
      </c>
      <c r="G24" s="450"/>
      <c r="H24" s="454">
        <f>x</f>
        <v>217.26688621904472</v>
      </c>
      <c r="I24" s="450"/>
      <c r="K24" s="445"/>
      <c r="L24" s="452"/>
      <c r="M24" s="343"/>
      <c r="N24" s="343"/>
      <c r="P24" s="440"/>
      <c r="Q24" s="440"/>
      <c r="R24" s="440"/>
      <c r="S24" s="440"/>
      <c r="T24" s="440"/>
      <c r="U24" s="440"/>
      <c r="V24" s="440"/>
      <c r="W24" s="440"/>
      <c r="X24" s="440"/>
      <c r="Y24" s="440"/>
      <c r="Z24" s="440"/>
      <c r="AA24" s="440"/>
      <c r="AB24" s="440"/>
      <c r="AC24" s="440"/>
      <c r="AD24" s="440"/>
      <c r="AE24" s="440"/>
      <c r="AF24" s="343"/>
      <c r="AG24" s="343"/>
      <c r="AH24" s="343"/>
      <c r="AI24" s="343"/>
      <c r="AJ24" s="343"/>
      <c r="AK24" s="343"/>
      <c r="AL24" s="343"/>
      <c r="AM24" s="343"/>
      <c r="AN24" s="343"/>
    </row>
    <row r="25" spans="2:47" ht="15">
      <c r="B25" s="453" t="s">
        <v>445</v>
      </c>
      <c r="C25" s="450" t="s">
        <v>446</v>
      </c>
      <c r="D25" s="454">
        <v>0.7</v>
      </c>
      <c r="E25" s="450"/>
      <c r="F25" s="454" t="s">
        <v>430</v>
      </c>
      <c r="G25" s="450" t="s">
        <v>446</v>
      </c>
      <c r="H25" s="454">
        <f>y</f>
        <v>0</v>
      </c>
      <c r="I25" s="450"/>
      <c r="K25" s="445"/>
      <c r="L25" s="452"/>
      <c r="M25" s="343"/>
      <c r="N25" s="343"/>
      <c r="P25" s="440"/>
      <c r="Q25" s="440"/>
      <c r="R25" s="440"/>
      <c r="S25" s="440"/>
      <c r="T25" s="440"/>
      <c r="U25" s="440"/>
      <c r="V25" s="440"/>
      <c r="W25" s="440"/>
      <c r="X25" s="440"/>
      <c r="Y25" s="440"/>
      <c r="Z25" s="440"/>
      <c r="AA25" s="440"/>
      <c r="AB25" s="440"/>
      <c r="AC25" s="440"/>
      <c r="AD25" s="440"/>
      <c r="AE25" s="440"/>
      <c r="AF25" s="343"/>
      <c r="AG25" s="343"/>
      <c r="AH25" s="343"/>
      <c r="AI25" s="343"/>
      <c r="AJ25" s="343"/>
      <c r="AK25" s="343"/>
      <c r="AL25" s="343"/>
      <c r="AM25" s="343"/>
      <c r="AN25" s="343"/>
    </row>
    <row r="26" spans="2:47" ht="15">
      <c r="B26" s="453" t="s">
        <v>448</v>
      </c>
      <c r="C26" s="450"/>
      <c r="D26" s="454">
        <v>0</v>
      </c>
      <c r="E26" s="450"/>
      <c r="F26" s="454" t="s">
        <v>449</v>
      </c>
      <c r="G26" s="450"/>
      <c r="H26" s="454">
        <f>H25*H24</f>
        <v>0</v>
      </c>
      <c r="I26" s="450"/>
      <c r="K26" s="445"/>
      <c r="L26" s="452"/>
      <c r="M26" s="343"/>
      <c r="N26" s="343"/>
      <c r="P26" s="440"/>
      <c r="Q26" s="440"/>
      <c r="R26" s="440"/>
      <c r="S26" s="440"/>
      <c r="T26" s="440"/>
      <c r="U26" s="440"/>
      <c r="V26" s="440"/>
      <c r="W26" s="440"/>
      <c r="X26" s="440"/>
      <c r="Y26" s="440"/>
      <c r="Z26" s="440"/>
      <c r="AA26" s="440"/>
      <c r="AB26" s="440"/>
      <c r="AC26" s="440"/>
      <c r="AD26" s="440"/>
      <c r="AE26" s="440"/>
      <c r="AF26" s="343"/>
      <c r="AG26" s="343"/>
      <c r="AH26" s="343"/>
      <c r="AI26" s="343"/>
      <c r="AJ26" s="343"/>
      <c r="AK26" s="343"/>
      <c r="AL26" s="343"/>
      <c r="AM26" s="343"/>
      <c r="AN26" s="343"/>
    </row>
    <row r="27" spans="2:47" ht="15">
      <c r="H27" s="450"/>
      <c r="K27" s="445"/>
      <c r="L27" s="451"/>
      <c r="M27" s="440"/>
      <c r="N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0"/>
      <c r="AC27" s="440"/>
      <c r="AD27" s="440"/>
      <c r="AE27" s="440"/>
      <c r="AF27" s="440"/>
      <c r="AG27" s="440"/>
      <c r="AH27" s="440"/>
      <c r="AI27" s="440"/>
      <c r="AJ27" s="440"/>
      <c r="AK27" s="440"/>
      <c r="AL27" s="440"/>
      <c r="AM27" s="440"/>
      <c r="AN27" s="440"/>
    </row>
    <row r="28" spans="2:47" ht="15">
      <c r="K28" s="445"/>
      <c r="L28" s="451"/>
      <c r="M28" s="343"/>
      <c r="N28" s="343"/>
      <c r="P28" s="440"/>
      <c r="Q28" s="440"/>
      <c r="R28" s="440"/>
      <c r="S28" s="440"/>
      <c r="T28" s="440"/>
      <c r="U28" s="440"/>
      <c r="V28" s="440"/>
      <c r="W28" s="440"/>
      <c r="X28" s="440"/>
      <c r="Y28" s="440"/>
      <c r="Z28" s="440"/>
      <c r="AA28" s="440"/>
      <c r="AB28" s="440"/>
      <c r="AC28" s="440"/>
      <c r="AD28" s="440"/>
      <c r="AE28" s="440"/>
      <c r="AF28" s="440"/>
      <c r="AG28" s="343"/>
      <c r="AH28" s="343"/>
      <c r="AI28" s="343"/>
      <c r="AJ28" s="343"/>
      <c r="AK28" s="343"/>
      <c r="AL28" s="343"/>
      <c r="AM28" s="343"/>
      <c r="AN28" s="343"/>
    </row>
    <row r="29" spans="2:47" ht="15">
      <c r="B29" s="445" t="s">
        <v>450</v>
      </c>
      <c r="C29" s="445"/>
      <c r="D29" s="445"/>
      <c r="E29" s="445"/>
      <c r="F29" s="445"/>
      <c r="G29" s="445"/>
      <c r="H29" s="445"/>
      <c r="I29" s="445"/>
      <c r="K29" s="445"/>
      <c r="L29" s="451"/>
      <c r="M29" s="343"/>
      <c r="N29" s="343"/>
      <c r="P29" s="440"/>
      <c r="Q29" s="440"/>
      <c r="R29" s="440"/>
      <c r="S29" s="440"/>
      <c r="T29" s="440"/>
      <c r="U29" s="440"/>
      <c r="V29" s="440"/>
      <c r="W29" s="440"/>
      <c r="X29" s="440"/>
      <c r="Y29" s="440"/>
      <c r="Z29" s="440"/>
      <c r="AA29" s="440"/>
      <c r="AB29" s="440"/>
      <c r="AC29" s="440"/>
      <c r="AD29" s="440"/>
      <c r="AE29" s="440"/>
      <c r="AF29" s="440"/>
      <c r="AG29" s="343"/>
      <c r="AH29" s="343"/>
      <c r="AI29" s="343"/>
      <c r="AJ29" s="343"/>
      <c r="AK29" s="343"/>
      <c r="AL29" s="343"/>
      <c r="AM29" s="343"/>
      <c r="AN29" s="343"/>
    </row>
    <row r="30" spans="2:47" ht="15">
      <c r="K30" s="445"/>
      <c r="L30" s="451"/>
      <c r="M30" s="343"/>
      <c r="N30" s="343"/>
      <c r="P30" s="440"/>
      <c r="Q30" s="440"/>
      <c r="R30" s="440"/>
      <c r="S30" s="440"/>
      <c r="T30" s="440"/>
      <c r="U30" s="440"/>
      <c r="V30" s="440"/>
      <c r="W30" s="440"/>
      <c r="X30" s="440"/>
      <c r="Y30" s="440"/>
      <c r="Z30" s="440"/>
      <c r="AA30" s="440"/>
      <c r="AB30" s="440"/>
      <c r="AC30" s="440"/>
      <c r="AD30" s="440"/>
      <c r="AE30" s="440"/>
      <c r="AF30" s="440"/>
      <c r="AG30" s="343"/>
      <c r="AH30" s="343"/>
      <c r="AI30" s="343"/>
      <c r="AJ30" s="343"/>
      <c r="AK30" s="343"/>
      <c r="AL30" s="343"/>
      <c r="AM30" s="343"/>
      <c r="AN30" s="343"/>
    </row>
    <row r="31" spans="2:47" ht="15">
      <c r="K31" s="445"/>
      <c r="L31" s="451"/>
      <c r="M31" s="343"/>
      <c r="N31" s="343"/>
      <c r="P31" s="440"/>
      <c r="Q31" s="440"/>
      <c r="R31" s="440"/>
      <c r="S31" s="440"/>
      <c r="T31" s="440"/>
      <c r="U31" s="440"/>
      <c r="V31" s="440"/>
      <c r="W31" s="440"/>
      <c r="X31" s="440"/>
      <c r="Y31" s="440"/>
      <c r="Z31" s="440"/>
      <c r="AA31" s="440"/>
      <c r="AB31" s="440"/>
      <c r="AC31" s="440"/>
      <c r="AD31" s="440"/>
      <c r="AE31" s="440"/>
      <c r="AF31" s="440"/>
      <c r="AG31" s="343"/>
      <c r="AH31" s="343"/>
      <c r="AI31" s="343"/>
      <c r="AJ31" s="343"/>
      <c r="AK31" s="343"/>
      <c r="AL31" s="343"/>
      <c r="AM31" s="343"/>
      <c r="AN31" s="343"/>
    </row>
    <row r="32" spans="2:47" ht="15">
      <c r="K32" s="445"/>
      <c r="L32" s="451"/>
      <c r="M32" s="343"/>
      <c r="N32" s="343"/>
      <c r="P32" s="440"/>
      <c r="Q32" s="440"/>
      <c r="R32" s="440"/>
      <c r="S32" s="440"/>
      <c r="T32" s="440"/>
      <c r="U32" s="440"/>
      <c r="V32" s="440"/>
      <c r="W32" s="440"/>
      <c r="X32" s="440"/>
      <c r="Y32" s="440"/>
      <c r="Z32" s="440"/>
      <c r="AA32" s="440"/>
      <c r="AB32" s="440"/>
      <c r="AC32" s="440"/>
      <c r="AD32" s="440"/>
      <c r="AE32" s="440"/>
      <c r="AF32" s="440"/>
      <c r="AG32" s="343"/>
      <c r="AH32" s="343"/>
      <c r="AI32" s="343"/>
      <c r="AJ32" s="343"/>
      <c r="AK32" s="343"/>
      <c r="AL32" s="343"/>
      <c r="AM32" s="343"/>
      <c r="AN32" s="343"/>
    </row>
    <row r="33" spans="1:40" ht="15">
      <c r="A33" s="497"/>
      <c r="B33" s="497"/>
      <c r="C33" s="497"/>
      <c r="D33" s="497"/>
      <c r="E33" s="497"/>
      <c r="F33" s="497"/>
      <c r="G33" s="497"/>
      <c r="H33" s="497"/>
      <c r="I33" s="497"/>
      <c r="J33" s="497"/>
      <c r="K33" s="445"/>
      <c r="L33" s="451"/>
      <c r="M33" s="343"/>
      <c r="N33" s="343"/>
      <c r="O33" s="440"/>
      <c r="P33" s="440"/>
      <c r="Q33" s="440"/>
      <c r="R33" s="440"/>
      <c r="S33" s="440"/>
      <c r="T33" s="440"/>
      <c r="U33" s="440"/>
      <c r="V33" s="440"/>
      <c r="W33" s="440"/>
      <c r="X33" s="440"/>
      <c r="Y33" s="440"/>
      <c r="Z33" s="440"/>
      <c r="AA33" s="440"/>
      <c r="AB33" s="440"/>
      <c r="AC33" s="440"/>
      <c r="AD33" s="440"/>
      <c r="AE33" s="440"/>
      <c r="AF33" s="440"/>
      <c r="AG33" s="343"/>
      <c r="AH33" s="343"/>
      <c r="AI33" s="343"/>
      <c r="AJ33" s="343"/>
      <c r="AK33" s="343"/>
      <c r="AL33" s="343"/>
      <c r="AM33" s="343"/>
      <c r="AN33" s="343"/>
    </row>
    <row r="34" spans="1:40" ht="15">
      <c r="K34" s="445"/>
      <c r="L34" s="451"/>
      <c r="M34" s="440"/>
      <c r="N34" s="440"/>
      <c r="O34" s="440"/>
      <c r="P34" s="440"/>
      <c r="Q34" s="440"/>
      <c r="R34" s="440"/>
      <c r="S34" s="440"/>
      <c r="T34" s="440"/>
      <c r="U34" s="440"/>
      <c r="V34" s="440"/>
      <c r="W34" s="440"/>
      <c r="X34" s="440"/>
      <c r="Y34" s="440"/>
      <c r="Z34" s="440"/>
      <c r="AA34" s="440"/>
      <c r="AB34" s="440"/>
      <c r="AC34" s="440"/>
      <c r="AD34" s="440"/>
      <c r="AE34" s="440"/>
      <c r="AF34" s="440"/>
      <c r="AG34" s="440"/>
      <c r="AH34" s="440"/>
      <c r="AI34" s="440"/>
      <c r="AJ34" s="440"/>
      <c r="AK34" s="440"/>
      <c r="AL34" s="440"/>
      <c r="AM34" s="440"/>
      <c r="AN34" s="440"/>
    </row>
    <row r="35" spans="1:40" ht="15">
      <c r="K35" s="445"/>
      <c r="L35" s="451"/>
      <c r="M35" s="440"/>
      <c r="N35" s="440"/>
      <c r="O35" s="440"/>
      <c r="P35" s="440"/>
      <c r="Q35" s="440"/>
      <c r="R35" s="440"/>
      <c r="S35" s="440"/>
      <c r="T35" s="440"/>
      <c r="U35" s="440"/>
      <c r="V35" s="440"/>
      <c r="W35" s="440"/>
      <c r="X35" s="440"/>
      <c r="Y35" s="440"/>
      <c r="Z35" s="440"/>
      <c r="AA35" s="440"/>
      <c r="AB35" s="440"/>
      <c r="AC35" s="440"/>
      <c r="AD35" s="440"/>
      <c r="AE35" s="440"/>
      <c r="AF35" s="440"/>
      <c r="AG35" s="440"/>
      <c r="AH35" s="440"/>
      <c r="AI35" s="440"/>
      <c r="AJ35" s="440"/>
      <c r="AK35" s="440"/>
      <c r="AL35" s="440"/>
      <c r="AM35" s="440"/>
      <c r="AN35" s="440"/>
    </row>
    <row r="36" spans="1:40" ht="15">
      <c r="A36" s="497"/>
      <c r="B36" s="497"/>
      <c r="C36" s="497"/>
      <c r="D36" s="497"/>
      <c r="E36" s="497"/>
      <c r="F36" s="497"/>
      <c r="G36" s="497"/>
      <c r="H36" s="497"/>
      <c r="I36" s="497"/>
      <c r="J36" s="497"/>
      <c r="K36" s="445"/>
      <c r="L36" s="451"/>
      <c r="M36" s="440"/>
      <c r="N36" s="440"/>
      <c r="O36" s="440"/>
      <c r="P36" s="440"/>
      <c r="Q36" s="440"/>
      <c r="R36" s="440"/>
      <c r="S36" s="440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  <c r="AG36" s="440"/>
      <c r="AH36" s="440"/>
      <c r="AI36" s="440"/>
      <c r="AJ36" s="440"/>
      <c r="AK36" s="440"/>
      <c r="AL36" s="440"/>
      <c r="AM36" s="440"/>
      <c r="AN36" s="440"/>
    </row>
    <row r="37" spans="1:40" ht="15">
      <c r="K37" s="445"/>
      <c r="L37" s="451"/>
      <c r="M37" s="440"/>
      <c r="N37" s="440"/>
      <c r="O37" s="440"/>
      <c r="P37" s="440"/>
      <c r="Q37" s="440"/>
      <c r="R37" s="440"/>
      <c r="S37" s="440"/>
      <c r="T37" s="440"/>
      <c r="U37" s="440"/>
      <c r="V37" s="440"/>
      <c r="W37" s="440"/>
      <c r="X37" s="440"/>
      <c r="Y37" s="440"/>
      <c r="Z37" s="440"/>
      <c r="AA37" s="440"/>
      <c r="AB37" s="440"/>
      <c r="AC37" s="440"/>
      <c r="AD37" s="440"/>
      <c r="AE37" s="440"/>
      <c r="AF37" s="440"/>
      <c r="AG37" s="440"/>
      <c r="AH37" s="440"/>
      <c r="AI37" s="440"/>
      <c r="AJ37" s="440"/>
      <c r="AK37" s="440"/>
      <c r="AL37" s="440"/>
      <c r="AM37" s="440"/>
      <c r="AN37" s="440"/>
    </row>
    <row r="38" spans="1:40" ht="15">
      <c r="K38" s="445"/>
      <c r="L38" s="451"/>
    </row>
  </sheetData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>
    <tabColor rgb="FF002060"/>
  </sheetPr>
  <dimension ref="A1:AU38"/>
  <sheetViews>
    <sheetView workbookViewId="0">
      <selection activeCell="O6" sqref="O6"/>
    </sheetView>
  </sheetViews>
  <sheetFormatPr defaultRowHeight="12.75"/>
  <cols>
    <col min="1" max="10" width="9.140625" style="443"/>
    <col min="11" max="11" width="9.140625" style="497"/>
    <col min="12" max="12" width="10.5703125" style="497" bestFit="1" customWidth="1"/>
    <col min="13" max="18" width="9.28515625" style="497" bestFit="1" customWidth="1"/>
    <col min="19" max="16384" width="9.140625" style="497"/>
  </cols>
  <sheetData>
    <row r="1" spans="1:47" s="443" customFormat="1" ht="23.25">
      <c r="A1" s="495" t="s">
        <v>627</v>
      </c>
      <c r="L1" s="496" t="s">
        <v>597</v>
      </c>
      <c r="M1" s="519" t="s">
        <v>598</v>
      </c>
    </row>
    <row r="2" spans="1:47" ht="15">
      <c r="B2" s="445" t="s">
        <v>421</v>
      </c>
      <c r="C2" s="445"/>
      <c r="D2" s="445"/>
      <c r="E2" s="446" t="s">
        <v>422</v>
      </c>
      <c r="F2" s="446" t="s">
        <v>423</v>
      </c>
      <c r="G2" s="445" t="s">
        <v>424</v>
      </c>
      <c r="H2" s="445"/>
      <c r="I2" s="445"/>
      <c r="K2" s="447" t="s">
        <v>425</v>
      </c>
      <c r="L2" s="447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  <c r="X2" s="445"/>
      <c r="Y2" s="445"/>
      <c r="Z2" s="445"/>
      <c r="AA2" s="445"/>
      <c r="AB2" s="445"/>
      <c r="AC2" s="445"/>
      <c r="AD2" s="445"/>
      <c r="AE2" s="445"/>
      <c r="AF2" s="445"/>
      <c r="AG2" s="445"/>
      <c r="AH2" s="445"/>
      <c r="AI2" s="445"/>
      <c r="AJ2" s="445"/>
      <c r="AK2" s="445"/>
      <c r="AL2" s="445"/>
      <c r="AM2" s="445"/>
      <c r="AN2" s="445"/>
      <c r="AO2" s="445"/>
      <c r="AP2" s="445"/>
      <c r="AQ2" s="445"/>
      <c r="AR2" s="445"/>
      <c r="AS2" s="445"/>
      <c r="AT2" s="445"/>
      <c r="AU2" s="445"/>
    </row>
    <row r="3" spans="1:47" ht="15">
      <c r="B3" s="443" t="s">
        <v>426</v>
      </c>
      <c r="C3" s="448">
        <v>541.56762934883636</v>
      </c>
      <c r="D3" s="449" t="s">
        <v>427</v>
      </c>
      <c r="E3" s="446">
        <f>MIN(x_value)</f>
        <v>0</v>
      </c>
      <c r="F3" s="446">
        <f>MAX(x_value)</f>
        <v>10000</v>
      </c>
      <c r="G3" s="443" t="s">
        <v>428</v>
      </c>
      <c r="H3" s="450">
        <f>SUMPRODUCT(D23:D26,H23:H26)</f>
        <v>1.0000000000000002</v>
      </c>
      <c r="I3" s="449" t="s">
        <v>427</v>
      </c>
      <c r="K3" s="447"/>
      <c r="L3" s="459" t="s">
        <v>429</v>
      </c>
      <c r="M3" s="460">
        <v>0</v>
      </c>
      <c r="N3" s="460">
        <v>1</v>
      </c>
      <c r="O3" s="460"/>
      <c r="P3" s="460"/>
      <c r="Q3" s="460"/>
      <c r="R3" s="460"/>
      <c r="S3" s="452"/>
      <c r="T3" s="452"/>
      <c r="U3" s="452"/>
      <c r="V3" s="451"/>
      <c r="W3" s="451"/>
      <c r="X3" s="451"/>
      <c r="Y3" s="451"/>
      <c r="Z3" s="451"/>
      <c r="AA3" s="451"/>
      <c r="AB3" s="451"/>
      <c r="AC3" s="451"/>
      <c r="AD3" s="451"/>
      <c r="AE3" s="451"/>
      <c r="AF3" s="451"/>
      <c r="AG3" s="451"/>
      <c r="AH3" s="451"/>
      <c r="AI3" s="451"/>
      <c r="AJ3" s="451"/>
      <c r="AK3" s="451"/>
      <c r="AL3" s="451"/>
      <c r="AM3" s="451"/>
      <c r="AN3" s="452"/>
      <c r="AO3" s="452"/>
      <c r="AP3" s="452"/>
      <c r="AQ3" s="452"/>
      <c r="AR3" s="452"/>
      <c r="AS3" s="452"/>
      <c r="AT3" s="452"/>
      <c r="AU3" s="452"/>
    </row>
    <row r="4" spans="1:47" ht="15">
      <c r="B4" s="443" t="s">
        <v>430</v>
      </c>
      <c r="C4" s="448">
        <v>0</v>
      </c>
      <c r="D4" s="449" t="s">
        <v>427</v>
      </c>
      <c r="E4" s="446">
        <f>MIN(y_value)</f>
        <v>0</v>
      </c>
      <c r="F4" s="446">
        <f>MAX(y_value)</f>
        <v>1</v>
      </c>
      <c r="K4" s="445"/>
      <c r="L4" s="460">
        <v>0</v>
      </c>
      <c r="M4" s="461">
        <v>1</v>
      </c>
      <c r="N4" s="461">
        <v>0.71</v>
      </c>
      <c r="O4" s="461"/>
      <c r="P4" s="461"/>
      <c r="Q4" s="461"/>
      <c r="R4" s="461"/>
      <c r="S4" s="343"/>
      <c r="T4" s="343"/>
      <c r="U4" s="343"/>
      <c r="V4" s="440"/>
      <c r="W4" s="440"/>
      <c r="X4" s="440"/>
      <c r="Y4" s="440"/>
      <c r="Z4" s="440"/>
      <c r="AA4" s="440"/>
      <c r="AB4" s="440"/>
      <c r="AC4" s="440"/>
      <c r="AD4" s="440"/>
      <c r="AE4" s="440"/>
      <c r="AF4" s="440"/>
      <c r="AG4" s="440"/>
      <c r="AH4" s="440"/>
      <c r="AI4" s="440"/>
      <c r="AJ4" s="440"/>
      <c r="AK4" s="440"/>
      <c r="AL4" s="440"/>
      <c r="AM4" s="343"/>
      <c r="AN4" s="343"/>
      <c r="AO4" s="343"/>
      <c r="AP4" s="343"/>
      <c r="AQ4" s="343"/>
      <c r="AR4" s="343"/>
      <c r="AS4" s="343"/>
      <c r="AT4" s="343"/>
      <c r="AU4" s="343"/>
    </row>
    <row r="5" spans="1:47" ht="15">
      <c r="K5" s="445"/>
      <c r="L5" s="460">
        <v>300</v>
      </c>
      <c r="M5" s="461">
        <v>1</v>
      </c>
      <c r="N5" s="461">
        <v>0.71</v>
      </c>
      <c r="O5" s="461"/>
      <c r="P5" s="461"/>
      <c r="Q5" s="461"/>
      <c r="R5" s="461"/>
      <c r="S5" s="343"/>
      <c r="T5" s="343"/>
      <c r="U5" s="343"/>
      <c r="V5" s="440"/>
      <c r="W5" s="440"/>
      <c r="X5" s="440"/>
      <c r="Y5" s="440"/>
      <c r="Z5" s="440"/>
      <c r="AA5" s="440"/>
      <c r="AB5" s="440"/>
      <c r="AC5" s="440"/>
      <c r="AD5" s="440"/>
      <c r="AE5" s="440"/>
      <c r="AF5" s="440"/>
      <c r="AG5" s="440"/>
      <c r="AH5" s="440"/>
      <c r="AI5" s="440"/>
      <c r="AJ5" s="440"/>
      <c r="AK5" s="440"/>
      <c r="AL5" s="440"/>
      <c r="AM5" s="343"/>
      <c r="AN5" s="343"/>
      <c r="AO5" s="343"/>
      <c r="AP5" s="343"/>
      <c r="AQ5" s="343"/>
      <c r="AR5" s="343"/>
      <c r="AS5" s="343"/>
      <c r="AT5" s="343"/>
      <c r="AU5" s="343"/>
    </row>
    <row r="6" spans="1:47" ht="15">
      <c r="B6" s="445" t="s">
        <v>431</v>
      </c>
      <c r="C6" s="445"/>
      <c r="D6" s="445"/>
      <c r="F6" s="446" t="s">
        <v>432</v>
      </c>
      <c r="K6" s="445"/>
      <c r="L6" s="460">
        <v>300.01</v>
      </c>
      <c r="M6" s="461">
        <v>1</v>
      </c>
      <c r="N6" s="461">
        <v>0.93</v>
      </c>
      <c r="O6" s="461"/>
      <c r="P6" s="461"/>
      <c r="Q6" s="461"/>
      <c r="R6" s="461"/>
      <c r="S6" s="343"/>
      <c r="T6" s="343"/>
      <c r="U6" s="343"/>
      <c r="V6" s="440"/>
      <c r="W6" s="440"/>
      <c r="X6" s="440"/>
      <c r="Y6" s="440"/>
      <c r="Z6" s="440"/>
      <c r="AA6" s="440"/>
      <c r="AB6" s="440"/>
      <c r="AC6" s="440"/>
      <c r="AD6" s="440"/>
      <c r="AE6" s="440"/>
      <c r="AF6" s="440"/>
      <c r="AG6" s="440"/>
      <c r="AH6" s="440"/>
      <c r="AI6" s="440"/>
      <c r="AJ6" s="440"/>
      <c r="AK6" s="440"/>
      <c r="AL6" s="440"/>
      <c r="AM6" s="343"/>
      <c r="AN6" s="343"/>
      <c r="AO6" s="343"/>
      <c r="AP6" s="343"/>
      <c r="AQ6" s="343"/>
      <c r="AR6" s="343"/>
      <c r="AS6" s="343"/>
      <c r="AT6" s="343"/>
      <c r="AU6" s="343"/>
    </row>
    <row r="7" spans="1:47" ht="15">
      <c r="B7" s="443" t="s">
        <v>433</v>
      </c>
      <c r="C7" s="450">
        <f>INDEX(x_value,MATCH(x,x_value,1))</f>
        <v>300.01</v>
      </c>
      <c r="D7" s="449" t="s">
        <v>427</v>
      </c>
      <c r="F7" s="446">
        <f>MATCH(x,x_value,1)</f>
        <v>3</v>
      </c>
      <c r="K7" s="445"/>
      <c r="L7" s="460">
        <v>600</v>
      </c>
      <c r="M7" s="461">
        <v>1</v>
      </c>
      <c r="N7" s="461">
        <v>0.93</v>
      </c>
      <c r="O7" s="461"/>
      <c r="P7" s="461"/>
      <c r="Q7" s="461"/>
      <c r="R7" s="461"/>
      <c r="S7" s="343"/>
      <c r="T7" s="343"/>
      <c r="U7" s="343"/>
      <c r="V7" s="440"/>
      <c r="W7" s="440"/>
      <c r="X7" s="440"/>
      <c r="Y7" s="440"/>
      <c r="Z7" s="440"/>
      <c r="AA7" s="440"/>
      <c r="AB7" s="440"/>
      <c r="AC7" s="440"/>
      <c r="AD7" s="440"/>
      <c r="AE7" s="440"/>
      <c r="AF7" s="440"/>
      <c r="AG7" s="440"/>
      <c r="AH7" s="440"/>
      <c r="AI7" s="440"/>
      <c r="AJ7" s="440"/>
      <c r="AK7" s="440"/>
      <c r="AL7" s="440"/>
      <c r="AM7" s="343"/>
      <c r="AN7" s="343"/>
      <c r="AO7" s="343"/>
      <c r="AP7" s="343"/>
      <c r="AQ7" s="343"/>
      <c r="AR7" s="343"/>
      <c r="AS7" s="343"/>
      <c r="AT7" s="343"/>
      <c r="AU7" s="343"/>
    </row>
    <row r="8" spans="1:47" ht="15">
      <c r="B8" s="443" t="s">
        <v>434</v>
      </c>
      <c r="C8" s="450">
        <f>INDEX(x_value,MATCH(x,x_value,1)+1)</f>
        <v>600</v>
      </c>
      <c r="D8" s="449" t="s">
        <v>427</v>
      </c>
      <c r="F8" s="446">
        <f>MATCH(x,x_value,1)+1</f>
        <v>4</v>
      </c>
      <c r="K8" s="445"/>
      <c r="L8" s="460">
        <v>600.01</v>
      </c>
      <c r="M8" s="461">
        <v>1</v>
      </c>
      <c r="N8" s="461">
        <v>0.99</v>
      </c>
      <c r="O8" s="461"/>
      <c r="P8" s="461"/>
      <c r="Q8" s="461"/>
      <c r="R8" s="461"/>
      <c r="S8" s="343"/>
      <c r="T8" s="343"/>
      <c r="U8" s="343"/>
      <c r="V8" s="440"/>
      <c r="W8" s="440"/>
      <c r="X8" s="440"/>
      <c r="Y8" s="440"/>
      <c r="Z8" s="440"/>
      <c r="AA8" s="440"/>
      <c r="AB8" s="440"/>
      <c r="AC8" s="440"/>
      <c r="AD8" s="440"/>
      <c r="AE8" s="440"/>
      <c r="AF8" s="440"/>
      <c r="AG8" s="440"/>
      <c r="AH8" s="440"/>
      <c r="AI8" s="440"/>
      <c r="AJ8" s="440"/>
      <c r="AK8" s="440"/>
      <c r="AL8" s="440"/>
      <c r="AM8" s="343"/>
      <c r="AN8" s="343"/>
      <c r="AO8" s="343"/>
      <c r="AP8" s="343"/>
      <c r="AQ8" s="343"/>
      <c r="AR8" s="343"/>
      <c r="AS8" s="343"/>
      <c r="AT8" s="343"/>
      <c r="AU8" s="343"/>
    </row>
    <row r="9" spans="1:47" ht="15">
      <c r="B9" s="443" t="s">
        <v>435</v>
      </c>
      <c r="C9" s="450">
        <f>INDEX(y_value,MATCH(y,y_value,1))</f>
        <v>0</v>
      </c>
      <c r="D9" s="449" t="s">
        <v>427</v>
      </c>
      <c r="F9" s="446">
        <f>MATCH(y,y_value,1)</f>
        <v>1</v>
      </c>
      <c r="K9" s="445"/>
      <c r="L9" s="460">
        <v>10000</v>
      </c>
      <c r="M9" s="461">
        <v>1</v>
      </c>
      <c r="N9" s="461">
        <v>0.99</v>
      </c>
      <c r="O9" s="461"/>
      <c r="R9" s="461"/>
      <c r="S9" s="343"/>
      <c r="T9" s="343"/>
      <c r="U9" s="343"/>
      <c r="V9" s="440"/>
      <c r="W9" s="440"/>
      <c r="X9" s="440"/>
      <c r="Y9" s="440"/>
      <c r="Z9" s="440"/>
      <c r="AA9" s="440"/>
      <c r="AB9" s="440"/>
      <c r="AC9" s="440"/>
      <c r="AD9" s="440"/>
      <c r="AE9" s="440"/>
      <c r="AF9" s="440"/>
      <c r="AG9" s="440"/>
      <c r="AH9" s="440"/>
      <c r="AI9" s="440"/>
      <c r="AJ9" s="440"/>
      <c r="AK9" s="440"/>
      <c r="AL9" s="440"/>
      <c r="AM9" s="343"/>
      <c r="AN9" s="343"/>
      <c r="AO9" s="343"/>
      <c r="AP9" s="343"/>
      <c r="AQ9" s="343"/>
      <c r="AR9" s="343"/>
      <c r="AS9" s="343"/>
      <c r="AT9" s="343"/>
      <c r="AU9" s="343"/>
    </row>
    <row r="10" spans="1:47" ht="15">
      <c r="B10" s="443" t="s">
        <v>436</v>
      </c>
      <c r="C10" s="450">
        <f>INDEX(y_value,MATCH(y,y_value,1)+1)</f>
        <v>1</v>
      </c>
      <c r="D10" s="449" t="s">
        <v>427</v>
      </c>
      <c r="F10" s="446">
        <f>MATCH(y,y_value,1)+1</f>
        <v>2</v>
      </c>
      <c r="K10" s="445"/>
      <c r="L10" s="460"/>
      <c r="M10" s="461"/>
      <c r="N10" s="461"/>
      <c r="O10" s="461"/>
      <c r="R10" s="461"/>
      <c r="S10" s="343"/>
      <c r="T10" s="343"/>
      <c r="U10" s="343"/>
      <c r="V10" s="440"/>
      <c r="W10" s="440"/>
      <c r="X10" s="440"/>
      <c r="Y10" s="440"/>
      <c r="Z10" s="440"/>
      <c r="AA10" s="440"/>
      <c r="AB10" s="440"/>
      <c r="AC10" s="440"/>
      <c r="AD10" s="440"/>
      <c r="AE10" s="440"/>
      <c r="AF10" s="440"/>
      <c r="AG10" s="440"/>
      <c r="AH10" s="440"/>
      <c r="AI10" s="440"/>
      <c r="AJ10" s="440"/>
      <c r="AK10" s="440"/>
      <c r="AL10" s="440"/>
      <c r="AM10" s="343"/>
      <c r="AN10" s="343"/>
      <c r="AO10" s="343"/>
      <c r="AP10" s="343"/>
      <c r="AQ10" s="343"/>
      <c r="AR10" s="343"/>
      <c r="AS10" s="343"/>
      <c r="AT10" s="343"/>
      <c r="AU10" s="343"/>
    </row>
    <row r="11" spans="1:47" ht="15">
      <c r="B11" s="443" t="s">
        <v>437</v>
      </c>
      <c r="C11" s="450">
        <f>INDEX(z_value,MATCH(x_1,x_value,1),MATCH(y_1,y_value,1))</f>
        <v>1</v>
      </c>
      <c r="D11" s="449" t="s">
        <v>427</v>
      </c>
      <c r="K11" s="445"/>
      <c r="L11" s="460"/>
      <c r="M11" s="461"/>
      <c r="N11" s="461"/>
      <c r="O11" s="461"/>
      <c r="S11" s="343"/>
      <c r="T11" s="343"/>
      <c r="U11" s="343"/>
      <c r="V11" s="440"/>
      <c r="W11" s="440"/>
      <c r="X11" s="440"/>
      <c r="Y11" s="440"/>
      <c r="Z11" s="440"/>
      <c r="AA11" s="440"/>
      <c r="AB11" s="440"/>
      <c r="AC11" s="440"/>
      <c r="AD11" s="440"/>
      <c r="AE11" s="440"/>
      <c r="AF11" s="440"/>
      <c r="AG11" s="440"/>
      <c r="AH11" s="440"/>
      <c r="AI11" s="440"/>
      <c r="AJ11" s="440"/>
      <c r="AK11" s="440"/>
      <c r="AL11" s="440"/>
      <c r="AM11" s="343"/>
      <c r="AN11" s="343"/>
      <c r="AO11" s="343"/>
      <c r="AP11" s="343"/>
      <c r="AQ11" s="343"/>
      <c r="AR11" s="343"/>
      <c r="AS11" s="343"/>
      <c r="AT11" s="343"/>
      <c r="AU11" s="343"/>
    </row>
    <row r="12" spans="1:47" ht="15">
      <c r="B12" s="443" t="s">
        <v>438</v>
      </c>
      <c r="C12" s="450">
        <f>INDEX(z_value,MATCH(x_1,x_value,1),MATCH(y_2,y_value,1))</f>
        <v>0.93</v>
      </c>
      <c r="D12" s="449" t="s">
        <v>427</v>
      </c>
      <c r="K12" s="445"/>
      <c r="L12" s="460"/>
      <c r="M12" s="461"/>
      <c r="N12" s="461"/>
      <c r="O12" s="461"/>
      <c r="P12" s="461"/>
      <c r="S12" s="343"/>
      <c r="T12" s="343"/>
      <c r="U12" s="343"/>
      <c r="V12" s="440"/>
      <c r="W12" s="440"/>
      <c r="X12" s="440"/>
      <c r="Y12" s="440"/>
      <c r="Z12" s="440"/>
      <c r="AA12" s="440"/>
      <c r="AB12" s="440"/>
      <c r="AC12" s="440"/>
      <c r="AD12" s="440"/>
      <c r="AE12" s="440"/>
      <c r="AF12" s="440"/>
      <c r="AG12" s="440"/>
      <c r="AH12" s="440"/>
      <c r="AI12" s="440"/>
      <c r="AJ12" s="440"/>
      <c r="AK12" s="440"/>
      <c r="AL12" s="440"/>
      <c r="AM12" s="343"/>
      <c r="AN12" s="343"/>
      <c r="AO12" s="343"/>
      <c r="AP12" s="343"/>
      <c r="AQ12" s="343"/>
      <c r="AR12" s="343"/>
      <c r="AS12" s="343"/>
      <c r="AT12" s="343"/>
      <c r="AU12" s="343"/>
    </row>
    <row r="13" spans="1:47" ht="15" customHeight="1">
      <c r="B13" s="443" t="s">
        <v>439</v>
      </c>
      <c r="C13" s="450">
        <f>INDEX(z_value,MATCH(x_2,x_value,1),MATCH(y_1,y_value,1))</f>
        <v>1</v>
      </c>
      <c r="D13" s="449" t="s">
        <v>427</v>
      </c>
      <c r="K13" s="445"/>
      <c r="L13" s="460"/>
      <c r="M13" s="461"/>
      <c r="N13" s="461"/>
      <c r="O13" s="461"/>
      <c r="P13" s="462"/>
      <c r="Q13" s="462"/>
      <c r="R13" s="462"/>
      <c r="W13" s="440"/>
      <c r="X13" s="440"/>
      <c r="Y13" s="440"/>
      <c r="Z13" s="440"/>
      <c r="AA13" s="440"/>
      <c r="AB13" s="440"/>
      <c r="AC13" s="440"/>
      <c r="AD13" s="440"/>
      <c r="AE13" s="440"/>
      <c r="AF13" s="440"/>
      <c r="AG13" s="440"/>
      <c r="AH13" s="440"/>
      <c r="AI13" s="440"/>
      <c r="AJ13" s="440"/>
      <c r="AK13" s="440"/>
      <c r="AL13" s="440"/>
      <c r="AM13" s="343"/>
      <c r="AN13" s="343"/>
      <c r="AO13" s="343"/>
      <c r="AP13" s="343"/>
      <c r="AQ13" s="343"/>
      <c r="AR13" s="343"/>
      <c r="AS13" s="343"/>
      <c r="AT13" s="343"/>
      <c r="AU13" s="343"/>
    </row>
    <row r="14" spans="1:47" ht="15" customHeight="1">
      <c r="B14" s="443" t="s">
        <v>440</v>
      </c>
      <c r="C14" s="450">
        <f>INDEX(z_value,MATCH(x_2,x_value,1),MATCH(y_2,y_value,1))</f>
        <v>0.93</v>
      </c>
      <c r="D14" s="449" t="s">
        <v>427</v>
      </c>
      <c r="K14" s="445"/>
      <c r="L14" s="460"/>
      <c r="M14" s="461"/>
      <c r="N14" s="461"/>
      <c r="O14" s="461"/>
      <c r="P14" s="462"/>
      <c r="Q14" s="462"/>
      <c r="R14" s="462"/>
      <c r="W14" s="440"/>
      <c r="X14" s="440"/>
      <c r="Y14" s="440"/>
      <c r="Z14" s="440"/>
      <c r="AA14" s="440"/>
      <c r="AB14" s="440"/>
      <c r="AC14" s="440"/>
      <c r="AD14" s="440"/>
      <c r="AE14" s="440"/>
      <c r="AF14" s="440"/>
      <c r="AG14" s="440"/>
      <c r="AH14" s="440"/>
      <c r="AI14" s="440"/>
      <c r="AJ14" s="440"/>
      <c r="AK14" s="440"/>
      <c r="AL14" s="440"/>
      <c r="AM14" s="343"/>
      <c r="AN14" s="343"/>
      <c r="AO14" s="343"/>
      <c r="AP14" s="343"/>
      <c r="AQ14" s="343"/>
      <c r="AR14" s="343"/>
      <c r="AS14" s="343"/>
      <c r="AT14" s="343"/>
      <c r="AU14" s="343"/>
    </row>
    <row r="15" spans="1:47" ht="15">
      <c r="K15" s="445"/>
      <c r="L15" s="460"/>
      <c r="M15" s="463"/>
      <c r="N15" s="463"/>
      <c r="O15" s="463"/>
      <c r="P15" s="462"/>
      <c r="Q15" s="462"/>
      <c r="R15" s="462"/>
      <c r="W15" s="440"/>
      <c r="X15" s="440"/>
      <c r="Y15" s="440"/>
      <c r="Z15" s="440"/>
      <c r="AA15" s="440"/>
      <c r="AB15" s="440"/>
      <c r="AC15" s="440"/>
      <c r="AD15" s="440"/>
      <c r="AE15" s="440"/>
      <c r="AF15" s="440"/>
      <c r="AG15" s="440"/>
      <c r="AH15" s="440"/>
      <c r="AI15" s="440"/>
      <c r="AJ15" s="440"/>
      <c r="AK15" s="440"/>
      <c r="AL15" s="440"/>
      <c r="AM15" s="343"/>
      <c r="AN15" s="440"/>
      <c r="AO15" s="440"/>
      <c r="AP15" s="440"/>
      <c r="AQ15" s="440"/>
      <c r="AR15" s="440"/>
      <c r="AS15" s="440"/>
      <c r="AT15" s="440"/>
      <c r="AU15" s="440"/>
    </row>
    <row r="16" spans="1:47" ht="15">
      <c r="B16" s="445" t="s">
        <v>441</v>
      </c>
      <c r="C16" s="445"/>
      <c r="D16" s="445"/>
      <c r="E16" s="445"/>
      <c r="F16" s="445"/>
      <c r="G16" s="445"/>
      <c r="H16" s="445"/>
      <c r="I16" s="445"/>
      <c r="K16" s="445"/>
      <c r="L16" s="460"/>
      <c r="M16" s="463"/>
      <c r="N16" s="463"/>
      <c r="O16" s="463"/>
      <c r="P16" s="462"/>
      <c r="Q16" s="462"/>
      <c r="R16" s="462"/>
      <c r="W16" s="440"/>
      <c r="X16" s="440"/>
      <c r="Y16" s="440"/>
      <c r="Z16" s="440"/>
      <c r="AA16" s="440"/>
      <c r="AB16" s="440"/>
      <c r="AC16" s="440"/>
      <c r="AD16" s="440"/>
      <c r="AE16" s="440"/>
      <c r="AF16" s="440"/>
      <c r="AG16" s="440"/>
      <c r="AH16" s="440"/>
      <c r="AI16" s="440"/>
      <c r="AJ16" s="440"/>
      <c r="AK16" s="440"/>
      <c r="AL16" s="440"/>
      <c r="AM16" s="343"/>
      <c r="AN16" s="440"/>
      <c r="AO16" s="440"/>
      <c r="AP16" s="440"/>
      <c r="AQ16" s="440"/>
      <c r="AR16" s="440"/>
      <c r="AS16" s="440"/>
      <c r="AT16" s="440"/>
      <c r="AU16" s="440"/>
    </row>
    <row r="17" spans="2:47" ht="15">
      <c r="K17" s="445"/>
      <c r="L17" s="460"/>
      <c r="M17" s="461"/>
      <c r="N17" s="461"/>
      <c r="O17" s="461"/>
      <c r="P17" s="462"/>
      <c r="Q17" s="462"/>
      <c r="R17" s="462"/>
      <c r="W17" s="440"/>
      <c r="X17" s="440"/>
      <c r="Y17" s="440"/>
      <c r="Z17" s="440"/>
      <c r="AA17" s="440"/>
      <c r="AB17" s="440"/>
      <c r="AC17" s="440"/>
      <c r="AD17" s="440"/>
      <c r="AE17" s="440"/>
      <c r="AF17" s="440"/>
      <c r="AG17" s="440"/>
      <c r="AH17" s="440"/>
      <c r="AI17" s="440"/>
      <c r="AJ17" s="440"/>
      <c r="AK17" s="440"/>
      <c r="AL17" s="440"/>
      <c r="AM17" s="343"/>
      <c r="AN17" s="343"/>
      <c r="AO17" s="343"/>
      <c r="AP17" s="343"/>
      <c r="AQ17" s="343"/>
      <c r="AR17" s="343"/>
      <c r="AS17" s="343"/>
      <c r="AT17" s="343"/>
      <c r="AU17" s="343"/>
    </row>
    <row r="18" spans="2:47" ht="15">
      <c r="B18" s="453" t="s">
        <v>442</v>
      </c>
      <c r="C18" s="450"/>
      <c r="D18" s="454">
        <v>1</v>
      </c>
      <c r="E18" s="455">
        <f>x_1</f>
        <v>300.01</v>
      </c>
      <c r="F18" s="455">
        <f>y_1</f>
        <v>0</v>
      </c>
      <c r="G18" s="456">
        <f>E18*F18</f>
        <v>0</v>
      </c>
      <c r="H18" s="457" t="s">
        <v>443</v>
      </c>
      <c r="I18" s="454">
        <f>f_11</f>
        <v>1</v>
      </c>
      <c r="K18" s="445"/>
      <c r="L18" s="460"/>
      <c r="M18" s="461"/>
      <c r="N18" s="461"/>
      <c r="O18" s="461"/>
      <c r="P18" s="462"/>
      <c r="Q18" s="462"/>
      <c r="R18" s="462"/>
      <c r="W18" s="440"/>
      <c r="X18" s="440"/>
      <c r="Y18" s="440"/>
      <c r="Z18" s="440"/>
      <c r="AA18" s="440"/>
      <c r="AB18" s="440"/>
      <c r="AC18" s="440"/>
      <c r="AD18" s="440"/>
      <c r="AE18" s="440"/>
      <c r="AF18" s="440"/>
      <c r="AG18" s="440"/>
      <c r="AH18" s="440"/>
      <c r="AI18" s="440"/>
      <c r="AJ18" s="440"/>
      <c r="AK18" s="440"/>
      <c r="AL18" s="440"/>
      <c r="AM18" s="343"/>
      <c r="AN18" s="343"/>
      <c r="AO18" s="343"/>
      <c r="AP18" s="343"/>
      <c r="AQ18" s="343"/>
      <c r="AR18" s="343"/>
      <c r="AS18" s="343"/>
      <c r="AT18" s="343"/>
      <c r="AU18" s="343"/>
    </row>
    <row r="19" spans="2:47" ht="15">
      <c r="B19" s="453" t="s">
        <v>444</v>
      </c>
      <c r="C19" s="450"/>
      <c r="D19" s="454">
        <v>1</v>
      </c>
      <c r="E19" s="455">
        <f>x_1</f>
        <v>300.01</v>
      </c>
      <c r="F19" s="455">
        <f>y_2</f>
        <v>1</v>
      </c>
      <c r="G19" s="456">
        <f t="shared" ref="G19:G21" si="0">E19*F19</f>
        <v>300.01</v>
      </c>
      <c r="H19" s="450"/>
      <c r="I19" s="454">
        <f>f_12</f>
        <v>0.93</v>
      </c>
      <c r="K19" s="445"/>
      <c r="L19" s="459"/>
      <c r="M19" s="463"/>
      <c r="N19" s="463"/>
      <c r="O19" s="463"/>
      <c r="P19" s="462"/>
      <c r="Q19" s="462"/>
      <c r="R19" s="462"/>
      <c r="W19" s="440"/>
      <c r="X19" s="440"/>
      <c r="Y19" s="440"/>
      <c r="Z19" s="440"/>
      <c r="AA19" s="440"/>
      <c r="AB19" s="440"/>
      <c r="AC19" s="440"/>
      <c r="AD19" s="440"/>
      <c r="AE19" s="440"/>
      <c r="AF19" s="440"/>
      <c r="AG19" s="440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440"/>
      <c r="AU19" s="440"/>
    </row>
    <row r="20" spans="2:47" ht="15">
      <c r="B20" s="453" t="s">
        <v>445</v>
      </c>
      <c r="C20" s="450" t="s">
        <v>446</v>
      </c>
      <c r="D20" s="454">
        <v>1</v>
      </c>
      <c r="E20" s="455">
        <f>x_2</f>
        <v>600</v>
      </c>
      <c r="F20" s="455">
        <f>y_1</f>
        <v>0</v>
      </c>
      <c r="G20" s="456">
        <f t="shared" si="0"/>
        <v>0</v>
      </c>
      <c r="H20" s="450" t="s">
        <v>447</v>
      </c>
      <c r="I20" s="454">
        <f>f_21</f>
        <v>1</v>
      </c>
      <c r="K20" s="445"/>
      <c r="L20" s="459"/>
      <c r="M20" s="463"/>
      <c r="N20" s="463"/>
      <c r="O20" s="463"/>
      <c r="P20" s="462"/>
      <c r="Q20" s="462"/>
      <c r="R20" s="462"/>
      <c r="W20" s="440"/>
      <c r="X20" s="440"/>
      <c r="Y20" s="440"/>
      <c r="Z20" s="440"/>
      <c r="AA20" s="440"/>
      <c r="AB20" s="440"/>
      <c r="AC20" s="440"/>
      <c r="AD20" s="440"/>
      <c r="AE20" s="440"/>
      <c r="AF20" s="440"/>
      <c r="AG20" s="440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40"/>
    </row>
    <row r="21" spans="2:47" ht="15" customHeight="1">
      <c r="B21" s="453" t="s">
        <v>448</v>
      </c>
      <c r="C21" s="450"/>
      <c r="D21" s="454">
        <v>1</v>
      </c>
      <c r="E21" s="455">
        <f>x_2</f>
        <v>600</v>
      </c>
      <c r="F21" s="455">
        <f>y_2</f>
        <v>1</v>
      </c>
      <c r="G21" s="456">
        <f t="shared" si="0"/>
        <v>600</v>
      </c>
      <c r="H21" s="450"/>
      <c r="I21" s="454">
        <f>f_22</f>
        <v>0.93</v>
      </c>
      <c r="K21" s="445"/>
      <c r="L21" s="452"/>
      <c r="M21" s="343"/>
      <c r="N21" s="343"/>
      <c r="P21" s="440"/>
      <c r="Q21" s="440"/>
      <c r="R21" s="440"/>
      <c r="S21" s="440"/>
      <c r="T21" s="440"/>
      <c r="U21" s="440"/>
      <c r="V21" s="440"/>
      <c r="W21" s="440"/>
      <c r="X21" s="440"/>
      <c r="Y21" s="440"/>
      <c r="Z21" s="440"/>
      <c r="AA21" s="440"/>
      <c r="AB21" s="440"/>
      <c r="AC21" s="440"/>
      <c r="AD21" s="440"/>
      <c r="AE21" s="440"/>
      <c r="AF21" s="343"/>
      <c r="AG21" s="343"/>
      <c r="AH21" s="343"/>
      <c r="AI21" s="343"/>
      <c r="AJ21" s="343"/>
      <c r="AK21" s="343"/>
      <c r="AL21" s="343"/>
      <c r="AM21" s="343"/>
      <c r="AN21" s="343"/>
    </row>
    <row r="22" spans="2:47" ht="15" customHeight="1">
      <c r="B22" s="458"/>
      <c r="C22" s="450"/>
      <c r="D22" s="450"/>
      <c r="E22" s="450"/>
      <c r="F22" s="450"/>
      <c r="G22" s="450"/>
      <c r="H22" s="450"/>
      <c r="I22" s="450"/>
      <c r="K22" s="445"/>
      <c r="L22" s="452"/>
      <c r="M22" s="343"/>
      <c r="N22" s="343"/>
      <c r="P22" s="440"/>
      <c r="Q22" s="440"/>
      <c r="R22" s="440"/>
      <c r="S22" s="440"/>
      <c r="T22" s="440"/>
      <c r="U22" s="440"/>
      <c r="V22" s="440"/>
      <c r="W22" s="440"/>
      <c r="X22" s="440"/>
      <c r="Y22" s="440"/>
      <c r="Z22" s="440"/>
      <c r="AA22" s="440"/>
      <c r="AB22" s="440"/>
      <c r="AC22" s="440"/>
      <c r="AD22" s="440"/>
      <c r="AE22" s="440"/>
      <c r="AF22" s="343"/>
      <c r="AG22" s="343"/>
      <c r="AH22" s="343"/>
      <c r="AI22" s="343"/>
      <c r="AJ22" s="343"/>
      <c r="AK22" s="343"/>
      <c r="AL22" s="343"/>
      <c r="AM22" s="343"/>
      <c r="AN22" s="343"/>
    </row>
    <row r="23" spans="2:47" ht="15">
      <c r="B23" s="453" t="s">
        <v>442</v>
      </c>
      <c r="C23" s="450"/>
      <c r="D23" s="454">
        <f t="array" ref="D23:D26">MMULT(MINVERSE(D18:G21),I18:I21)</f>
        <v>1.0000000000000002</v>
      </c>
      <c r="E23" s="450"/>
      <c r="F23" s="454">
        <v>1</v>
      </c>
      <c r="G23" s="450"/>
      <c r="H23" s="454">
        <v>1</v>
      </c>
      <c r="I23" s="450"/>
      <c r="K23" s="445"/>
      <c r="L23" s="452"/>
      <c r="M23" s="343"/>
      <c r="N23" s="343"/>
      <c r="P23" s="440"/>
      <c r="Q23" s="440"/>
      <c r="R23" s="440"/>
      <c r="S23" s="440"/>
      <c r="T23" s="440"/>
      <c r="U23" s="440"/>
      <c r="V23" s="440"/>
      <c r="W23" s="440"/>
      <c r="X23" s="440"/>
      <c r="Y23" s="440"/>
      <c r="Z23" s="440"/>
      <c r="AA23" s="440"/>
      <c r="AB23" s="440"/>
      <c r="AC23" s="440"/>
      <c r="AD23" s="440"/>
      <c r="AE23" s="440"/>
      <c r="AF23" s="343"/>
      <c r="AG23" s="343"/>
      <c r="AH23" s="343"/>
      <c r="AI23" s="343"/>
      <c r="AJ23" s="343"/>
      <c r="AK23" s="343"/>
      <c r="AL23" s="343"/>
      <c r="AM23" s="343"/>
      <c r="AN23" s="343"/>
    </row>
    <row r="24" spans="2:47" ht="15">
      <c r="B24" s="453" t="s">
        <v>444</v>
      </c>
      <c r="C24" s="450"/>
      <c r="D24" s="454">
        <v>0</v>
      </c>
      <c r="E24" s="450"/>
      <c r="F24" s="454" t="s">
        <v>426</v>
      </c>
      <c r="G24" s="450"/>
      <c r="H24" s="454">
        <f>x</f>
        <v>541.56762934883636</v>
      </c>
      <c r="I24" s="450"/>
      <c r="K24" s="445"/>
      <c r="L24" s="452"/>
      <c r="M24" s="343"/>
      <c r="N24" s="343"/>
      <c r="P24" s="440"/>
      <c r="Q24" s="440"/>
      <c r="R24" s="440"/>
      <c r="S24" s="440"/>
      <c r="T24" s="440"/>
      <c r="U24" s="440"/>
      <c r="V24" s="440"/>
      <c r="W24" s="440"/>
      <c r="X24" s="440"/>
      <c r="Y24" s="440"/>
      <c r="Z24" s="440"/>
      <c r="AA24" s="440"/>
      <c r="AB24" s="440"/>
      <c r="AC24" s="440"/>
      <c r="AD24" s="440"/>
      <c r="AE24" s="440"/>
      <c r="AF24" s="343"/>
      <c r="AG24" s="343"/>
      <c r="AH24" s="343"/>
      <c r="AI24" s="343"/>
      <c r="AJ24" s="343"/>
      <c r="AK24" s="343"/>
      <c r="AL24" s="343"/>
      <c r="AM24" s="343"/>
      <c r="AN24" s="343"/>
    </row>
    <row r="25" spans="2:47" ht="15">
      <c r="B25" s="453" t="s">
        <v>445</v>
      </c>
      <c r="C25" s="450" t="s">
        <v>446</v>
      </c>
      <c r="D25" s="454">
        <v>-6.999999999999984E-2</v>
      </c>
      <c r="E25" s="450"/>
      <c r="F25" s="454" t="s">
        <v>430</v>
      </c>
      <c r="G25" s="450" t="s">
        <v>446</v>
      </c>
      <c r="H25" s="454">
        <f>y</f>
        <v>0</v>
      </c>
      <c r="I25" s="450"/>
      <c r="K25" s="445"/>
      <c r="L25" s="452"/>
      <c r="M25" s="343"/>
      <c r="N25" s="343"/>
      <c r="P25" s="440"/>
      <c r="Q25" s="440"/>
      <c r="R25" s="440"/>
      <c r="S25" s="440"/>
      <c r="T25" s="440"/>
      <c r="U25" s="440"/>
      <c r="V25" s="440"/>
      <c r="W25" s="440"/>
      <c r="X25" s="440"/>
      <c r="Y25" s="440"/>
      <c r="Z25" s="440"/>
      <c r="AA25" s="440"/>
      <c r="AB25" s="440"/>
      <c r="AC25" s="440"/>
      <c r="AD25" s="440"/>
      <c r="AE25" s="440"/>
      <c r="AF25" s="343"/>
      <c r="AG25" s="343"/>
      <c r="AH25" s="343"/>
      <c r="AI25" s="343"/>
      <c r="AJ25" s="343"/>
      <c r="AK25" s="343"/>
      <c r="AL25" s="343"/>
      <c r="AM25" s="343"/>
      <c r="AN25" s="343"/>
    </row>
    <row r="26" spans="2:47" ht="15">
      <c r="B26" s="453" t="s">
        <v>448</v>
      </c>
      <c r="C26" s="450"/>
      <c r="D26" s="454">
        <v>0</v>
      </c>
      <c r="E26" s="450"/>
      <c r="F26" s="454" t="s">
        <v>449</v>
      </c>
      <c r="G26" s="450"/>
      <c r="H26" s="454">
        <f>H25*H24</f>
        <v>0</v>
      </c>
      <c r="I26" s="450"/>
      <c r="K26" s="445"/>
      <c r="L26" s="452"/>
      <c r="M26" s="343"/>
      <c r="N26" s="343"/>
      <c r="P26" s="440"/>
      <c r="Q26" s="440"/>
      <c r="R26" s="440"/>
      <c r="S26" s="440"/>
      <c r="T26" s="440"/>
      <c r="U26" s="440"/>
      <c r="V26" s="440"/>
      <c r="W26" s="440"/>
      <c r="X26" s="440"/>
      <c r="Y26" s="440"/>
      <c r="Z26" s="440"/>
      <c r="AA26" s="440"/>
      <c r="AB26" s="440"/>
      <c r="AC26" s="440"/>
      <c r="AD26" s="440"/>
      <c r="AE26" s="440"/>
      <c r="AF26" s="343"/>
      <c r="AG26" s="343"/>
      <c r="AH26" s="343"/>
      <c r="AI26" s="343"/>
      <c r="AJ26" s="343"/>
      <c r="AK26" s="343"/>
      <c r="AL26" s="343"/>
      <c r="AM26" s="343"/>
      <c r="AN26" s="343"/>
    </row>
    <row r="27" spans="2:47" ht="15">
      <c r="H27" s="450"/>
      <c r="K27" s="445"/>
      <c r="L27" s="451"/>
      <c r="M27" s="440"/>
      <c r="N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0"/>
      <c r="AC27" s="440"/>
      <c r="AD27" s="440"/>
      <c r="AE27" s="440"/>
      <c r="AF27" s="440"/>
      <c r="AG27" s="440"/>
      <c r="AH27" s="440"/>
      <c r="AI27" s="440"/>
      <c r="AJ27" s="440"/>
      <c r="AK27" s="440"/>
      <c r="AL27" s="440"/>
      <c r="AM27" s="440"/>
      <c r="AN27" s="440"/>
    </row>
    <row r="28" spans="2:47" ht="15">
      <c r="K28" s="445"/>
      <c r="L28" s="451"/>
      <c r="M28" s="343"/>
      <c r="N28" s="343"/>
      <c r="P28" s="440"/>
      <c r="Q28" s="440"/>
      <c r="R28" s="440"/>
      <c r="S28" s="440"/>
      <c r="T28" s="440"/>
      <c r="U28" s="440"/>
      <c r="V28" s="440"/>
      <c r="W28" s="440"/>
      <c r="X28" s="440"/>
      <c r="Y28" s="440"/>
      <c r="Z28" s="440"/>
      <c r="AA28" s="440"/>
      <c r="AB28" s="440"/>
      <c r="AC28" s="440"/>
      <c r="AD28" s="440"/>
      <c r="AE28" s="440"/>
      <c r="AF28" s="440"/>
      <c r="AG28" s="343"/>
      <c r="AH28" s="343"/>
      <c r="AI28" s="343"/>
      <c r="AJ28" s="343"/>
      <c r="AK28" s="343"/>
      <c r="AL28" s="343"/>
      <c r="AM28" s="343"/>
      <c r="AN28" s="343"/>
    </row>
    <row r="29" spans="2:47" ht="15">
      <c r="B29" s="445" t="s">
        <v>450</v>
      </c>
      <c r="C29" s="445"/>
      <c r="D29" s="445"/>
      <c r="E29" s="445"/>
      <c r="F29" s="445"/>
      <c r="G29" s="445"/>
      <c r="H29" s="445"/>
      <c r="I29" s="445"/>
      <c r="K29" s="445"/>
      <c r="L29" s="451"/>
      <c r="M29" s="343"/>
      <c r="N29" s="343"/>
      <c r="P29" s="440"/>
      <c r="Q29" s="440"/>
      <c r="R29" s="440"/>
      <c r="S29" s="440"/>
      <c r="T29" s="440"/>
      <c r="U29" s="440"/>
      <c r="V29" s="440"/>
      <c r="W29" s="440"/>
      <c r="X29" s="440"/>
      <c r="Y29" s="440"/>
      <c r="Z29" s="440"/>
      <c r="AA29" s="440"/>
      <c r="AB29" s="440"/>
      <c r="AC29" s="440"/>
      <c r="AD29" s="440"/>
      <c r="AE29" s="440"/>
      <c r="AF29" s="440"/>
      <c r="AG29" s="343"/>
      <c r="AH29" s="343"/>
      <c r="AI29" s="343"/>
      <c r="AJ29" s="343"/>
      <c r="AK29" s="343"/>
      <c r="AL29" s="343"/>
      <c r="AM29" s="343"/>
      <c r="AN29" s="343"/>
    </row>
    <row r="30" spans="2:47" ht="15">
      <c r="K30" s="445"/>
      <c r="L30" s="451"/>
      <c r="M30" s="343"/>
      <c r="N30" s="343"/>
      <c r="P30" s="440"/>
      <c r="Q30" s="440"/>
      <c r="R30" s="440"/>
      <c r="S30" s="440"/>
      <c r="T30" s="440"/>
      <c r="U30" s="440"/>
      <c r="V30" s="440"/>
      <c r="W30" s="440"/>
      <c r="X30" s="440"/>
      <c r="Y30" s="440"/>
      <c r="Z30" s="440"/>
      <c r="AA30" s="440"/>
      <c r="AB30" s="440"/>
      <c r="AC30" s="440"/>
      <c r="AD30" s="440"/>
      <c r="AE30" s="440"/>
      <c r="AF30" s="440"/>
      <c r="AG30" s="343"/>
      <c r="AH30" s="343"/>
      <c r="AI30" s="343"/>
      <c r="AJ30" s="343"/>
      <c r="AK30" s="343"/>
      <c r="AL30" s="343"/>
      <c r="AM30" s="343"/>
      <c r="AN30" s="343"/>
    </row>
    <row r="31" spans="2:47" ht="15">
      <c r="K31" s="445"/>
      <c r="L31" s="451"/>
      <c r="M31" s="343"/>
      <c r="N31" s="343"/>
      <c r="P31" s="440"/>
      <c r="Q31" s="440"/>
      <c r="R31" s="440"/>
      <c r="S31" s="440"/>
      <c r="T31" s="440"/>
      <c r="U31" s="440"/>
      <c r="V31" s="440"/>
      <c r="W31" s="440"/>
      <c r="X31" s="440"/>
      <c r="Y31" s="440"/>
      <c r="Z31" s="440"/>
      <c r="AA31" s="440"/>
      <c r="AB31" s="440"/>
      <c r="AC31" s="440"/>
      <c r="AD31" s="440"/>
      <c r="AE31" s="440"/>
      <c r="AF31" s="440"/>
      <c r="AG31" s="343"/>
      <c r="AH31" s="343"/>
      <c r="AI31" s="343"/>
      <c r="AJ31" s="343"/>
      <c r="AK31" s="343"/>
      <c r="AL31" s="343"/>
      <c r="AM31" s="343"/>
      <c r="AN31" s="343"/>
    </row>
    <row r="32" spans="2:47" ht="15">
      <c r="K32" s="445"/>
      <c r="L32" s="451"/>
      <c r="M32" s="343"/>
      <c r="N32" s="343"/>
      <c r="P32" s="440"/>
      <c r="Q32" s="440"/>
      <c r="R32" s="440"/>
      <c r="S32" s="440"/>
      <c r="T32" s="440"/>
      <c r="U32" s="440"/>
      <c r="V32" s="440"/>
      <c r="W32" s="440"/>
      <c r="X32" s="440"/>
      <c r="Y32" s="440"/>
      <c r="Z32" s="440"/>
      <c r="AA32" s="440"/>
      <c r="AB32" s="440"/>
      <c r="AC32" s="440"/>
      <c r="AD32" s="440"/>
      <c r="AE32" s="440"/>
      <c r="AF32" s="440"/>
      <c r="AG32" s="343"/>
      <c r="AH32" s="343"/>
      <c r="AI32" s="343"/>
      <c r="AJ32" s="343"/>
      <c r="AK32" s="343"/>
      <c r="AL32" s="343"/>
      <c r="AM32" s="343"/>
      <c r="AN32" s="343"/>
    </row>
    <row r="33" spans="1:40" ht="15">
      <c r="A33" s="497"/>
      <c r="B33" s="497"/>
      <c r="C33" s="497"/>
      <c r="D33" s="497"/>
      <c r="E33" s="497"/>
      <c r="F33" s="497"/>
      <c r="G33" s="497"/>
      <c r="H33" s="497"/>
      <c r="I33" s="497"/>
      <c r="J33" s="497"/>
      <c r="K33" s="445"/>
      <c r="L33" s="451"/>
      <c r="M33" s="343"/>
      <c r="N33" s="343"/>
      <c r="O33" s="440"/>
      <c r="P33" s="440"/>
      <c r="Q33" s="440"/>
      <c r="R33" s="440"/>
      <c r="S33" s="440"/>
      <c r="T33" s="440"/>
      <c r="U33" s="440"/>
      <c r="V33" s="440"/>
      <c r="W33" s="440"/>
      <c r="X33" s="440"/>
      <c r="Y33" s="440"/>
      <c r="Z33" s="440"/>
      <c r="AA33" s="440"/>
      <c r="AB33" s="440"/>
      <c r="AC33" s="440"/>
      <c r="AD33" s="440"/>
      <c r="AE33" s="440"/>
      <c r="AF33" s="440"/>
      <c r="AG33" s="343"/>
      <c r="AH33" s="343"/>
      <c r="AI33" s="343"/>
      <c r="AJ33" s="343"/>
      <c r="AK33" s="343"/>
      <c r="AL33" s="343"/>
      <c r="AM33" s="343"/>
      <c r="AN33" s="343"/>
    </row>
    <row r="34" spans="1:40" ht="15">
      <c r="K34" s="445"/>
      <c r="L34" s="451"/>
      <c r="M34" s="440"/>
      <c r="N34" s="440"/>
      <c r="O34" s="440"/>
      <c r="P34" s="440"/>
      <c r="Q34" s="440"/>
      <c r="R34" s="440"/>
      <c r="S34" s="440"/>
      <c r="T34" s="440"/>
      <c r="U34" s="440"/>
      <c r="V34" s="440"/>
      <c r="W34" s="440"/>
      <c r="X34" s="440"/>
      <c r="Y34" s="440"/>
      <c r="Z34" s="440"/>
      <c r="AA34" s="440"/>
      <c r="AB34" s="440"/>
      <c r="AC34" s="440"/>
      <c r="AD34" s="440"/>
      <c r="AE34" s="440"/>
      <c r="AF34" s="440"/>
      <c r="AG34" s="440"/>
      <c r="AH34" s="440"/>
      <c r="AI34" s="440"/>
      <c r="AJ34" s="440"/>
      <c r="AK34" s="440"/>
      <c r="AL34" s="440"/>
      <c r="AM34" s="440"/>
      <c r="AN34" s="440"/>
    </row>
    <row r="35" spans="1:40" ht="15">
      <c r="K35" s="445"/>
      <c r="L35" s="451"/>
      <c r="M35" s="440"/>
      <c r="N35" s="440"/>
      <c r="O35" s="440"/>
      <c r="P35" s="440"/>
      <c r="Q35" s="440"/>
      <c r="R35" s="440"/>
      <c r="S35" s="440"/>
      <c r="T35" s="440"/>
      <c r="U35" s="440"/>
      <c r="V35" s="440"/>
      <c r="W35" s="440"/>
      <c r="X35" s="440"/>
      <c r="Y35" s="440"/>
      <c r="Z35" s="440"/>
      <c r="AA35" s="440"/>
      <c r="AB35" s="440"/>
      <c r="AC35" s="440"/>
      <c r="AD35" s="440"/>
      <c r="AE35" s="440"/>
      <c r="AF35" s="440"/>
      <c r="AG35" s="440"/>
      <c r="AH35" s="440"/>
      <c r="AI35" s="440"/>
      <c r="AJ35" s="440"/>
      <c r="AK35" s="440"/>
      <c r="AL35" s="440"/>
      <c r="AM35" s="440"/>
      <c r="AN35" s="440"/>
    </row>
    <row r="36" spans="1:40" ht="15">
      <c r="A36" s="497"/>
      <c r="B36" s="497"/>
      <c r="C36" s="497"/>
      <c r="D36" s="497"/>
      <c r="E36" s="497"/>
      <c r="F36" s="497"/>
      <c r="G36" s="497"/>
      <c r="H36" s="497"/>
      <c r="I36" s="497"/>
      <c r="J36" s="497"/>
      <c r="K36" s="445"/>
      <c r="L36" s="451"/>
      <c r="M36" s="440"/>
      <c r="N36" s="440"/>
      <c r="O36" s="440"/>
      <c r="P36" s="440"/>
      <c r="Q36" s="440"/>
      <c r="R36" s="440"/>
      <c r="S36" s="440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  <c r="AG36" s="440"/>
      <c r="AH36" s="440"/>
      <c r="AI36" s="440"/>
      <c r="AJ36" s="440"/>
      <c r="AK36" s="440"/>
      <c r="AL36" s="440"/>
      <c r="AM36" s="440"/>
      <c r="AN36" s="440"/>
    </row>
    <row r="37" spans="1:40" ht="15">
      <c r="K37" s="445"/>
      <c r="L37" s="451"/>
      <c r="M37" s="440"/>
      <c r="N37" s="440"/>
      <c r="O37" s="440"/>
      <c r="P37" s="440"/>
      <c r="Q37" s="440"/>
      <c r="R37" s="440"/>
      <c r="S37" s="440"/>
      <c r="T37" s="440"/>
      <c r="U37" s="440"/>
      <c r="V37" s="440"/>
      <c r="W37" s="440"/>
      <c r="X37" s="440"/>
      <c r="Y37" s="440"/>
      <c r="Z37" s="440"/>
      <c r="AA37" s="440"/>
      <c r="AB37" s="440"/>
      <c r="AC37" s="440"/>
      <c r="AD37" s="440"/>
      <c r="AE37" s="440"/>
      <c r="AF37" s="440"/>
      <c r="AG37" s="440"/>
      <c r="AH37" s="440"/>
      <c r="AI37" s="440"/>
      <c r="AJ37" s="440"/>
      <c r="AK37" s="440"/>
      <c r="AL37" s="440"/>
      <c r="AM37" s="440"/>
      <c r="AN37" s="440"/>
    </row>
    <row r="38" spans="1:40" ht="15">
      <c r="K38" s="445"/>
      <c r="L38" s="451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>
    <tabColor rgb="FF002060"/>
  </sheetPr>
  <dimension ref="A1:AU38"/>
  <sheetViews>
    <sheetView workbookViewId="0">
      <selection activeCell="Q11" sqref="Q11"/>
    </sheetView>
  </sheetViews>
  <sheetFormatPr defaultRowHeight="12.75"/>
  <cols>
    <col min="1" max="10" width="9.140625" style="443"/>
    <col min="11" max="11" width="9.140625" style="497"/>
    <col min="12" max="12" width="10.5703125" style="497" bestFit="1" customWidth="1"/>
    <col min="13" max="18" width="9.28515625" style="497" bestFit="1" customWidth="1"/>
    <col min="19" max="16384" width="9.140625" style="497"/>
  </cols>
  <sheetData>
    <row r="1" spans="1:47" s="443" customFormat="1" ht="23.25">
      <c r="A1" s="495" t="s">
        <v>628</v>
      </c>
      <c r="L1" s="496" t="s">
        <v>597</v>
      </c>
      <c r="M1" s="519" t="s">
        <v>598</v>
      </c>
    </row>
    <row r="2" spans="1:47" ht="15">
      <c r="B2" s="445" t="s">
        <v>421</v>
      </c>
      <c r="C2" s="445"/>
      <c r="D2" s="445"/>
      <c r="E2" s="446" t="s">
        <v>422</v>
      </c>
      <c r="F2" s="446" t="s">
        <v>423</v>
      </c>
      <c r="G2" s="445" t="s">
        <v>424</v>
      </c>
      <c r="H2" s="445"/>
      <c r="I2" s="445"/>
      <c r="K2" s="447" t="s">
        <v>425</v>
      </c>
      <c r="L2" s="447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  <c r="X2" s="445"/>
      <c r="Y2" s="445"/>
      <c r="Z2" s="445"/>
      <c r="AA2" s="445"/>
      <c r="AB2" s="445"/>
      <c r="AC2" s="445"/>
      <c r="AD2" s="445"/>
      <c r="AE2" s="445"/>
      <c r="AF2" s="445"/>
      <c r="AG2" s="445"/>
      <c r="AH2" s="445"/>
      <c r="AI2" s="445"/>
      <c r="AJ2" s="445"/>
      <c r="AK2" s="445"/>
      <c r="AL2" s="445"/>
      <c r="AM2" s="445"/>
      <c r="AN2" s="445"/>
      <c r="AO2" s="445"/>
      <c r="AP2" s="445"/>
      <c r="AQ2" s="445"/>
      <c r="AR2" s="445"/>
      <c r="AS2" s="445"/>
      <c r="AT2" s="445"/>
      <c r="AU2" s="445"/>
    </row>
    <row r="3" spans="1:47" ht="15">
      <c r="B3" s="443" t="s">
        <v>426</v>
      </c>
      <c r="C3" s="448">
        <v>217.26688621904472</v>
      </c>
      <c r="D3" s="449" t="s">
        <v>427</v>
      </c>
      <c r="E3" s="446">
        <f>MIN(x_value)</f>
        <v>0</v>
      </c>
      <c r="F3" s="446">
        <f>MAX(x_value)</f>
        <v>10000</v>
      </c>
      <c r="G3" s="443" t="s">
        <v>428</v>
      </c>
      <c r="H3" s="450">
        <f>SUMPRODUCT(D23:D26,H23:H26)</f>
        <v>1</v>
      </c>
      <c r="I3" s="449" t="s">
        <v>427</v>
      </c>
      <c r="K3" s="447"/>
      <c r="L3" s="459" t="s">
        <v>429</v>
      </c>
      <c r="M3" s="460">
        <v>0</v>
      </c>
      <c r="N3" s="460">
        <v>1</v>
      </c>
      <c r="O3" s="460"/>
      <c r="P3" s="460"/>
      <c r="Q3" s="460"/>
      <c r="R3" s="460"/>
      <c r="S3" s="452"/>
      <c r="T3" s="452"/>
      <c r="U3" s="452"/>
      <c r="V3" s="451"/>
      <c r="W3" s="451"/>
      <c r="X3" s="451"/>
      <c r="Y3" s="451"/>
      <c r="Z3" s="451"/>
      <c r="AA3" s="451"/>
      <c r="AB3" s="451"/>
      <c r="AC3" s="451"/>
      <c r="AD3" s="451"/>
      <c r="AE3" s="451"/>
      <c r="AF3" s="451"/>
      <c r="AG3" s="451"/>
      <c r="AH3" s="451"/>
      <c r="AI3" s="451"/>
      <c r="AJ3" s="451"/>
      <c r="AK3" s="451"/>
      <c r="AL3" s="451"/>
      <c r="AM3" s="451"/>
      <c r="AN3" s="452"/>
      <c r="AO3" s="452"/>
      <c r="AP3" s="452"/>
      <c r="AQ3" s="452"/>
      <c r="AR3" s="452"/>
      <c r="AS3" s="452"/>
      <c r="AT3" s="452"/>
      <c r="AU3" s="452"/>
    </row>
    <row r="4" spans="1:47" ht="15">
      <c r="B4" s="443" t="s">
        <v>430</v>
      </c>
      <c r="C4" s="448">
        <v>0</v>
      </c>
      <c r="D4" s="449" t="s">
        <v>427</v>
      </c>
      <c r="E4" s="446">
        <f>MIN(y_value)</f>
        <v>0</v>
      </c>
      <c r="F4" s="446">
        <f>MAX(y_value)</f>
        <v>1</v>
      </c>
      <c r="K4" s="445"/>
      <c r="L4" s="460">
        <v>0</v>
      </c>
      <c r="M4" s="461">
        <v>1</v>
      </c>
      <c r="N4" s="497">
        <v>0.77</v>
      </c>
      <c r="O4" s="461"/>
      <c r="P4" s="461"/>
      <c r="Q4" s="461"/>
      <c r="R4" s="461"/>
      <c r="S4" s="343"/>
      <c r="T4" s="343"/>
      <c r="U4" s="343"/>
      <c r="V4" s="440"/>
      <c r="W4" s="440"/>
      <c r="X4" s="440"/>
      <c r="Y4" s="440"/>
      <c r="Z4" s="440"/>
      <c r="AA4" s="440"/>
      <c r="AB4" s="440"/>
      <c r="AC4" s="440"/>
      <c r="AD4" s="440"/>
      <c r="AE4" s="440"/>
      <c r="AF4" s="440"/>
      <c r="AG4" s="440"/>
      <c r="AH4" s="440"/>
      <c r="AI4" s="440"/>
      <c r="AJ4" s="440"/>
      <c r="AK4" s="440"/>
      <c r="AL4" s="440"/>
      <c r="AM4" s="343"/>
      <c r="AN4" s="343"/>
      <c r="AO4" s="343"/>
      <c r="AP4" s="343"/>
      <c r="AQ4" s="343"/>
      <c r="AR4" s="343"/>
      <c r="AS4" s="343"/>
      <c r="AT4" s="343"/>
      <c r="AU4" s="343"/>
    </row>
    <row r="5" spans="1:47" ht="15">
      <c r="K5" s="445"/>
      <c r="L5" s="460">
        <v>300</v>
      </c>
      <c r="M5" s="461">
        <v>1</v>
      </c>
      <c r="N5" s="497">
        <v>0.77</v>
      </c>
      <c r="O5" s="461"/>
      <c r="P5" s="461"/>
      <c r="Q5" s="461"/>
      <c r="R5" s="461"/>
      <c r="S5" s="343"/>
      <c r="T5" s="343"/>
      <c r="U5" s="343"/>
      <c r="V5" s="440"/>
      <c r="W5" s="440"/>
      <c r="X5" s="440"/>
      <c r="Y5" s="440"/>
      <c r="Z5" s="440"/>
      <c r="AA5" s="440"/>
      <c r="AB5" s="440"/>
      <c r="AC5" s="440"/>
      <c r="AD5" s="440"/>
      <c r="AE5" s="440"/>
      <c r="AF5" s="440"/>
      <c r="AG5" s="440"/>
      <c r="AH5" s="440"/>
      <c r="AI5" s="440"/>
      <c r="AJ5" s="440"/>
      <c r="AK5" s="440"/>
      <c r="AL5" s="440"/>
      <c r="AM5" s="343"/>
      <c r="AN5" s="343"/>
      <c r="AO5" s="343"/>
      <c r="AP5" s="343"/>
      <c r="AQ5" s="343"/>
      <c r="AR5" s="343"/>
      <c r="AS5" s="343"/>
      <c r="AT5" s="343"/>
      <c r="AU5" s="343"/>
    </row>
    <row r="6" spans="1:47" ht="15">
      <c r="B6" s="445" t="s">
        <v>431</v>
      </c>
      <c r="C6" s="445"/>
      <c r="D6" s="445"/>
      <c r="F6" s="446" t="s">
        <v>432</v>
      </c>
      <c r="K6" s="445"/>
      <c r="L6" s="460">
        <v>300.01</v>
      </c>
      <c r="M6" s="461">
        <v>1</v>
      </c>
      <c r="N6" s="462">
        <v>0.94</v>
      </c>
      <c r="O6" s="461"/>
      <c r="P6" s="461"/>
      <c r="Q6" s="461"/>
      <c r="R6" s="461"/>
      <c r="S6" s="343"/>
      <c r="T6" s="343"/>
      <c r="U6" s="343"/>
      <c r="V6" s="440"/>
      <c r="W6" s="440"/>
      <c r="X6" s="440"/>
      <c r="Y6" s="440"/>
      <c r="Z6" s="440"/>
      <c r="AA6" s="440"/>
      <c r="AB6" s="440"/>
      <c r="AC6" s="440"/>
      <c r="AD6" s="440"/>
      <c r="AE6" s="440"/>
      <c r="AF6" s="440"/>
      <c r="AG6" s="440"/>
      <c r="AH6" s="440"/>
      <c r="AI6" s="440"/>
      <c r="AJ6" s="440"/>
      <c r="AK6" s="440"/>
      <c r="AL6" s="440"/>
      <c r="AM6" s="343"/>
      <c r="AN6" s="343"/>
      <c r="AO6" s="343"/>
      <c r="AP6" s="343"/>
      <c r="AQ6" s="343"/>
      <c r="AR6" s="343"/>
      <c r="AS6" s="343"/>
      <c r="AT6" s="343"/>
      <c r="AU6" s="343"/>
    </row>
    <row r="7" spans="1:47" ht="15">
      <c r="B7" s="443" t="s">
        <v>433</v>
      </c>
      <c r="C7" s="450">
        <f>INDEX(x_value,MATCH(x,x_value,1))</f>
        <v>0</v>
      </c>
      <c r="D7" s="449" t="s">
        <v>427</v>
      </c>
      <c r="F7" s="446">
        <f>MATCH(x,x_value,1)</f>
        <v>1</v>
      </c>
      <c r="K7" s="445"/>
      <c r="L7" s="460">
        <v>600</v>
      </c>
      <c r="M7" s="461">
        <v>1</v>
      </c>
      <c r="N7" s="462">
        <v>0.94</v>
      </c>
      <c r="O7" s="461"/>
      <c r="P7" s="461"/>
      <c r="Q7" s="461"/>
      <c r="R7" s="461"/>
      <c r="S7" s="343"/>
      <c r="T7" s="343"/>
      <c r="U7" s="343"/>
      <c r="V7" s="440"/>
      <c r="W7" s="440"/>
      <c r="X7" s="440"/>
      <c r="Y7" s="440"/>
      <c r="Z7" s="440"/>
      <c r="AA7" s="440"/>
      <c r="AB7" s="440"/>
      <c r="AC7" s="440"/>
      <c r="AD7" s="440"/>
      <c r="AE7" s="440"/>
      <c r="AF7" s="440"/>
      <c r="AG7" s="440"/>
      <c r="AH7" s="440"/>
      <c r="AI7" s="440"/>
      <c r="AJ7" s="440"/>
      <c r="AK7" s="440"/>
      <c r="AL7" s="440"/>
      <c r="AM7" s="343"/>
      <c r="AN7" s="343"/>
      <c r="AO7" s="343"/>
      <c r="AP7" s="343"/>
      <c r="AQ7" s="343"/>
      <c r="AR7" s="343"/>
      <c r="AS7" s="343"/>
      <c r="AT7" s="343"/>
      <c r="AU7" s="343"/>
    </row>
    <row r="8" spans="1:47" ht="15">
      <c r="B8" s="443" t="s">
        <v>434</v>
      </c>
      <c r="C8" s="450">
        <f>INDEX(x_value,MATCH(x,x_value,1)+1)</f>
        <v>300</v>
      </c>
      <c r="D8" s="449" t="s">
        <v>427</v>
      </c>
      <c r="F8" s="446">
        <f>MATCH(x,x_value,1)+1</f>
        <v>2</v>
      </c>
      <c r="K8" s="445"/>
      <c r="L8" s="460">
        <v>600.01</v>
      </c>
      <c r="M8" s="461">
        <v>1</v>
      </c>
      <c r="N8" s="461">
        <v>1</v>
      </c>
      <c r="O8" s="461"/>
      <c r="P8" s="461"/>
      <c r="Q8" s="461"/>
      <c r="R8" s="461"/>
      <c r="S8" s="343"/>
      <c r="T8" s="343"/>
      <c r="U8" s="343"/>
      <c r="V8" s="440"/>
      <c r="W8" s="440"/>
      <c r="X8" s="440"/>
      <c r="Y8" s="440"/>
      <c r="Z8" s="440"/>
      <c r="AA8" s="440"/>
      <c r="AB8" s="440"/>
      <c r="AC8" s="440"/>
      <c r="AD8" s="440"/>
      <c r="AE8" s="440"/>
      <c r="AF8" s="440"/>
      <c r="AG8" s="440"/>
      <c r="AH8" s="440"/>
      <c r="AI8" s="440"/>
      <c r="AJ8" s="440"/>
      <c r="AK8" s="440"/>
      <c r="AL8" s="440"/>
      <c r="AM8" s="343"/>
      <c r="AN8" s="343"/>
      <c r="AO8" s="343"/>
      <c r="AP8" s="343"/>
      <c r="AQ8" s="343"/>
      <c r="AR8" s="343"/>
      <c r="AS8" s="343"/>
      <c r="AT8" s="343"/>
      <c r="AU8" s="343"/>
    </row>
    <row r="9" spans="1:47" ht="15">
      <c r="B9" s="443" t="s">
        <v>435</v>
      </c>
      <c r="C9" s="450">
        <f>INDEX(y_value,MATCH(y,y_value,1))</f>
        <v>0</v>
      </c>
      <c r="D9" s="449" t="s">
        <v>427</v>
      </c>
      <c r="F9" s="446">
        <f>MATCH(y,y_value,1)</f>
        <v>1</v>
      </c>
      <c r="K9" s="445"/>
      <c r="L9" s="460">
        <v>10000</v>
      </c>
      <c r="M9" s="461">
        <v>1</v>
      </c>
      <c r="N9" s="461">
        <v>1</v>
      </c>
      <c r="O9" s="461"/>
      <c r="R9" s="461"/>
      <c r="S9" s="343"/>
      <c r="T9" s="343"/>
      <c r="U9" s="343"/>
      <c r="V9" s="440"/>
      <c r="W9" s="440"/>
      <c r="X9" s="440"/>
      <c r="Y9" s="440"/>
      <c r="Z9" s="440"/>
      <c r="AA9" s="440"/>
      <c r="AB9" s="440"/>
      <c r="AC9" s="440"/>
      <c r="AD9" s="440"/>
      <c r="AE9" s="440"/>
      <c r="AF9" s="440"/>
      <c r="AG9" s="440"/>
      <c r="AH9" s="440"/>
      <c r="AI9" s="440"/>
      <c r="AJ9" s="440"/>
      <c r="AK9" s="440"/>
      <c r="AL9" s="440"/>
      <c r="AM9" s="343"/>
      <c r="AN9" s="343"/>
      <c r="AO9" s="343"/>
      <c r="AP9" s="343"/>
      <c r="AQ9" s="343"/>
      <c r="AR9" s="343"/>
      <c r="AS9" s="343"/>
      <c r="AT9" s="343"/>
      <c r="AU9" s="343"/>
    </row>
    <row r="10" spans="1:47" ht="15">
      <c r="B10" s="443" t="s">
        <v>436</v>
      </c>
      <c r="C10" s="450">
        <f>INDEX(y_value,MATCH(y,y_value,1)+1)</f>
        <v>1</v>
      </c>
      <c r="D10" s="449" t="s">
        <v>427</v>
      </c>
      <c r="F10" s="446">
        <f>MATCH(y,y_value,1)+1</f>
        <v>2</v>
      </c>
      <c r="K10" s="445"/>
      <c r="L10" s="460"/>
      <c r="M10" s="461"/>
      <c r="N10" s="461"/>
      <c r="O10" s="461"/>
      <c r="R10" s="461"/>
      <c r="S10" s="343"/>
      <c r="T10" s="343"/>
      <c r="U10" s="343"/>
      <c r="V10" s="440"/>
      <c r="W10" s="440"/>
      <c r="X10" s="440"/>
      <c r="Y10" s="440"/>
      <c r="Z10" s="440"/>
      <c r="AA10" s="440"/>
      <c r="AB10" s="440"/>
      <c r="AC10" s="440"/>
      <c r="AD10" s="440"/>
      <c r="AE10" s="440"/>
      <c r="AF10" s="440"/>
      <c r="AG10" s="440"/>
      <c r="AH10" s="440"/>
      <c r="AI10" s="440"/>
      <c r="AJ10" s="440"/>
      <c r="AK10" s="440"/>
      <c r="AL10" s="440"/>
      <c r="AM10" s="343"/>
      <c r="AN10" s="343"/>
      <c r="AO10" s="343"/>
      <c r="AP10" s="343"/>
      <c r="AQ10" s="343"/>
      <c r="AR10" s="343"/>
      <c r="AS10" s="343"/>
      <c r="AT10" s="343"/>
      <c r="AU10" s="343"/>
    </row>
    <row r="11" spans="1:47" ht="15">
      <c r="B11" s="443" t="s">
        <v>437</v>
      </c>
      <c r="C11" s="450">
        <f>INDEX(z_value,MATCH(x_1,x_value,1),MATCH(y_1,y_value,1))</f>
        <v>1</v>
      </c>
      <c r="D11" s="449" t="s">
        <v>427</v>
      </c>
      <c r="K11" s="445"/>
      <c r="L11" s="460"/>
      <c r="M11" s="461"/>
      <c r="N11" s="461"/>
      <c r="O11" s="461"/>
      <c r="S11" s="343"/>
      <c r="T11" s="343"/>
      <c r="U11" s="343"/>
      <c r="V11" s="440"/>
      <c r="W11" s="440"/>
      <c r="X11" s="440"/>
      <c r="Y11" s="440"/>
      <c r="Z11" s="440"/>
      <c r="AA11" s="440"/>
      <c r="AB11" s="440"/>
      <c r="AC11" s="440"/>
      <c r="AD11" s="440"/>
      <c r="AE11" s="440"/>
      <c r="AF11" s="440"/>
      <c r="AG11" s="440"/>
      <c r="AH11" s="440"/>
      <c r="AI11" s="440"/>
      <c r="AJ11" s="440"/>
      <c r="AK11" s="440"/>
      <c r="AL11" s="440"/>
      <c r="AM11" s="343"/>
      <c r="AN11" s="343"/>
      <c r="AO11" s="343"/>
      <c r="AP11" s="343"/>
      <c r="AQ11" s="343"/>
      <c r="AR11" s="343"/>
      <c r="AS11" s="343"/>
      <c r="AT11" s="343"/>
      <c r="AU11" s="343"/>
    </row>
    <row r="12" spans="1:47" ht="15">
      <c r="B12" s="443" t="s">
        <v>438</v>
      </c>
      <c r="C12" s="450">
        <f>INDEX(z_value,MATCH(x_1,x_value,1),MATCH(y_2,y_value,1))</f>
        <v>0.77</v>
      </c>
      <c r="D12" s="449" t="s">
        <v>427</v>
      </c>
      <c r="K12" s="445"/>
      <c r="L12" s="460"/>
      <c r="M12" s="461"/>
      <c r="N12" s="461"/>
      <c r="O12" s="461"/>
      <c r="P12" s="461"/>
      <c r="S12" s="343"/>
      <c r="T12" s="343"/>
      <c r="U12" s="343"/>
      <c r="V12" s="440"/>
      <c r="W12" s="440"/>
      <c r="X12" s="440"/>
      <c r="Y12" s="440"/>
      <c r="Z12" s="440"/>
      <c r="AA12" s="440"/>
      <c r="AB12" s="440"/>
      <c r="AC12" s="440"/>
      <c r="AD12" s="440"/>
      <c r="AE12" s="440"/>
      <c r="AF12" s="440"/>
      <c r="AG12" s="440"/>
      <c r="AH12" s="440"/>
      <c r="AI12" s="440"/>
      <c r="AJ12" s="440"/>
      <c r="AK12" s="440"/>
      <c r="AL12" s="440"/>
      <c r="AM12" s="343"/>
      <c r="AN12" s="343"/>
      <c r="AO12" s="343"/>
      <c r="AP12" s="343"/>
      <c r="AQ12" s="343"/>
      <c r="AR12" s="343"/>
      <c r="AS12" s="343"/>
      <c r="AT12" s="343"/>
      <c r="AU12" s="343"/>
    </row>
    <row r="13" spans="1:47" ht="15" customHeight="1">
      <c r="B13" s="443" t="s">
        <v>439</v>
      </c>
      <c r="C13" s="450">
        <f>INDEX(z_value,MATCH(x_2,x_value,1),MATCH(y_1,y_value,1))</f>
        <v>1</v>
      </c>
      <c r="D13" s="449" t="s">
        <v>427</v>
      </c>
      <c r="K13" s="445"/>
      <c r="L13" s="460"/>
      <c r="M13" s="461"/>
      <c r="N13" s="461"/>
      <c r="O13" s="461"/>
      <c r="P13" s="462"/>
      <c r="R13" s="462"/>
      <c r="W13" s="440"/>
      <c r="X13" s="440"/>
      <c r="Y13" s="440"/>
      <c r="Z13" s="440"/>
      <c r="AA13" s="440"/>
      <c r="AB13" s="440"/>
      <c r="AC13" s="440"/>
      <c r="AD13" s="440"/>
      <c r="AE13" s="440"/>
      <c r="AF13" s="440"/>
      <c r="AG13" s="440"/>
      <c r="AH13" s="440"/>
      <c r="AI13" s="440"/>
      <c r="AJ13" s="440"/>
      <c r="AK13" s="440"/>
      <c r="AL13" s="440"/>
      <c r="AM13" s="343"/>
      <c r="AN13" s="343"/>
      <c r="AO13" s="343"/>
      <c r="AP13" s="343"/>
      <c r="AQ13" s="343"/>
      <c r="AR13" s="343"/>
      <c r="AS13" s="343"/>
      <c r="AT13" s="343"/>
      <c r="AU13" s="343"/>
    </row>
    <row r="14" spans="1:47" ht="15" customHeight="1">
      <c r="B14" s="443" t="s">
        <v>440</v>
      </c>
      <c r="C14" s="450">
        <f>INDEX(z_value,MATCH(x_2,x_value,1),MATCH(y_2,y_value,1))</f>
        <v>0.77</v>
      </c>
      <c r="D14" s="449" t="s">
        <v>427</v>
      </c>
      <c r="K14" s="445"/>
      <c r="L14" s="460"/>
      <c r="M14" s="461"/>
      <c r="N14" s="461"/>
      <c r="O14" s="461"/>
      <c r="P14" s="462"/>
      <c r="Q14" s="462"/>
      <c r="R14" s="462"/>
      <c r="W14" s="440"/>
      <c r="X14" s="440"/>
      <c r="Y14" s="440"/>
      <c r="Z14" s="440"/>
      <c r="AA14" s="440"/>
      <c r="AB14" s="440"/>
      <c r="AC14" s="440"/>
      <c r="AD14" s="440"/>
      <c r="AE14" s="440"/>
      <c r="AF14" s="440"/>
      <c r="AG14" s="440"/>
      <c r="AH14" s="440"/>
      <c r="AI14" s="440"/>
      <c r="AJ14" s="440"/>
      <c r="AK14" s="440"/>
      <c r="AL14" s="440"/>
      <c r="AM14" s="343"/>
      <c r="AN14" s="343"/>
      <c r="AO14" s="343"/>
      <c r="AP14" s="343"/>
      <c r="AQ14" s="343"/>
      <c r="AR14" s="343"/>
      <c r="AS14" s="343"/>
      <c r="AT14" s="343"/>
      <c r="AU14" s="343"/>
    </row>
    <row r="15" spans="1:47" ht="15">
      <c r="K15" s="445"/>
      <c r="L15" s="460"/>
      <c r="M15" s="463"/>
      <c r="N15" s="463"/>
      <c r="O15" s="463"/>
      <c r="P15" s="462"/>
      <c r="Q15" s="462"/>
      <c r="R15" s="462"/>
      <c r="W15" s="440"/>
      <c r="X15" s="440"/>
      <c r="Y15" s="440"/>
      <c r="Z15" s="440"/>
      <c r="AA15" s="440"/>
      <c r="AB15" s="440"/>
      <c r="AC15" s="440"/>
      <c r="AD15" s="440"/>
      <c r="AE15" s="440"/>
      <c r="AF15" s="440"/>
      <c r="AG15" s="440"/>
      <c r="AH15" s="440"/>
      <c r="AI15" s="440"/>
      <c r="AJ15" s="440"/>
      <c r="AK15" s="440"/>
      <c r="AL15" s="440"/>
      <c r="AM15" s="343"/>
      <c r="AN15" s="440"/>
      <c r="AO15" s="440"/>
      <c r="AP15" s="440"/>
      <c r="AQ15" s="440"/>
      <c r="AR15" s="440"/>
      <c r="AS15" s="440"/>
      <c r="AT15" s="440"/>
      <c r="AU15" s="440"/>
    </row>
    <row r="16" spans="1:47" ht="15">
      <c r="B16" s="445" t="s">
        <v>441</v>
      </c>
      <c r="C16" s="445"/>
      <c r="D16" s="445"/>
      <c r="E16" s="445"/>
      <c r="F16" s="445"/>
      <c r="G16" s="445"/>
      <c r="H16" s="445"/>
      <c r="I16" s="445"/>
      <c r="K16" s="445"/>
      <c r="L16" s="460"/>
      <c r="M16" s="463"/>
      <c r="N16" s="463"/>
      <c r="O16" s="463"/>
      <c r="P16" s="462"/>
      <c r="Q16" s="462"/>
      <c r="R16" s="462"/>
      <c r="W16" s="440"/>
      <c r="X16" s="440"/>
      <c r="Y16" s="440"/>
      <c r="Z16" s="440"/>
      <c r="AA16" s="440"/>
      <c r="AB16" s="440"/>
      <c r="AC16" s="440"/>
      <c r="AD16" s="440"/>
      <c r="AE16" s="440"/>
      <c r="AF16" s="440"/>
      <c r="AG16" s="440"/>
      <c r="AH16" s="440"/>
      <c r="AI16" s="440"/>
      <c r="AJ16" s="440"/>
      <c r="AK16" s="440"/>
      <c r="AL16" s="440"/>
      <c r="AM16" s="343"/>
      <c r="AN16" s="440"/>
      <c r="AO16" s="440"/>
      <c r="AP16" s="440"/>
      <c r="AQ16" s="440"/>
      <c r="AR16" s="440"/>
      <c r="AS16" s="440"/>
      <c r="AT16" s="440"/>
      <c r="AU16" s="440"/>
    </row>
    <row r="17" spans="2:47" ht="15">
      <c r="K17" s="445"/>
      <c r="L17" s="460"/>
      <c r="M17" s="461"/>
      <c r="N17" s="461"/>
      <c r="O17" s="461"/>
      <c r="P17" s="462"/>
      <c r="Q17" s="462"/>
      <c r="R17" s="462"/>
      <c r="W17" s="440"/>
      <c r="X17" s="440"/>
      <c r="Y17" s="440"/>
      <c r="Z17" s="440"/>
      <c r="AA17" s="440"/>
      <c r="AB17" s="440"/>
      <c r="AC17" s="440"/>
      <c r="AD17" s="440"/>
      <c r="AE17" s="440"/>
      <c r="AF17" s="440"/>
      <c r="AG17" s="440"/>
      <c r="AH17" s="440"/>
      <c r="AI17" s="440"/>
      <c r="AJ17" s="440"/>
      <c r="AK17" s="440"/>
      <c r="AL17" s="440"/>
      <c r="AM17" s="343"/>
      <c r="AN17" s="343"/>
      <c r="AO17" s="343"/>
      <c r="AP17" s="343"/>
      <c r="AQ17" s="343"/>
      <c r="AR17" s="343"/>
      <c r="AS17" s="343"/>
      <c r="AT17" s="343"/>
      <c r="AU17" s="343"/>
    </row>
    <row r="18" spans="2:47" ht="15">
      <c r="B18" s="453" t="s">
        <v>442</v>
      </c>
      <c r="C18" s="450"/>
      <c r="D18" s="454">
        <v>1</v>
      </c>
      <c r="E18" s="455">
        <f>x_1</f>
        <v>0</v>
      </c>
      <c r="F18" s="455">
        <f>y_1</f>
        <v>0</v>
      </c>
      <c r="G18" s="456">
        <f>E18*F18</f>
        <v>0</v>
      </c>
      <c r="H18" s="457" t="s">
        <v>443</v>
      </c>
      <c r="I18" s="454">
        <f>f_11</f>
        <v>1</v>
      </c>
      <c r="K18" s="445"/>
      <c r="L18" s="460"/>
      <c r="M18" s="461"/>
      <c r="N18" s="461"/>
      <c r="O18" s="461"/>
      <c r="P18" s="462"/>
      <c r="Q18" s="462"/>
      <c r="R18" s="462"/>
      <c r="W18" s="440"/>
      <c r="X18" s="440"/>
      <c r="Y18" s="440"/>
      <c r="Z18" s="440"/>
      <c r="AA18" s="440"/>
      <c r="AB18" s="440"/>
      <c r="AC18" s="440"/>
      <c r="AD18" s="440"/>
      <c r="AE18" s="440"/>
      <c r="AF18" s="440"/>
      <c r="AG18" s="440"/>
      <c r="AH18" s="440"/>
      <c r="AI18" s="440"/>
      <c r="AJ18" s="440"/>
      <c r="AK18" s="440"/>
      <c r="AL18" s="440"/>
      <c r="AM18" s="343"/>
      <c r="AN18" s="343"/>
      <c r="AO18" s="343"/>
      <c r="AP18" s="343"/>
      <c r="AQ18" s="343"/>
      <c r="AR18" s="343"/>
      <c r="AS18" s="343"/>
      <c r="AT18" s="343"/>
      <c r="AU18" s="343"/>
    </row>
    <row r="19" spans="2:47" ht="15">
      <c r="B19" s="453" t="s">
        <v>444</v>
      </c>
      <c r="C19" s="450"/>
      <c r="D19" s="454">
        <v>1</v>
      </c>
      <c r="E19" s="455">
        <f>x_1</f>
        <v>0</v>
      </c>
      <c r="F19" s="455">
        <f>y_2</f>
        <v>1</v>
      </c>
      <c r="G19" s="456">
        <f t="shared" ref="G19:G21" si="0">E19*F19</f>
        <v>0</v>
      </c>
      <c r="H19" s="450"/>
      <c r="I19" s="454">
        <f>f_12</f>
        <v>0.77</v>
      </c>
      <c r="K19" s="445"/>
      <c r="L19" s="459"/>
      <c r="M19" s="463"/>
      <c r="N19" s="463"/>
      <c r="O19" s="463"/>
      <c r="P19" s="462"/>
      <c r="Q19" s="462"/>
      <c r="R19" s="462"/>
      <c r="W19" s="440"/>
      <c r="X19" s="440"/>
      <c r="Y19" s="440"/>
      <c r="Z19" s="440"/>
      <c r="AA19" s="440"/>
      <c r="AB19" s="440"/>
      <c r="AC19" s="440"/>
      <c r="AD19" s="440"/>
      <c r="AE19" s="440"/>
      <c r="AF19" s="440"/>
      <c r="AG19" s="440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440"/>
      <c r="AU19" s="440"/>
    </row>
    <row r="20" spans="2:47" ht="15">
      <c r="B20" s="453" t="s">
        <v>445</v>
      </c>
      <c r="C20" s="450" t="s">
        <v>446</v>
      </c>
      <c r="D20" s="454">
        <v>1</v>
      </c>
      <c r="E20" s="455">
        <f>x_2</f>
        <v>300</v>
      </c>
      <c r="F20" s="455">
        <f>y_1</f>
        <v>0</v>
      </c>
      <c r="G20" s="456">
        <f t="shared" si="0"/>
        <v>0</v>
      </c>
      <c r="H20" s="450" t="s">
        <v>447</v>
      </c>
      <c r="I20" s="454">
        <f>f_21</f>
        <v>1</v>
      </c>
      <c r="K20" s="445"/>
      <c r="L20" s="459"/>
      <c r="M20" s="463"/>
      <c r="N20" s="463"/>
      <c r="O20" s="463"/>
      <c r="P20" s="462"/>
      <c r="Q20" s="462"/>
      <c r="R20" s="462"/>
      <c r="W20" s="440"/>
      <c r="X20" s="440"/>
      <c r="Y20" s="440"/>
      <c r="Z20" s="440"/>
      <c r="AA20" s="440"/>
      <c r="AB20" s="440"/>
      <c r="AC20" s="440"/>
      <c r="AD20" s="440"/>
      <c r="AE20" s="440"/>
      <c r="AF20" s="440"/>
      <c r="AG20" s="440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40"/>
    </row>
    <row r="21" spans="2:47" ht="15" customHeight="1">
      <c r="B21" s="453" t="s">
        <v>448</v>
      </c>
      <c r="C21" s="450"/>
      <c r="D21" s="454">
        <v>1</v>
      </c>
      <c r="E21" s="455">
        <f>x_2</f>
        <v>300</v>
      </c>
      <c r="F21" s="455">
        <f>y_2</f>
        <v>1</v>
      </c>
      <c r="G21" s="456">
        <f t="shared" si="0"/>
        <v>300</v>
      </c>
      <c r="H21" s="450"/>
      <c r="I21" s="454">
        <f>f_22</f>
        <v>0.77</v>
      </c>
      <c r="K21" s="445"/>
      <c r="L21" s="452"/>
      <c r="M21" s="343"/>
      <c r="N21" s="343"/>
      <c r="P21" s="440"/>
      <c r="Q21" s="440"/>
      <c r="R21" s="440"/>
      <c r="S21" s="440"/>
      <c r="T21" s="440"/>
      <c r="U21" s="440"/>
      <c r="V21" s="440"/>
      <c r="W21" s="440"/>
      <c r="X21" s="440"/>
      <c r="Y21" s="440"/>
      <c r="Z21" s="440"/>
      <c r="AA21" s="440"/>
      <c r="AB21" s="440"/>
      <c r="AC21" s="440"/>
      <c r="AD21" s="440"/>
      <c r="AE21" s="440"/>
      <c r="AF21" s="343"/>
      <c r="AG21" s="343"/>
      <c r="AH21" s="343"/>
      <c r="AI21" s="343"/>
      <c r="AJ21" s="343"/>
      <c r="AK21" s="343"/>
      <c r="AL21" s="343"/>
      <c r="AM21" s="343"/>
      <c r="AN21" s="343"/>
    </row>
    <row r="22" spans="2:47" ht="15" customHeight="1">
      <c r="B22" s="458"/>
      <c r="C22" s="450"/>
      <c r="D22" s="450"/>
      <c r="E22" s="450"/>
      <c r="F22" s="450"/>
      <c r="G22" s="450"/>
      <c r="H22" s="450"/>
      <c r="I22" s="450"/>
      <c r="K22" s="445"/>
      <c r="L22" s="452"/>
      <c r="M22" s="343"/>
      <c r="N22" s="343"/>
      <c r="P22" s="440"/>
      <c r="Q22" s="440"/>
      <c r="R22" s="440"/>
      <c r="S22" s="440"/>
      <c r="T22" s="440"/>
      <c r="U22" s="440"/>
      <c r="V22" s="440"/>
      <c r="W22" s="440"/>
      <c r="X22" s="440"/>
      <c r="Y22" s="440"/>
      <c r="Z22" s="440"/>
      <c r="AA22" s="440"/>
      <c r="AB22" s="440"/>
      <c r="AC22" s="440"/>
      <c r="AD22" s="440"/>
      <c r="AE22" s="440"/>
      <c r="AF22" s="343"/>
      <c r="AG22" s="343"/>
      <c r="AH22" s="343"/>
      <c r="AI22" s="343"/>
      <c r="AJ22" s="343"/>
      <c r="AK22" s="343"/>
      <c r="AL22" s="343"/>
      <c r="AM22" s="343"/>
      <c r="AN22" s="343"/>
    </row>
    <row r="23" spans="2:47" ht="15">
      <c r="B23" s="453" t="s">
        <v>442</v>
      </c>
      <c r="C23" s="450"/>
      <c r="D23" s="454">
        <f t="array" ref="D23:D26">MMULT(MINVERSE(D18:G21),I18:I21)</f>
        <v>1</v>
      </c>
      <c r="E23" s="450"/>
      <c r="F23" s="454">
        <v>1</v>
      </c>
      <c r="G23" s="450"/>
      <c r="H23" s="454">
        <v>1</v>
      </c>
      <c r="I23" s="450"/>
      <c r="K23" s="445"/>
      <c r="L23" s="452"/>
      <c r="M23" s="343"/>
      <c r="N23" s="343"/>
      <c r="P23" s="440"/>
      <c r="Q23" s="440"/>
      <c r="R23" s="440"/>
      <c r="S23" s="440"/>
      <c r="T23" s="440"/>
      <c r="U23" s="440"/>
      <c r="V23" s="440"/>
      <c r="W23" s="440"/>
      <c r="X23" s="440"/>
      <c r="Y23" s="440"/>
      <c r="Z23" s="440"/>
      <c r="AA23" s="440"/>
      <c r="AB23" s="440"/>
      <c r="AC23" s="440"/>
      <c r="AD23" s="440"/>
      <c r="AE23" s="440"/>
      <c r="AF23" s="343"/>
      <c r="AG23" s="343"/>
      <c r="AH23" s="343"/>
      <c r="AI23" s="343"/>
      <c r="AJ23" s="343"/>
      <c r="AK23" s="343"/>
      <c r="AL23" s="343"/>
      <c r="AM23" s="343"/>
      <c r="AN23" s="343"/>
    </row>
    <row r="24" spans="2:47" ht="15">
      <c r="B24" s="453" t="s">
        <v>444</v>
      </c>
      <c r="C24" s="450"/>
      <c r="D24" s="454">
        <v>0</v>
      </c>
      <c r="E24" s="450"/>
      <c r="F24" s="454" t="s">
        <v>426</v>
      </c>
      <c r="G24" s="450"/>
      <c r="H24" s="454">
        <f>x</f>
        <v>217.26688621904472</v>
      </c>
      <c r="I24" s="450"/>
      <c r="K24" s="445"/>
      <c r="L24" s="452"/>
      <c r="M24" s="343"/>
      <c r="N24" s="343"/>
      <c r="P24" s="440"/>
      <c r="Q24" s="440"/>
      <c r="R24" s="440"/>
      <c r="S24" s="440"/>
      <c r="T24" s="440"/>
      <c r="U24" s="440"/>
      <c r="V24" s="440"/>
      <c r="W24" s="440"/>
      <c r="X24" s="440"/>
      <c r="Y24" s="440"/>
      <c r="Z24" s="440"/>
      <c r="AA24" s="440"/>
      <c r="AB24" s="440"/>
      <c r="AC24" s="440"/>
      <c r="AD24" s="440"/>
      <c r="AE24" s="440"/>
      <c r="AF24" s="343"/>
      <c r="AG24" s="343"/>
      <c r="AH24" s="343"/>
      <c r="AI24" s="343"/>
      <c r="AJ24" s="343"/>
      <c r="AK24" s="343"/>
      <c r="AL24" s="343"/>
      <c r="AM24" s="343"/>
      <c r="AN24" s="343"/>
    </row>
    <row r="25" spans="2:47" ht="15">
      <c r="B25" s="453" t="s">
        <v>445</v>
      </c>
      <c r="C25" s="450" t="s">
        <v>446</v>
      </c>
      <c r="D25" s="454">
        <v>-0.22999999999999998</v>
      </c>
      <c r="E25" s="450"/>
      <c r="F25" s="454" t="s">
        <v>430</v>
      </c>
      <c r="G25" s="450" t="s">
        <v>446</v>
      </c>
      <c r="H25" s="454">
        <f>y</f>
        <v>0</v>
      </c>
      <c r="I25" s="450"/>
      <c r="K25" s="445"/>
      <c r="L25" s="452"/>
      <c r="M25" s="343"/>
      <c r="N25" s="343"/>
      <c r="P25" s="440"/>
      <c r="Q25" s="440"/>
      <c r="R25" s="440"/>
      <c r="S25" s="440"/>
      <c r="T25" s="440"/>
      <c r="U25" s="440"/>
      <c r="V25" s="440"/>
      <c r="W25" s="440"/>
      <c r="X25" s="440"/>
      <c r="Y25" s="440"/>
      <c r="Z25" s="440"/>
      <c r="AA25" s="440"/>
      <c r="AB25" s="440"/>
      <c r="AC25" s="440"/>
      <c r="AD25" s="440"/>
      <c r="AE25" s="440"/>
      <c r="AF25" s="343"/>
      <c r="AG25" s="343"/>
      <c r="AH25" s="343"/>
      <c r="AI25" s="343"/>
      <c r="AJ25" s="343"/>
      <c r="AK25" s="343"/>
      <c r="AL25" s="343"/>
      <c r="AM25" s="343"/>
      <c r="AN25" s="343"/>
    </row>
    <row r="26" spans="2:47" ht="15">
      <c r="B26" s="453" t="s">
        <v>448</v>
      </c>
      <c r="C26" s="450"/>
      <c r="D26" s="454">
        <v>0</v>
      </c>
      <c r="E26" s="450"/>
      <c r="F26" s="454" t="s">
        <v>449</v>
      </c>
      <c r="G26" s="450"/>
      <c r="H26" s="454">
        <f>H25*H24</f>
        <v>0</v>
      </c>
      <c r="I26" s="450"/>
      <c r="K26" s="445"/>
      <c r="L26" s="452"/>
      <c r="M26" s="343"/>
      <c r="N26" s="343"/>
      <c r="P26" s="440"/>
      <c r="Q26" s="440"/>
      <c r="R26" s="440"/>
      <c r="S26" s="440"/>
      <c r="T26" s="440"/>
      <c r="U26" s="440"/>
      <c r="V26" s="440"/>
      <c r="W26" s="440"/>
      <c r="X26" s="440"/>
      <c r="Y26" s="440"/>
      <c r="Z26" s="440"/>
      <c r="AA26" s="440"/>
      <c r="AB26" s="440"/>
      <c r="AC26" s="440"/>
      <c r="AD26" s="440"/>
      <c r="AE26" s="440"/>
      <c r="AF26" s="343"/>
      <c r="AG26" s="343"/>
      <c r="AH26" s="343"/>
      <c r="AI26" s="343"/>
      <c r="AJ26" s="343"/>
      <c r="AK26" s="343"/>
      <c r="AL26" s="343"/>
      <c r="AM26" s="343"/>
      <c r="AN26" s="343"/>
    </row>
    <row r="27" spans="2:47" ht="15">
      <c r="H27" s="450"/>
      <c r="K27" s="445"/>
      <c r="L27" s="451"/>
      <c r="M27" s="440"/>
      <c r="N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0"/>
      <c r="AC27" s="440"/>
      <c r="AD27" s="440"/>
      <c r="AE27" s="440"/>
      <c r="AF27" s="440"/>
      <c r="AG27" s="440"/>
      <c r="AH27" s="440"/>
      <c r="AI27" s="440"/>
      <c r="AJ27" s="440"/>
      <c r="AK27" s="440"/>
      <c r="AL27" s="440"/>
      <c r="AM27" s="440"/>
      <c r="AN27" s="440"/>
    </row>
    <row r="28" spans="2:47" ht="15">
      <c r="K28" s="445"/>
      <c r="L28" s="451"/>
      <c r="M28" s="343"/>
      <c r="N28" s="343"/>
      <c r="P28" s="440"/>
      <c r="Q28" s="440"/>
      <c r="R28" s="440"/>
      <c r="S28" s="440"/>
      <c r="T28" s="440"/>
      <c r="U28" s="440"/>
      <c r="V28" s="440"/>
      <c r="W28" s="440"/>
      <c r="X28" s="440"/>
      <c r="Y28" s="440"/>
      <c r="Z28" s="440"/>
      <c r="AA28" s="440"/>
      <c r="AB28" s="440"/>
      <c r="AC28" s="440"/>
      <c r="AD28" s="440"/>
      <c r="AE28" s="440"/>
      <c r="AF28" s="440"/>
      <c r="AG28" s="343"/>
      <c r="AH28" s="343"/>
      <c r="AI28" s="343"/>
      <c r="AJ28" s="343"/>
      <c r="AK28" s="343"/>
      <c r="AL28" s="343"/>
      <c r="AM28" s="343"/>
      <c r="AN28" s="343"/>
    </row>
    <row r="29" spans="2:47" ht="15">
      <c r="B29" s="445" t="s">
        <v>450</v>
      </c>
      <c r="C29" s="445"/>
      <c r="D29" s="445"/>
      <c r="E29" s="445"/>
      <c r="F29" s="445"/>
      <c r="G29" s="445"/>
      <c r="H29" s="445"/>
      <c r="I29" s="445"/>
      <c r="K29" s="445"/>
      <c r="L29" s="451"/>
      <c r="M29" s="343"/>
      <c r="N29" s="343"/>
      <c r="P29" s="440"/>
      <c r="Q29" s="440"/>
      <c r="R29" s="440"/>
      <c r="S29" s="440"/>
      <c r="T29" s="440"/>
      <c r="U29" s="440"/>
      <c r="V29" s="440"/>
      <c r="W29" s="440"/>
      <c r="X29" s="440"/>
      <c r="Y29" s="440"/>
      <c r="Z29" s="440"/>
      <c r="AA29" s="440"/>
      <c r="AB29" s="440"/>
      <c r="AC29" s="440"/>
      <c r="AD29" s="440"/>
      <c r="AE29" s="440"/>
      <c r="AF29" s="440"/>
      <c r="AG29" s="343"/>
      <c r="AH29" s="343"/>
      <c r="AI29" s="343"/>
      <c r="AJ29" s="343"/>
      <c r="AK29" s="343"/>
      <c r="AL29" s="343"/>
      <c r="AM29" s="343"/>
      <c r="AN29" s="343"/>
    </row>
    <row r="30" spans="2:47" ht="15">
      <c r="K30" s="445"/>
      <c r="L30" s="451"/>
      <c r="M30" s="343"/>
      <c r="N30" s="343"/>
      <c r="P30" s="440"/>
      <c r="Q30" s="440"/>
      <c r="R30" s="440"/>
      <c r="S30" s="440"/>
      <c r="T30" s="440"/>
      <c r="U30" s="440"/>
      <c r="V30" s="440"/>
      <c r="W30" s="440"/>
      <c r="X30" s="440"/>
      <c r="Y30" s="440"/>
      <c r="Z30" s="440"/>
      <c r="AA30" s="440"/>
      <c r="AB30" s="440"/>
      <c r="AC30" s="440"/>
      <c r="AD30" s="440"/>
      <c r="AE30" s="440"/>
      <c r="AF30" s="440"/>
      <c r="AG30" s="343"/>
      <c r="AH30" s="343"/>
      <c r="AI30" s="343"/>
      <c r="AJ30" s="343"/>
      <c r="AK30" s="343"/>
      <c r="AL30" s="343"/>
      <c r="AM30" s="343"/>
      <c r="AN30" s="343"/>
    </row>
    <row r="31" spans="2:47" ht="15">
      <c r="K31" s="445"/>
      <c r="L31" s="451"/>
      <c r="M31" s="343"/>
      <c r="N31" s="343"/>
      <c r="P31" s="440"/>
      <c r="Q31" s="440"/>
      <c r="R31" s="440"/>
      <c r="S31" s="440"/>
      <c r="T31" s="440"/>
      <c r="U31" s="440"/>
      <c r="V31" s="440"/>
      <c r="W31" s="440"/>
      <c r="X31" s="440"/>
      <c r="Y31" s="440"/>
      <c r="Z31" s="440"/>
      <c r="AA31" s="440"/>
      <c r="AB31" s="440"/>
      <c r="AC31" s="440"/>
      <c r="AD31" s="440"/>
      <c r="AE31" s="440"/>
      <c r="AF31" s="440"/>
      <c r="AG31" s="343"/>
      <c r="AH31" s="343"/>
      <c r="AI31" s="343"/>
      <c r="AJ31" s="343"/>
      <c r="AK31" s="343"/>
      <c r="AL31" s="343"/>
      <c r="AM31" s="343"/>
      <c r="AN31" s="343"/>
    </row>
    <row r="32" spans="2:47" ht="15">
      <c r="K32" s="445"/>
      <c r="L32" s="451"/>
      <c r="M32" s="343"/>
      <c r="N32" s="343"/>
      <c r="P32" s="440"/>
      <c r="Q32" s="440"/>
      <c r="R32" s="440"/>
      <c r="S32" s="440"/>
      <c r="T32" s="440"/>
      <c r="U32" s="440"/>
      <c r="V32" s="440"/>
      <c r="W32" s="440"/>
      <c r="X32" s="440"/>
      <c r="Y32" s="440"/>
      <c r="Z32" s="440"/>
      <c r="AA32" s="440"/>
      <c r="AB32" s="440"/>
      <c r="AC32" s="440"/>
      <c r="AD32" s="440"/>
      <c r="AE32" s="440"/>
      <c r="AF32" s="440"/>
      <c r="AG32" s="343"/>
      <c r="AH32" s="343"/>
      <c r="AI32" s="343"/>
      <c r="AJ32" s="343"/>
      <c r="AK32" s="343"/>
      <c r="AL32" s="343"/>
      <c r="AM32" s="343"/>
      <c r="AN32" s="343"/>
    </row>
    <row r="33" spans="1:40" ht="15">
      <c r="A33" s="497"/>
      <c r="B33" s="497"/>
      <c r="C33" s="497"/>
      <c r="D33" s="497"/>
      <c r="E33" s="497"/>
      <c r="F33" s="497"/>
      <c r="G33" s="497"/>
      <c r="H33" s="497"/>
      <c r="I33" s="497"/>
      <c r="J33" s="497"/>
      <c r="K33" s="445"/>
      <c r="L33" s="451"/>
      <c r="M33" s="343"/>
      <c r="N33" s="343"/>
      <c r="O33" s="440"/>
      <c r="P33" s="440"/>
      <c r="Q33" s="440"/>
      <c r="R33" s="440"/>
      <c r="S33" s="440"/>
      <c r="T33" s="440"/>
      <c r="U33" s="440"/>
      <c r="V33" s="440"/>
      <c r="W33" s="440"/>
      <c r="X33" s="440"/>
      <c r="Y33" s="440"/>
      <c r="Z33" s="440"/>
      <c r="AA33" s="440"/>
      <c r="AB33" s="440"/>
      <c r="AC33" s="440"/>
      <c r="AD33" s="440"/>
      <c r="AE33" s="440"/>
      <c r="AF33" s="440"/>
      <c r="AG33" s="343"/>
      <c r="AH33" s="343"/>
      <c r="AI33" s="343"/>
      <c r="AJ33" s="343"/>
      <c r="AK33" s="343"/>
      <c r="AL33" s="343"/>
      <c r="AM33" s="343"/>
      <c r="AN33" s="343"/>
    </row>
    <row r="34" spans="1:40" ht="15">
      <c r="K34" s="445"/>
      <c r="L34" s="451"/>
      <c r="M34" s="440"/>
      <c r="N34" s="440"/>
      <c r="O34" s="440"/>
      <c r="P34" s="440"/>
      <c r="Q34" s="440"/>
      <c r="R34" s="440"/>
      <c r="S34" s="440"/>
      <c r="T34" s="440"/>
      <c r="U34" s="440"/>
      <c r="V34" s="440"/>
      <c r="W34" s="440"/>
      <c r="X34" s="440"/>
      <c r="Y34" s="440"/>
      <c r="Z34" s="440"/>
      <c r="AA34" s="440"/>
      <c r="AB34" s="440"/>
      <c r="AC34" s="440"/>
      <c r="AD34" s="440"/>
      <c r="AE34" s="440"/>
      <c r="AF34" s="440"/>
      <c r="AG34" s="440"/>
      <c r="AH34" s="440"/>
      <c r="AI34" s="440"/>
      <c r="AJ34" s="440"/>
      <c r="AK34" s="440"/>
      <c r="AL34" s="440"/>
      <c r="AM34" s="440"/>
      <c r="AN34" s="440"/>
    </row>
    <row r="35" spans="1:40" ht="15">
      <c r="K35" s="445"/>
      <c r="L35" s="451"/>
      <c r="M35" s="440"/>
      <c r="N35" s="440"/>
      <c r="O35" s="440"/>
      <c r="P35" s="440"/>
      <c r="Q35" s="440"/>
      <c r="R35" s="440"/>
      <c r="S35" s="440"/>
      <c r="T35" s="440"/>
      <c r="U35" s="440"/>
      <c r="V35" s="440"/>
      <c r="W35" s="440"/>
      <c r="X35" s="440"/>
      <c r="Y35" s="440"/>
      <c r="Z35" s="440"/>
      <c r="AA35" s="440"/>
      <c r="AB35" s="440"/>
      <c r="AC35" s="440"/>
      <c r="AD35" s="440"/>
      <c r="AE35" s="440"/>
      <c r="AF35" s="440"/>
      <c r="AG35" s="440"/>
      <c r="AH35" s="440"/>
      <c r="AI35" s="440"/>
      <c r="AJ35" s="440"/>
      <c r="AK35" s="440"/>
      <c r="AL35" s="440"/>
      <c r="AM35" s="440"/>
      <c r="AN35" s="440"/>
    </row>
    <row r="36" spans="1:40" ht="15">
      <c r="A36" s="497"/>
      <c r="B36" s="497"/>
      <c r="C36" s="497"/>
      <c r="D36" s="497"/>
      <c r="E36" s="497"/>
      <c r="F36" s="497"/>
      <c r="G36" s="497"/>
      <c r="H36" s="497"/>
      <c r="I36" s="497"/>
      <c r="J36" s="497"/>
      <c r="K36" s="445"/>
      <c r="L36" s="451"/>
      <c r="M36" s="440"/>
      <c r="N36" s="440"/>
      <c r="O36" s="440"/>
      <c r="P36" s="440"/>
      <c r="Q36" s="440"/>
      <c r="R36" s="440"/>
      <c r="S36" s="440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  <c r="AG36" s="440"/>
      <c r="AH36" s="440"/>
      <c r="AI36" s="440"/>
      <c r="AJ36" s="440"/>
      <c r="AK36" s="440"/>
      <c r="AL36" s="440"/>
      <c r="AM36" s="440"/>
      <c r="AN36" s="440"/>
    </row>
    <row r="37" spans="1:40" ht="15">
      <c r="K37" s="445"/>
      <c r="L37" s="451"/>
      <c r="M37" s="440"/>
      <c r="N37" s="440"/>
      <c r="O37" s="440"/>
      <c r="P37" s="440"/>
      <c r="Q37" s="440"/>
      <c r="R37" s="440"/>
      <c r="S37" s="440"/>
      <c r="T37" s="440"/>
      <c r="U37" s="440"/>
      <c r="V37" s="440"/>
      <c r="W37" s="440"/>
      <c r="X37" s="440"/>
      <c r="Y37" s="440"/>
      <c r="Z37" s="440"/>
      <c r="AA37" s="440"/>
      <c r="AB37" s="440"/>
      <c r="AC37" s="440"/>
      <c r="AD37" s="440"/>
      <c r="AE37" s="440"/>
      <c r="AF37" s="440"/>
      <c r="AG37" s="440"/>
      <c r="AH37" s="440"/>
      <c r="AI37" s="440"/>
      <c r="AJ37" s="440"/>
      <c r="AK37" s="440"/>
      <c r="AL37" s="440"/>
      <c r="AM37" s="440"/>
      <c r="AN37" s="440"/>
    </row>
    <row r="38" spans="1:40" ht="15">
      <c r="K38" s="445"/>
      <c r="L38" s="451"/>
    </row>
  </sheetData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>
    <tabColor rgb="FF002060"/>
  </sheetPr>
  <dimension ref="A1:AU38"/>
  <sheetViews>
    <sheetView workbookViewId="0">
      <selection activeCell="P14" sqref="P14"/>
    </sheetView>
  </sheetViews>
  <sheetFormatPr defaultRowHeight="12.75"/>
  <cols>
    <col min="1" max="10" width="9.140625" style="443"/>
    <col min="11" max="11" width="9.140625" style="497"/>
    <col min="12" max="12" width="10.5703125" style="497" bestFit="1" customWidth="1"/>
    <col min="13" max="18" width="9.28515625" style="497" bestFit="1" customWidth="1"/>
    <col min="19" max="16384" width="9.140625" style="497"/>
  </cols>
  <sheetData>
    <row r="1" spans="1:47" s="443" customFormat="1" ht="23.25">
      <c r="A1" s="495" t="s">
        <v>627</v>
      </c>
      <c r="L1" s="496" t="s">
        <v>597</v>
      </c>
      <c r="M1" s="519" t="s">
        <v>598</v>
      </c>
    </row>
    <row r="2" spans="1:47" ht="15">
      <c r="B2" s="445" t="s">
        <v>421</v>
      </c>
      <c r="C2" s="445"/>
      <c r="D2" s="445"/>
      <c r="E2" s="446" t="s">
        <v>422</v>
      </c>
      <c r="F2" s="446" t="s">
        <v>423</v>
      </c>
      <c r="G2" s="445" t="s">
        <v>424</v>
      </c>
      <c r="H2" s="445"/>
      <c r="I2" s="445"/>
      <c r="K2" s="447" t="s">
        <v>425</v>
      </c>
      <c r="L2" s="447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  <c r="X2" s="445"/>
      <c r="Y2" s="445"/>
      <c r="Z2" s="445"/>
      <c r="AA2" s="445"/>
      <c r="AB2" s="445"/>
      <c r="AC2" s="445"/>
      <c r="AD2" s="445"/>
      <c r="AE2" s="445"/>
      <c r="AF2" s="445"/>
      <c r="AG2" s="445"/>
      <c r="AH2" s="445"/>
      <c r="AI2" s="445"/>
      <c r="AJ2" s="445"/>
      <c r="AK2" s="445"/>
      <c r="AL2" s="445"/>
      <c r="AM2" s="445"/>
      <c r="AN2" s="445"/>
      <c r="AO2" s="445"/>
      <c r="AP2" s="445"/>
      <c r="AQ2" s="445"/>
      <c r="AR2" s="445"/>
      <c r="AS2" s="445"/>
      <c r="AT2" s="445"/>
      <c r="AU2" s="445"/>
    </row>
    <row r="3" spans="1:47" ht="15">
      <c r="B3" s="443" t="s">
        <v>426</v>
      </c>
      <c r="C3" s="448">
        <v>548.90690909090904</v>
      </c>
      <c r="D3" s="449" t="s">
        <v>427</v>
      </c>
      <c r="E3" s="446">
        <f>MIN(x_value)</f>
        <v>0</v>
      </c>
      <c r="F3" s="446">
        <f>MAX(x_value)</f>
        <v>10000</v>
      </c>
      <c r="G3" s="443" t="s">
        <v>428</v>
      </c>
      <c r="H3" s="450">
        <f>SUMPRODUCT(D23:D26,H23:H26)</f>
        <v>1</v>
      </c>
      <c r="I3" s="449" t="s">
        <v>427</v>
      </c>
      <c r="K3" s="447"/>
      <c r="L3" s="459" t="s">
        <v>429</v>
      </c>
      <c r="M3" s="460">
        <v>0</v>
      </c>
      <c r="N3" s="460">
        <v>1</v>
      </c>
      <c r="O3" s="460"/>
      <c r="P3" s="460"/>
      <c r="Q3" s="460"/>
      <c r="R3" s="460"/>
      <c r="S3" s="452"/>
      <c r="T3" s="452"/>
      <c r="U3" s="452"/>
      <c r="V3" s="451"/>
      <c r="W3" s="451"/>
      <c r="X3" s="451"/>
      <c r="Y3" s="451"/>
      <c r="Z3" s="451"/>
      <c r="AA3" s="451"/>
      <c r="AB3" s="451"/>
      <c r="AC3" s="451"/>
      <c r="AD3" s="451"/>
      <c r="AE3" s="451"/>
      <c r="AF3" s="451"/>
      <c r="AG3" s="451"/>
      <c r="AH3" s="451"/>
      <c r="AI3" s="451"/>
      <c r="AJ3" s="451"/>
      <c r="AK3" s="451"/>
      <c r="AL3" s="451"/>
      <c r="AM3" s="451"/>
      <c r="AN3" s="452"/>
      <c r="AO3" s="452"/>
      <c r="AP3" s="452"/>
      <c r="AQ3" s="452"/>
      <c r="AR3" s="452"/>
      <c r="AS3" s="452"/>
      <c r="AT3" s="452"/>
      <c r="AU3" s="452"/>
    </row>
    <row r="4" spans="1:47" ht="15">
      <c r="B4" s="443" t="s">
        <v>430</v>
      </c>
      <c r="C4" s="448">
        <v>0</v>
      </c>
      <c r="D4" s="449" t="s">
        <v>427</v>
      </c>
      <c r="E4" s="446">
        <f>MIN(y_value)</f>
        <v>0</v>
      </c>
      <c r="F4" s="446">
        <f>MAX(y_value)</f>
        <v>1</v>
      </c>
      <c r="K4" s="445"/>
      <c r="L4" s="460">
        <v>0</v>
      </c>
      <c r="M4" s="461">
        <v>1</v>
      </c>
      <c r="N4" s="461">
        <v>0.71</v>
      </c>
      <c r="O4" s="461"/>
      <c r="P4" s="461"/>
      <c r="Q4" s="461"/>
      <c r="R4" s="461"/>
      <c r="S4" s="343"/>
      <c r="T4" s="343"/>
      <c r="U4" s="343"/>
      <c r="V4" s="440"/>
      <c r="W4" s="440"/>
      <c r="X4" s="440"/>
      <c r="Y4" s="440"/>
      <c r="Z4" s="440"/>
      <c r="AA4" s="440"/>
      <c r="AB4" s="440"/>
      <c r="AC4" s="440"/>
      <c r="AD4" s="440"/>
      <c r="AE4" s="440"/>
      <c r="AF4" s="440"/>
      <c r="AG4" s="440"/>
      <c r="AH4" s="440"/>
      <c r="AI4" s="440"/>
      <c r="AJ4" s="440"/>
      <c r="AK4" s="440"/>
      <c r="AL4" s="440"/>
      <c r="AM4" s="343"/>
      <c r="AN4" s="343"/>
      <c r="AO4" s="343"/>
      <c r="AP4" s="343"/>
      <c r="AQ4" s="343"/>
      <c r="AR4" s="343"/>
      <c r="AS4" s="343"/>
      <c r="AT4" s="343"/>
      <c r="AU4" s="343"/>
    </row>
    <row r="5" spans="1:47" ht="15">
      <c r="K5" s="445"/>
      <c r="L5" s="460">
        <v>600</v>
      </c>
      <c r="M5" s="461">
        <v>1</v>
      </c>
      <c r="N5" s="461">
        <v>0.71</v>
      </c>
      <c r="O5" s="461"/>
      <c r="P5" s="461"/>
      <c r="Q5" s="461"/>
      <c r="R5" s="461"/>
      <c r="S5" s="343"/>
      <c r="T5" s="343"/>
      <c r="U5" s="343"/>
      <c r="V5" s="440"/>
      <c r="W5" s="440"/>
      <c r="X5" s="440"/>
      <c r="Y5" s="440"/>
      <c r="Z5" s="440"/>
      <c r="AA5" s="440"/>
      <c r="AB5" s="440"/>
      <c r="AC5" s="440"/>
      <c r="AD5" s="440"/>
      <c r="AE5" s="440"/>
      <c r="AF5" s="440"/>
      <c r="AG5" s="440"/>
      <c r="AH5" s="440"/>
      <c r="AI5" s="440"/>
      <c r="AJ5" s="440"/>
      <c r="AK5" s="440"/>
      <c r="AL5" s="440"/>
      <c r="AM5" s="343"/>
      <c r="AN5" s="343"/>
      <c r="AO5" s="343"/>
      <c r="AP5" s="343"/>
      <c r="AQ5" s="343"/>
      <c r="AR5" s="343"/>
      <c r="AS5" s="343"/>
      <c r="AT5" s="343"/>
      <c r="AU5" s="343"/>
    </row>
    <row r="6" spans="1:47" ht="15">
      <c r="B6" s="445" t="s">
        <v>431</v>
      </c>
      <c r="C6" s="445"/>
      <c r="D6" s="445"/>
      <c r="F6" s="446" t="s">
        <v>432</v>
      </c>
      <c r="K6" s="445"/>
      <c r="L6" s="460">
        <v>600.01</v>
      </c>
      <c r="M6" s="461">
        <v>1</v>
      </c>
      <c r="N6" s="461">
        <v>0.93</v>
      </c>
      <c r="O6" s="461"/>
      <c r="P6" s="461"/>
      <c r="Q6" s="461"/>
      <c r="R6" s="461"/>
      <c r="S6" s="343"/>
      <c r="T6" s="343"/>
      <c r="U6" s="343"/>
      <c r="V6" s="440"/>
      <c r="W6" s="440"/>
      <c r="X6" s="440"/>
      <c r="Y6" s="440"/>
      <c r="Z6" s="440"/>
      <c r="AA6" s="440"/>
      <c r="AB6" s="440"/>
      <c r="AC6" s="440"/>
      <c r="AD6" s="440"/>
      <c r="AE6" s="440"/>
      <c r="AF6" s="440"/>
      <c r="AG6" s="440"/>
      <c r="AH6" s="440"/>
      <c r="AI6" s="440"/>
      <c r="AJ6" s="440"/>
      <c r="AK6" s="440"/>
      <c r="AL6" s="440"/>
      <c r="AM6" s="343"/>
      <c r="AN6" s="343"/>
      <c r="AO6" s="343"/>
      <c r="AP6" s="343"/>
      <c r="AQ6" s="343"/>
      <c r="AR6" s="343"/>
      <c r="AS6" s="343"/>
      <c r="AT6" s="343"/>
      <c r="AU6" s="343"/>
    </row>
    <row r="7" spans="1:47" ht="15">
      <c r="B7" s="443" t="s">
        <v>433</v>
      </c>
      <c r="C7" s="450">
        <f>INDEX(x_value,MATCH(x,x_value,1))</f>
        <v>0</v>
      </c>
      <c r="D7" s="449" t="s">
        <v>427</v>
      </c>
      <c r="F7" s="446">
        <f>MATCH(x,x_value,1)</f>
        <v>1</v>
      </c>
      <c r="K7" s="445"/>
      <c r="L7" s="460">
        <v>1200</v>
      </c>
      <c r="M7" s="461">
        <v>1</v>
      </c>
      <c r="N7" s="461">
        <v>0.93</v>
      </c>
      <c r="O7" s="461"/>
      <c r="P7" s="461"/>
      <c r="Q7" s="461"/>
      <c r="R7" s="461"/>
      <c r="S7" s="343"/>
      <c r="T7" s="343"/>
      <c r="U7" s="343"/>
      <c r="V7" s="440"/>
      <c r="W7" s="440"/>
      <c r="X7" s="440"/>
      <c r="Y7" s="440"/>
      <c r="Z7" s="440"/>
      <c r="AA7" s="440"/>
      <c r="AB7" s="440"/>
      <c r="AC7" s="440"/>
      <c r="AD7" s="440"/>
      <c r="AE7" s="440"/>
      <c r="AF7" s="440"/>
      <c r="AG7" s="440"/>
      <c r="AH7" s="440"/>
      <c r="AI7" s="440"/>
      <c r="AJ7" s="440"/>
      <c r="AK7" s="440"/>
      <c r="AL7" s="440"/>
      <c r="AM7" s="343"/>
      <c r="AN7" s="343"/>
      <c r="AO7" s="343"/>
      <c r="AP7" s="343"/>
      <c r="AQ7" s="343"/>
      <c r="AR7" s="343"/>
      <c r="AS7" s="343"/>
      <c r="AT7" s="343"/>
      <c r="AU7" s="343"/>
    </row>
    <row r="8" spans="1:47" ht="15">
      <c r="B8" s="443" t="s">
        <v>434</v>
      </c>
      <c r="C8" s="450">
        <f>INDEX(x_value,MATCH(x,x_value,1)+1)</f>
        <v>600</v>
      </c>
      <c r="D8" s="449" t="s">
        <v>427</v>
      </c>
      <c r="F8" s="446">
        <f>MATCH(x,x_value,1)+1</f>
        <v>2</v>
      </c>
      <c r="K8" s="445"/>
      <c r="L8" s="460">
        <v>1200.01</v>
      </c>
      <c r="M8" s="461">
        <v>1</v>
      </c>
      <c r="N8" s="461">
        <v>0.99</v>
      </c>
      <c r="O8" s="461"/>
      <c r="P8" s="461"/>
      <c r="Q8" s="461"/>
      <c r="R8" s="461"/>
      <c r="S8" s="343"/>
      <c r="T8" s="343"/>
      <c r="U8" s="343"/>
      <c r="V8" s="440"/>
      <c r="W8" s="440"/>
      <c r="X8" s="440"/>
      <c r="Y8" s="440"/>
      <c r="Z8" s="440"/>
      <c r="AA8" s="440"/>
      <c r="AB8" s="440"/>
      <c r="AC8" s="440"/>
      <c r="AD8" s="440"/>
      <c r="AE8" s="440"/>
      <c r="AF8" s="440"/>
      <c r="AG8" s="440"/>
      <c r="AH8" s="440"/>
      <c r="AI8" s="440"/>
      <c r="AJ8" s="440"/>
      <c r="AK8" s="440"/>
      <c r="AL8" s="440"/>
      <c r="AM8" s="343"/>
      <c r="AN8" s="343"/>
      <c r="AO8" s="343"/>
      <c r="AP8" s="343"/>
      <c r="AQ8" s="343"/>
      <c r="AR8" s="343"/>
      <c r="AS8" s="343"/>
      <c r="AT8" s="343"/>
      <c r="AU8" s="343"/>
    </row>
    <row r="9" spans="1:47" ht="15">
      <c r="B9" s="443" t="s">
        <v>435</v>
      </c>
      <c r="C9" s="450">
        <f>INDEX(y_value,MATCH(y,y_value,1))</f>
        <v>0</v>
      </c>
      <c r="D9" s="449" t="s">
        <v>427</v>
      </c>
      <c r="F9" s="446">
        <f>MATCH(y,y_value,1)</f>
        <v>1</v>
      </c>
      <c r="K9" s="445"/>
      <c r="L9" s="460">
        <v>10000</v>
      </c>
      <c r="M9" s="461">
        <v>1</v>
      </c>
      <c r="N9" s="461">
        <v>0.99</v>
      </c>
      <c r="O9" s="461"/>
      <c r="P9" s="461"/>
      <c r="R9" s="461"/>
      <c r="S9" s="343"/>
      <c r="T9" s="343"/>
      <c r="U9" s="343"/>
      <c r="V9" s="440"/>
      <c r="W9" s="440"/>
      <c r="X9" s="440"/>
      <c r="Y9" s="440"/>
      <c r="Z9" s="440"/>
      <c r="AA9" s="440"/>
      <c r="AB9" s="440"/>
      <c r="AC9" s="440"/>
      <c r="AD9" s="440"/>
      <c r="AE9" s="440"/>
      <c r="AF9" s="440"/>
      <c r="AG9" s="440"/>
      <c r="AH9" s="440"/>
      <c r="AI9" s="440"/>
      <c r="AJ9" s="440"/>
      <c r="AK9" s="440"/>
      <c r="AL9" s="440"/>
      <c r="AM9" s="343"/>
      <c r="AN9" s="343"/>
      <c r="AO9" s="343"/>
      <c r="AP9" s="343"/>
      <c r="AQ9" s="343"/>
      <c r="AR9" s="343"/>
      <c r="AS9" s="343"/>
      <c r="AT9" s="343"/>
      <c r="AU9" s="343"/>
    </row>
    <row r="10" spans="1:47" ht="15">
      <c r="B10" s="443" t="s">
        <v>436</v>
      </c>
      <c r="C10" s="450">
        <f>INDEX(y_value,MATCH(y,y_value,1)+1)</f>
        <v>1</v>
      </c>
      <c r="D10" s="449" t="s">
        <v>427</v>
      </c>
      <c r="F10" s="446">
        <f>MATCH(y,y_value,1)+1</f>
        <v>2</v>
      </c>
      <c r="K10" s="445"/>
      <c r="L10" s="460"/>
      <c r="M10" s="461"/>
      <c r="N10" s="461"/>
      <c r="O10" s="461"/>
      <c r="R10" s="461"/>
      <c r="S10" s="343"/>
      <c r="T10" s="343"/>
      <c r="U10" s="343"/>
      <c r="V10" s="440"/>
      <c r="W10" s="440"/>
      <c r="X10" s="440"/>
      <c r="Y10" s="440"/>
      <c r="Z10" s="440"/>
      <c r="AA10" s="440"/>
      <c r="AB10" s="440"/>
      <c r="AC10" s="440"/>
      <c r="AD10" s="440"/>
      <c r="AE10" s="440"/>
      <c r="AF10" s="440"/>
      <c r="AG10" s="440"/>
      <c r="AH10" s="440"/>
      <c r="AI10" s="440"/>
      <c r="AJ10" s="440"/>
      <c r="AK10" s="440"/>
      <c r="AL10" s="440"/>
      <c r="AM10" s="343"/>
      <c r="AN10" s="343"/>
      <c r="AO10" s="343"/>
      <c r="AP10" s="343"/>
      <c r="AQ10" s="343"/>
      <c r="AR10" s="343"/>
      <c r="AS10" s="343"/>
      <c r="AT10" s="343"/>
      <c r="AU10" s="343"/>
    </row>
    <row r="11" spans="1:47" ht="15">
      <c r="B11" s="443" t="s">
        <v>437</v>
      </c>
      <c r="C11" s="450">
        <f>INDEX(z_value,MATCH(x_1,x_value,1),MATCH(y_1,y_value,1))</f>
        <v>1</v>
      </c>
      <c r="D11" s="449" t="s">
        <v>427</v>
      </c>
      <c r="K11" s="445"/>
      <c r="L11" s="460"/>
      <c r="M11" s="461"/>
      <c r="N11" s="461"/>
      <c r="O11" s="461"/>
      <c r="S11" s="343"/>
      <c r="T11" s="343"/>
      <c r="U11" s="343"/>
      <c r="V11" s="440"/>
      <c r="W11" s="440"/>
      <c r="X11" s="440"/>
      <c r="Y11" s="440"/>
      <c r="Z11" s="440"/>
      <c r="AA11" s="440"/>
      <c r="AB11" s="440"/>
      <c r="AC11" s="440"/>
      <c r="AD11" s="440"/>
      <c r="AE11" s="440"/>
      <c r="AF11" s="440"/>
      <c r="AG11" s="440"/>
      <c r="AH11" s="440"/>
      <c r="AI11" s="440"/>
      <c r="AJ11" s="440"/>
      <c r="AK11" s="440"/>
      <c r="AL11" s="440"/>
      <c r="AM11" s="343"/>
      <c r="AN11" s="343"/>
      <c r="AO11" s="343"/>
      <c r="AP11" s="343"/>
      <c r="AQ11" s="343"/>
      <c r="AR11" s="343"/>
      <c r="AS11" s="343"/>
      <c r="AT11" s="343"/>
      <c r="AU11" s="343"/>
    </row>
    <row r="12" spans="1:47" ht="15">
      <c r="B12" s="443" t="s">
        <v>438</v>
      </c>
      <c r="C12" s="450">
        <f>INDEX(z_value,MATCH(x_1,x_value,1),MATCH(y_2,y_value,1))</f>
        <v>0.71</v>
      </c>
      <c r="D12" s="449" t="s">
        <v>427</v>
      </c>
      <c r="K12" s="445"/>
      <c r="L12" s="460"/>
      <c r="M12" s="461"/>
      <c r="N12" s="461"/>
      <c r="O12" s="461"/>
      <c r="P12" s="461"/>
      <c r="S12" s="343"/>
      <c r="T12" s="343"/>
      <c r="U12" s="343"/>
      <c r="V12" s="440"/>
      <c r="W12" s="440"/>
      <c r="X12" s="440"/>
      <c r="Y12" s="440"/>
      <c r="Z12" s="440"/>
      <c r="AA12" s="440"/>
      <c r="AB12" s="440"/>
      <c r="AC12" s="440"/>
      <c r="AD12" s="440"/>
      <c r="AE12" s="440"/>
      <c r="AF12" s="440"/>
      <c r="AG12" s="440"/>
      <c r="AH12" s="440"/>
      <c r="AI12" s="440"/>
      <c r="AJ12" s="440"/>
      <c r="AK12" s="440"/>
      <c r="AL12" s="440"/>
      <c r="AM12" s="343"/>
      <c r="AN12" s="343"/>
      <c r="AO12" s="343"/>
      <c r="AP12" s="343"/>
      <c r="AQ12" s="343"/>
      <c r="AR12" s="343"/>
      <c r="AS12" s="343"/>
      <c r="AT12" s="343"/>
      <c r="AU12" s="343"/>
    </row>
    <row r="13" spans="1:47" ht="15" customHeight="1">
      <c r="B13" s="443" t="s">
        <v>439</v>
      </c>
      <c r="C13" s="450">
        <f>INDEX(z_value,MATCH(x_2,x_value,1),MATCH(y_1,y_value,1))</f>
        <v>1</v>
      </c>
      <c r="D13" s="449" t="s">
        <v>427</v>
      </c>
      <c r="K13" s="445"/>
      <c r="L13" s="460"/>
      <c r="M13" s="461"/>
      <c r="N13" s="461"/>
      <c r="O13" s="461"/>
      <c r="P13" s="462"/>
      <c r="Q13" s="462"/>
      <c r="R13" s="462"/>
      <c r="W13" s="440"/>
      <c r="X13" s="440"/>
      <c r="Y13" s="440"/>
      <c r="Z13" s="440"/>
      <c r="AA13" s="440"/>
      <c r="AB13" s="440"/>
      <c r="AC13" s="440"/>
      <c r="AD13" s="440"/>
      <c r="AE13" s="440"/>
      <c r="AF13" s="440"/>
      <c r="AG13" s="440"/>
      <c r="AH13" s="440"/>
      <c r="AI13" s="440"/>
      <c r="AJ13" s="440"/>
      <c r="AK13" s="440"/>
      <c r="AL13" s="440"/>
      <c r="AM13" s="343"/>
      <c r="AN13" s="343"/>
      <c r="AO13" s="343"/>
      <c r="AP13" s="343"/>
      <c r="AQ13" s="343"/>
      <c r="AR13" s="343"/>
      <c r="AS13" s="343"/>
      <c r="AT13" s="343"/>
      <c r="AU13" s="343"/>
    </row>
    <row r="14" spans="1:47" ht="15" customHeight="1">
      <c r="B14" s="443" t="s">
        <v>440</v>
      </c>
      <c r="C14" s="450">
        <f>INDEX(z_value,MATCH(x_2,x_value,1),MATCH(y_2,y_value,1))</f>
        <v>0.71</v>
      </c>
      <c r="D14" s="449" t="s">
        <v>427</v>
      </c>
      <c r="K14" s="445"/>
      <c r="L14" s="460"/>
      <c r="M14" s="461"/>
      <c r="N14" s="461"/>
      <c r="O14" s="461"/>
      <c r="P14" s="462"/>
      <c r="Q14" s="462"/>
      <c r="R14" s="462"/>
      <c r="W14" s="440"/>
      <c r="X14" s="440"/>
      <c r="Y14" s="440"/>
      <c r="Z14" s="440"/>
      <c r="AA14" s="440"/>
      <c r="AB14" s="440"/>
      <c r="AC14" s="440"/>
      <c r="AD14" s="440"/>
      <c r="AE14" s="440"/>
      <c r="AF14" s="440"/>
      <c r="AG14" s="440"/>
      <c r="AH14" s="440"/>
      <c r="AI14" s="440"/>
      <c r="AJ14" s="440"/>
      <c r="AK14" s="440"/>
      <c r="AL14" s="440"/>
      <c r="AM14" s="343"/>
      <c r="AN14" s="343"/>
      <c r="AO14" s="343"/>
      <c r="AP14" s="343"/>
      <c r="AQ14" s="343"/>
      <c r="AR14" s="343"/>
      <c r="AS14" s="343"/>
      <c r="AT14" s="343"/>
      <c r="AU14" s="343"/>
    </row>
    <row r="15" spans="1:47" ht="15">
      <c r="K15" s="445"/>
      <c r="L15" s="460"/>
      <c r="M15" s="463"/>
      <c r="N15" s="463"/>
      <c r="O15" s="463"/>
      <c r="P15" s="462"/>
      <c r="Q15" s="462"/>
      <c r="R15" s="462"/>
      <c r="W15" s="440"/>
      <c r="X15" s="440"/>
      <c r="Y15" s="440"/>
      <c r="Z15" s="440"/>
      <c r="AA15" s="440"/>
      <c r="AB15" s="440"/>
      <c r="AC15" s="440"/>
      <c r="AD15" s="440"/>
      <c r="AE15" s="440"/>
      <c r="AF15" s="440"/>
      <c r="AG15" s="440"/>
      <c r="AH15" s="440"/>
      <c r="AI15" s="440"/>
      <c r="AJ15" s="440"/>
      <c r="AK15" s="440"/>
      <c r="AL15" s="440"/>
      <c r="AM15" s="343"/>
      <c r="AN15" s="440"/>
      <c r="AO15" s="440"/>
      <c r="AP15" s="440"/>
      <c r="AQ15" s="440"/>
      <c r="AR15" s="440"/>
      <c r="AS15" s="440"/>
      <c r="AT15" s="440"/>
      <c r="AU15" s="440"/>
    </row>
    <row r="16" spans="1:47" ht="15">
      <c r="B16" s="445" t="s">
        <v>441</v>
      </c>
      <c r="C16" s="445"/>
      <c r="D16" s="445"/>
      <c r="E16" s="445"/>
      <c r="F16" s="445"/>
      <c r="G16" s="445"/>
      <c r="H16" s="445"/>
      <c r="I16" s="445"/>
      <c r="K16" s="445"/>
      <c r="L16" s="460"/>
      <c r="M16" s="463"/>
      <c r="N16" s="463"/>
      <c r="O16" s="463"/>
      <c r="P16" s="462"/>
      <c r="Q16" s="462"/>
      <c r="R16" s="462"/>
      <c r="W16" s="440"/>
      <c r="X16" s="440"/>
      <c r="Y16" s="440"/>
      <c r="Z16" s="440"/>
      <c r="AA16" s="440"/>
      <c r="AB16" s="440"/>
      <c r="AC16" s="440"/>
      <c r="AD16" s="440"/>
      <c r="AE16" s="440"/>
      <c r="AF16" s="440"/>
      <c r="AG16" s="440"/>
      <c r="AH16" s="440"/>
      <c r="AI16" s="440"/>
      <c r="AJ16" s="440"/>
      <c r="AK16" s="440"/>
      <c r="AL16" s="440"/>
      <c r="AM16" s="343"/>
      <c r="AN16" s="440"/>
      <c r="AO16" s="440"/>
      <c r="AP16" s="440"/>
      <c r="AQ16" s="440"/>
      <c r="AR16" s="440"/>
      <c r="AS16" s="440"/>
      <c r="AT16" s="440"/>
      <c r="AU16" s="440"/>
    </row>
    <row r="17" spans="2:47" ht="15">
      <c r="K17" s="445"/>
      <c r="L17" s="460"/>
      <c r="M17" s="461"/>
      <c r="N17" s="461"/>
      <c r="O17" s="461"/>
      <c r="P17" s="462"/>
      <c r="Q17" s="462"/>
      <c r="R17" s="462"/>
      <c r="W17" s="440"/>
      <c r="X17" s="440"/>
      <c r="Y17" s="440"/>
      <c r="Z17" s="440"/>
      <c r="AA17" s="440"/>
      <c r="AB17" s="440"/>
      <c r="AC17" s="440"/>
      <c r="AD17" s="440"/>
      <c r="AE17" s="440"/>
      <c r="AF17" s="440"/>
      <c r="AG17" s="440"/>
      <c r="AH17" s="440"/>
      <c r="AI17" s="440"/>
      <c r="AJ17" s="440"/>
      <c r="AK17" s="440"/>
      <c r="AL17" s="440"/>
      <c r="AM17" s="343"/>
      <c r="AN17" s="343"/>
      <c r="AO17" s="343"/>
      <c r="AP17" s="343"/>
      <c r="AQ17" s="343"/>
      <c r="AR17" s="343"/>
      <c r="AS17" s="343"/>
      <c r="AT17" s="343"/>
      <c r="AU17" s="343"/>
    </row>
    <row r="18" spans="2:47" ht="15">
      <c r="B18" s="453" t="s">
        <v>442</v>
      </c>
      <c r="C18" s="450"/>
      <c r="D18" s="454">
        <v>1</v>
      </c>
      <c r="E18" s="455">
        <f>x_1</f>
        <v>0</v>
      </c>
      <c r="F18" s="455">
        <f>y_1</f>
        <v>0</v>
      </c>
      <c r="G18" s="456">
        <f>E18*F18</f>
        <v>0</v>
      </c>
      <c r="H18" s="457" t="s">
        <v>443</v>
      </c>
      <c r="I18" s="454">
        <f>f_11</f>
        <v>1</v>
      </c>
      <c r="K18" s="445"/>
      <c r="L18" s="460"/>
      <c r="M18" s="461"/>
      <c r="N18" s="461"/>
      <c r="O18" s="461"/>
      <c r="P18" s="462"/>
      <c r="Q18" s="462"/>
      <c r="R18" s="462"/>
      <c r="W18" s="440"/>
      <c r="X18" s="440"/>
      <c r="Y18" s="440"/>
      <c r="Z18" s="440"/>
      <c r="AA18" s="440"/>
      <c r="AB18" s="440"/>
      <c r="AC18" s="440"/>
      <c r="AD18" s="440"/>
      <c r="AE18" s="440"/>
      <c r="AF18" s="440"/>
      <c r="AG18" s="440"/>
      <c r="AH18" s="440"/>
      <c r="AI18" s="440"/>
      <c r="AJ18" s="440"/>
      <c r="AK18" s="440"/>
      <c r="AL18" s="440"/>
      <c r="AM18" s="343"/>
      <c r="AN18" s="343"/>
      <c r="AO18" s="343"/>
      <c r="AP18" s="343"/>
      <c r="AQ18" s="343"/>
      <c r="AR18" s="343"/>
      <c r="AS18" s="343"/>
      <c r="AT18" s="343"/>
      <c r="AU18" s="343"/>
    </row>
    <row r="19" spans="2:47" ht="15">
      <c r="B19" s="453" t="s">
        <v>444</v>
      </c>
      <c r="C19" s="450"/>
      <c r="D19" s="454">
        <v>1</v>
      </c>
      <c r="E19" s="455">
        <f>x_1</f>
        <v>0</v>
      </c>
      <c r="F19" s="455">
        <f>y_2</f>
        <v>1</v>
      </c>
      <c r="G19" s="456">
        <f t="shared" ref="G19:G21" si="0">E19*F19</f>
        <v>0</v>
      </c>
      <c r="H19" s="450"/>
      <c r="I19" s="454">
        <f>f_12</f>
        <v>0.71</v>
      </c>
      <c r="K19" s="445"/>
      <c r="L19" s="459"/>
      <c r="M19" s="463"/>
      <c r="N19" s="463"/>
      <c r="O19" s="463"/>
      <c r="P19" s="462"/>
      <c r="Q19" s="462"/>
      <c r="R19" s="462"/>
      <c r="W19" s="440"/>
      <c r="X19" s="440"/>
      <c r="Y19" s="440"/>
      <c r="Z19" s="440"/>
      <c r="AA19" s="440"/>
      <c r="AB19" s="440"/>
      <c r="AC19" s="440"/>
      <c r="AD19" s="440"/>
      <c r="AE19" s="440"/>
      <c r="AF19" s="440"/>
      <c r="AG19" s="440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440"/>
      <c r="AU19" s="440"/>
    </row>
    <row r="20" spans="2:47" ht="15">
      <c r="B20" s="453" t="s">
        <v>445</v>
      </c>
      <c r="C20" s="450" t="s">
        <v>446</v>
      </c>
      <c r="D20" s="454">
        <v>1</v>
      </c>
      <c r="E20" s="455">
        <f>x_2</f>
        <v>600</v>
      </c>
      <c r="F20" s="455">
        <f>y_1</f>
        <v>0</v>
      </c>
      <c r="G20" s="456">
        <f t="shared" si="0"/>
        <v>0</v>
      </c>
      <c r="H20" s="450" t="s">
        <v>447</v>
      </c>
      <c r="I20" s="454">
        <f>f_21</f>
        <v>1</v>
      </c>
      <c r="K20" s="445"/>
      <c r="L20" s="459"/>
      <c r="M20" s="463"/>
      <c r="N20" s="463"/>
      <c r="O20" s="463"/>
      <c r="P20" s="462"/>
      <c r="Q20" s="462"/>
      <c r="R20" s="462"/>
      <c r="W20" s="440"/>
      <c r="X20" s="440"/>
      <c r="Y20" s="440"/>
      <c r="Z20" s="440"/>
      <c r="AA20" s="440"/>
      <c r="AB20" s="440"/>
      <c r="AC20" s="440"/>
      <c r="AD20" s="440"/>
      <c r="AE20" s="440"/>
      <c r="AF20" s="440"/>
      <c r="AG20" s="440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40"/>
    </row>
    <row r="21" spans="2:47" ht="15" customHeight="1">
      <c r="B21" s="453" t="s">
        <v>448</v>
      </c>
      <c r="C21" s="450"/>
      <c r="D21" s="454">
        <v>1</v>
      </c>
      <c r="E21" s="455">
        <f>x_2</f>
        <v>600</v>
      </c>
      <c r="F21" s="455">
        <f>y_2</f>
        <v>1</v>
      </c>
      <c r="G21" s="456">
        <f t="shared" si="0"/>
        <v>600</v>
      </c>
      <c r="H21" s="450"/>
      <c r="I21" s="454">
        <f>f_22</f>
        <v>0.71</v>
      </c>
      <c r="K21" s="445"/>
      <c r="L21" s="452"/>
      <c r="M21" s="343"/>
      <c r="N21" s="343"/>
      <c r="P21" s="440"/>
      <c r="Q21" s="440"/>
      <c r="R21" s="440"/>
      <c r="S21" s="440"/>
      <c r="T21" s="440"/>
      <c r="U21" s="440"/>
      <c r="V21" s="440"/>
      <c r="W21" s="440"/>
      <c r="X21" s="440"/>
      <c r="Y21" s="440"/>
      <c r="Z21" s="440"/>
      <c r="AA21" s="440"/>
      <c r="AB21" s="440"/>
      <c r="AC21" s="440"/>
      <c r="AD21" s="440"/>
      <c r="AE21" s="440"/>
      <c r="AF21" s="343"/>
      <c r="AG21" s="343"/>
      <c r="AH21" s="343"/>
      <c r="AI21" s="343"/>
      <c r="AJ21" s="343"/>
      <c r="AK21" s="343"/>
      <c r="AL21" s="343"/>
      <c r="AM21" s="343"/>
      <c r="AN21" s="343"/>
    </row>
    <row r="22" spans="2:47" ht="15" customHeight="1">
      <c r="B22" s="458"/>
      <c r="C22" s="450"/>
      <c r="D22" s="450"/>
      <c r="E22" s="450"/>
      <c r="F22" s="450"/>
      <c r="G22" s="450"/>
      <c r="H22" s="450"/>
      <c r="I22" s="450"/>
      <c r="K22" s="445"/>
      <c r="L22" s="452"/>
      <c r="M22" s="343"/>
      <c r="N22" s="343"/>
      <c r="P22" s="440"/>
      <c r="Q22" s="440"/>
      <c r="R22" s="440"/>
      <c r="S22" s="440"/>
      <c r="T22" s="440"/>
      <c r="U22" s="440"/>
      <c r="V22" s="440"/>
      <c r="W22" s="440"/>
      <c r="X22" s="440"/>
      <c r="Y22" s="440"/>
      <c r="Z22" s="440"/>
      <c r="AA22" s="440"/>
      <c r="AB22" s="440"/>
      <c r="AC22" s="440"/>
      <c r="AD22" s="440"/>
      <c r="AE22" s="440"/>
      <c r="AF22" s="343"/>
      <c r="AG22" s="343"/>
      <c r="AH22" s="343"/>
      <c r="AI22" s="343"/>
      <c r="AJ22" s="343"/>
      <c r="AK22" s="343"/>
      <c r="AL22" s="343"/>
      <c r="AM22" s="343"/>
      <c r="AN22" s="343"/>
    </row>
    <row r="23" spans="2:47" ht="15">
      <c r="B23" s="453" t="s">
        <v>442</v>
      </c>
      <c r="C23" s="450"/>
      <c r="D23" s="454">
        <f t="array" ref="D23:D26">MMULT(MINVERSE(D18:G21),I18:I21)</f>
        <v>1</v>
      </c>
      <c r="E23" s="450"/>
      <c r="F23" s="454">
        <v>1</v>
      </c>
      <c r="G23" s="450"/>
      <c r="H23" s="454">
        <v>1</v>
      </c>
      <c r="I23" s="450"/>
      <c r="K23" s="445"/>
      <c r="L23" s="452"/>
      <c r="M23" s="343"/>
      <c r="N23" s="343"/>
      <c r="P23" s="440"/>
      <c r="Q23" s="440"/>
      <c r="R23" s="440"/>
      <c r="S23" s="440"/>
      <c r="T23" s="440"/>
      <c r="U23" s="440"/>
      <c r="V23" s="440"/>
      <c r="W23" s="440"/>
      <c r="X23" s="440"/>
      <c r="Y23" s="440"/>
      <c r="Z23" s="440"/>
      <c r="AA23" s="440"/>
      <c r="AB23" s="440"/>
      <c r="AC23" s="440"/>
      <c r="AD23" s="440"/>
      <c r="AE23" s="440"/>
      <c r="AF23" s="343"/>
      <c r="AG23" s="343"/>
      <c r="AH23" s="343"/>
      <c r="AI23" s="343"/>
      <c r="AJ23" s="343"/>
      <c r="AK23" s="343"/>
      <c r="AL23" s="343"/>
      <c r="AM23" s="343"/>
      <c r="AN23" s="343"/>
    </row>
    <row r="24" spans="2:47" ht="15">
      <c r="B24" s="453" t="s">
        <v>444</v>
      </c>
      <c r="C24" s="450"/>
      <c r="D24" s="454">
        <v>0</v>
      </c>
      <c r="E24" s="450"/>
      <c r="F24" s="454" t="s">
        <v>426</v>
      </c>
      <c r="G24" s="450"/>
      <c r="H24" s="454">
        <f>x</f>
        <v>548.90690909090904</v>
      </c>
      <c r="I24" s="450"/>
      <c r="K24" s="445"/>
      <c r="L24" s="452"/>
      <c r="M24" s="343"/>
      <c r="N24" s="343"/>
      <c r="P24" s="440"/>
      <c r="Q24" s="440"/>
      <c r="R24" s="440"/>
      <c r="S24" s="440"/>
      <c r="T24" s="440"/>
      <c r="U24" s="440"/>
      <c r="V24" s="440"/>
      <c r="W24" s="440"/>
      <c r="X24" s="440"/>
      <c r="Y24" s="440"/>
      <c r="Z24" s="440"/>
      <c r="AA24" s="440"/>
      <c r="AB24" s="440"/>
      <c r="AC24" s="440"/>
      <c r="AD24" s="440"/>
      <c r="AE24" s="440"/>
      <c r="AF24" s="343"/>
      <c r="AG24" s="343"/>
      <c r="AH24" s="343"/>
      <c r="AI24" s="343"/>
      <c r="AJ24" s="343"/>
      <c r="AK24" s="343"/>
      <c r="AL24" s="343"/>
      <c r="AM24" s="343"/>
      <c r="AN24" s="343"/>
    </row>
    <row r="25" spans="2:47" ht="15">
      <c r="B25" s="453" t="s">
        <v>445</v>
      </c>
      <c r="C25" s="450" t="s">
        <v>446</v>
      </c>
      <c r="D25" s="454">
        <v>-0.29000000000000004</v>
      </c>
      <c r="E25" s="450"/>
      <c r="F25" s="454" t="s">
        <v>430</v>
      </c>
      <c r="G25" s="450" t="s">
        <v>446</v>
      </c>
      <c r="H25" s="454">
        <f>y</f>
        <v>0</v>
      </c>
      <c r="I25" s="450"/>
      <c r="K25" s="445"/>
      <c r="L25" s="452"/>
      <c r="M25" s="343"/>
      <c r="N25" s="343"/>
      <c r="P25" s="440"/>
      <c r="Q25" s="440"/>
      <c r="R25" s="440"/>
      <c r="S25" s="440"/>
      <c r="T25" s="440"/>
      <c r="U25" s="440"/>
      <c r="V25" s="440"/>
      <c r="W25" s="440"/>
      <c r="X25" s="440"/>
      <c r="Y25" s="440"/>
      <c r="Z25" s="440"/>
      <c r="AA25" s="440"/>
      <c r="AB25" s="440"/>
      <c r="AC25" s="440"/>
      <c r="AD25" s="440"/>
      <c r="AE25" s="440"/>
      <c r="AF25" s="343"/>
      <c r="AG25" s="343"/>
      <c r="AH25" s="343"/>
      <c r="AI25" s="343"/>
      <c r="AJ25" s="343"/>
      <c r="AK25" s="343"/>
      <c r="AL25" s="343"/>
      <c r="AM25" s="343"/>
      <c r="AN25" s="343"/>
    </row>
    <row r="26" spans="2:47" ht="15">
      <c r="B26" s="453" t="s">
        <v>448</v>
      </c>
      <c r="C26" s="450"/>
      <c r="D26" s="454">
        <v>0</v>
      </c>
      <c r="E26" s="450"/>
      <c r="F26" s="454" t="s">
        <v>449</v>
      </c>
      <c r="G26" s="450"/>
      <c r="H26" s="454">
        <f>H25*H24</f>
        <v>0</v>
      </c>
      <c r="I26" s="450"/>
      <c r="K26" s="445"/>
      <c r="L26" s="452"/>
      <c r="M26" s="343"/>
      <c r="N26" s="343"/>
      <c r="P26" s="440"/>
      <c r="Q26" s="440"/>
      <c r="R26" s="440"/>
      <c r="S26" s="440"/>
      <c r="T26" s="440"/>
      <c r="U26" s="440"/>
      <c r="V26" s="440"/>
      <c r="W26" s="440"/>
      <c r="X26" s="440"/>
      <c r="Y26" s="440"/>
      <c r="Z26" s="440"/>
      <c r="AA26" s="440"/>
      <c r="AB26" s="440"/>
      <c r="AC26" s="440"/>
      <c r="AD26" s="440"/>
      <c r="AE26" s="440"/>
      <c r="AF26" s="343"/>
      <c r="AG26" s="343"/>
      <c r="AH26" s="343"/>
      <c r="AI26" s="343"/>
      <c r="AJ26" s="343"/>
      <c r="AK26" s="343"/>
      <c r="AL26" s="343"/>
      <c r="AM26" s="343"/>
      <c r="AN26" s="343"/>
    </row>
    <row r="27" spans="2:47" ht="15">
      <c r="H27" s="450"/>
      <c r="K27" s="445"/>
      <c r="L27" s="451"/>
      <c r="M27" s="440"/>
      <c r="N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0"/>
      <c r="AC27" s="440"/>
      <c r="AD27" s="440"/>
      <c r="AE27" s="440"/>
      <c r="AF27" s="440"/>
      <c r="AG27" s="440"/>
      <c r="AH27" s="440"/>
      <c r="AI27" s="440"/>
      <c r="AJ27" s="440"/>
      <c r="AK27" s="440"/>
      <c r="AL27" s="440"/>
      <c r="AM27" s="440"/>
      <c r="AN27" s="440"/>
    </row>
    <row r="28" spans="2:47" ht="15">
      <c r="K28" s="445"/>
      <c r="L28" s="451"/>
      <c r="M28" s="343"/>
      <c r="N28" s="343"/>
      <c r="P28" s="440"/>
      <c r="Q28" s="440"/>
      <c r="R28" s="440"/>
      <c r="S28" s="440"/>
      <c r="T28" s="440"/>
      <c r="U28" s="440"/>
      <c r="V28" s="440"/>
      <c r="W28" s="440"/>
      <c r="X28" s="440"/>
      <c r="Y28" s="440"/>
      <c r="Z28" s="440"/>
      <c r="AA28" s="440"/>
      <c r="AB28" s="440"/>
      <c r="AC28" s="440"/>
      <c r="AD28" s="440"/>
      <c r="AE28" s="440"/>
      <c r="AF28" s="440"/>
      <c r="AG28" s="343"/>
      <c r="AH28" s="343"/>
      <c r="AI28" s="343"/>
      <c r="AJ28" s="343"/>
      <c r="AK28" s="343"/>
      <c r="AL28" s="343"/>
      <c r="AM28" s="343"/>
      <c r="AN28" s="343"/>
    </row>
    <row r="29" spans="2:47" ht="15">
      <c r="B29" s="445" t="s">
        <v>450</v>
      </c>
      <c r="C29" s="445"/>
      <c r="D29" s="445"/>
      <c r="E29" s="445"/>
      <c r="F29" s="445"/>
      <c r="G29" s="445"/>
      <c r="H29" s="445"/>
      <c r="I29" s="445"/>
      <c r="K29" s="445"/>
      <c r="L29" s="451"/>
      <c r="M29" s="343"/>
      <c r="N29" s="343"/>
      <c r="P29" s="440"/>
      <c r="Q29" s="440"/>
      <c r="R29" s="440"/>
      <c r="S29" s="440"/>
      <c r="T29" s="440"/>
      <c r="U29" s="440"/>
      <c r="V29" s="440"/>
      <c r="W29" s="440"/>
      <c r="X29" s="440"/>
      <c r="Y29" s="440"/>
      <c r="Z29" s="440"/>
      <c r="AA29" s="440"/>
      <c r="AB29" s="440"/>
      <c r="AC29" s="440"/>
      <c r="AD29" s="440"/>
      <c r="AE29" s="440"/>
      <c r="AF29" s="440"/>
      <c r="AG29" s="343"/>
      <c r="AH29" s="343"/>
      <c r="AI29" s="343"/>
      <c r="AJ29" s="343"/>
      <c r="AK29" s="343"/>
      <c r="AL29" s="343"/>
      <c r="AM29" s="343"/>
      <c r="AN29" s="343"/>
    </row>
    <row r="30" spans="2:47" ht="15">
      <c r="K30" s="445"/>
      <c r="L30" s="451"/>
      <c r="M30" s="343"/>
      <c r="N30" s="343"/>
      <c r="P30" s="440"/>
      <c r="Q30" s="440"/>
      <c r="R30" s="440"/>
      <c r="S30" s="440"/>
      <c r="T30" s="440"/>
      <c r="U30" s="440"/>
      <c r="V30" s="440"/>
      <c r="W30" s="440"/>
      <c r="X30" s="440"/>
      <c r="Y30" s="440"/>
      <c r="Z30" s="440"/>
      <c r="AA30" s="440"/>
      <c r="AB30" s="440"/>
      <c r="AC30" s="440"/>
      <c r="AD30" s="440"/>
      <c r="AE30" s="440"/>
      <c r="AF30" s="440"/>
      <c r="AG30" s="343"/>
      <c r="AH30" s="343"/>
      <c r="AI30" s="343"/>
      <c r="AJ30" s="343"/>
      <c r="AK30" s="343"/>
      <c r="AL30" s="343"/>
      <c r="AM30" s="343"/>
      <c r="AN30" s="343"/>
    </row>
    <row r="31" spans="2:47" ht="15">
      <c r="K31" s="445"/>
      <c r="L31" s="451"/>
      <c r="M31" s="343"/>
      <c r="N31" s="343"/>
      <c r="P31" s="440"/>
      <c r="Q31" s="440"/>
      <c r="R31" s="440"/>
      <c r="S31" s="440"/>
      <c r="T31" s="440"/>
      <c r="U31" s="440"/>
      <c r="V31" s="440"/>
      <c r="W31" s="440"/>
      <c r="X31" s="440"/>
      <c r="Y31" s="440"/>
      <c r="Z31" s="440"/>
      <c r="AA31" s="440"/>
      <c r="AB31" s="440"/>
      <c r="AC31" s="440"/>
      <c r="AD31" s="440"/>
      <c r="AE31" s="440"/>
      <c r="AF31" s="440"/>
      <c r="AG31" s="343"/>
      <c r="AH31" s="343"/>
      <c r="AI31" s="343"/>
      <c r="AJ31" s="343"/>
      <c r="AK31" s="343"/>
      <c r="AL31" s="343"/>
      <c r="AM31" s="343"/>
      <c r="AN31" s="343"/>
    </row>
    <row r="32" spans="2:47" ht="15">
      <c r="K32" s="445"/>
      <c r="L32" s="451"/>
      <c r="M32" s="343"/>
      <c r="N32" s="343"/>
      <c r="P32" s="440"/>
      <c r="Q32" s="440"/>
      <c r="R32" s="440"/>
      <c r="S32" s="440"/>
      <c r="T32" s="440"/>
      <c r="U32" s="440"/>
      <c r="V32" s="440"/>
      <c r="W32" s="440"/>
      <c r="X32" s="440"/>
      <c r="Y32" s="440"/>
      <c r="Z32" s="440"/>
      <c r="AA32" s="440"/>
      <c r="AB32" s="440"/>
      <c r="AC32" s="440"/>
      <c r="AD32" s="440"/>
      <c r="AE32" s="440"/>
      <c r="AF32" s="440"/>
      <c r="AG32" s="343"/>
      <c r="AH32" s="343"/>
      <c r="AI32" s="343"/>
      <c r="AJ32" s="343"/>
      <c r="AK32" s="343"/>
      <c r="AL32" s="343"/>
      <c r="AM32" s="343"/>
      <c r="AN32" s="343"/>
    </row>
    <row r="33" spans="1:40" ht="15">
      <c r="A33" s="497"/>
      <c r="B33" s="497"/>
      <c r="C33" s="497"/>
      <c r="D33" s="497"/>
      <c r="E33" s="497"/>
      <c r="F33" s="497"/>
      <c r="G33" s="497"/>
      <c r="H33" s="497"/>
      <c r="I33" s="497"/>
      <c r="J33" s="497"/>
      <c r="K33" s="445"/>
      <c r="L33" s="451"/>
      <c r="M33" s="343"/>
      <c r="N33" s="343"/>
      <c r="O33" s="440"/>
      <c r="P33" s="440"/>
      <c r="Q33" s="440"/>
      <c r="R33" s="440"/>
      <c r="S33" s="440"/>
      <c r="T33" s="440"/>
      <c r="U33" s="440"/>
      <c r="V33" s="440"/>
      <c r="W33" s="440"/>
      <c r="X33" s="440"/>
      <c r="Y33" s="440"/>
      <c r="Z33" s="440"/>
      <c r="AA33" s="440"/>
      <c r="AB33" s="440"/>
      <c r="AC33" s="440"/>
      <c r="AD33" s="440"/>
      <c r="AE33" s="440"/>
      <c r="AF33" s="440"/>
      <c r="AG33" s="343"/>
      <c r="AH33" s="343"/>
      <c r="AI33" s="343"/>
      <c r="AJ33" s="343"/>
      <c r="AK33" s="343"/>
      <c r="AL33" s="343"/>
      <c r="AM33" s="343"/>
      <c r="AN33" s="343"/>
    </row>
    <row r="34" spans="1:40" ht="15">
      <c r="K34" s="445"/>
      <c r="L34" s="451"/>
      <c r="M34" s="440"/>
      <c r="N34" s="440"/>
      <c r="O34" s="440"/>
      <c r="P34" s="440"/>
      <c r="Q34" s="440"/>
      <c r="R34" s="440"/>
      <c r="S34" s="440"/>
      <c r="T34" s="440"/>
      <c r="U34" s="440"/>
      <c r="V34" s="440"/>
      <c r="W34" s="440"/>
      <c r="X34" s="440"/>
      <c r="Y34" s="440"/>
      <c r="Z34" s="440"/>
      <c r="AA34" s="440"/>
      <c r="AB34" s="440"/>
      <c r="AC34" s="440"/>
      <c r="AD34" s="440"/>
      <c r="AE34" s="440"/>
      <c r="AF34" s="440"/>
      <c r="AG34" s="440"/>
      <c r="AH34" s="440"/>
      <c r="AI34" s="440"/>
      <c r="AJ34" s="440"/>
      <c r="AK34" s="440"/>
      <c r="AL34" s="440"/>
      <c r="AM34" s="440"/>
      <c r="AN34" s="440"/>
    </row>
    <row r="35" spans="1:40" ht="15">
      <c r="K35" s="445"/>
      <c r="L35" s="451"/>
      <c r="M35" s="440"/>
      <c r="N35" s="440"/>
      <c r="O35" s="440"/>
      <c r="P35" s="440"/>
      <c r="Q35" s="440"/>
      <c r="R35" s="440"/>
      <c r="S35" s="440"/>
      <c r="T35" s="440"/>
      <c r="U35" s="440"/>
      <c r="V35" s="440"/>
      <c r="W35" s="440"/>
      <c r="X35" s="440"/>
      <c r="Y35" s="440"/>
      <c r="Z35" s="440"/>
      <c r="AA35" s="440"/>
      <c r="AB35" s="440"/>
      <c r="AC35" s="440"/>
      <c r="AD35" s="440"/>
      <c r="AE35" s="440"/>
      <c r="AF35" s="440"/>
      <c r="AG35" s="440"/>
      <c r="AH35" s="440"/>
      <c r="AI35" s="440"/>
      <c r="AJ35" s="440"/>
      <c r="AK35" s="440"/>
      <c r="AL35" s="440"/>
      <c r="AM35" s="440"/>
      <c r="AN35" s="440"/>
    </row>
    <row r="36" spans="1:40" ht="15">
      <c r="A36" s="497"/>
      <c r="B36" s="497"/>
      <c r="C36" s="497"/>
      <c r="D36" s="497"/>
      <c r="E36" s="497"/>
      <c r="F36" s="497"/>
      <c r="G36" s="497"/>
      <c r="H36" s="497"/>
      <c r="I36" s="497"/>
      <c r="J36" s="497"/>
      <c r="K36" s="445"/>
      <c r="L36" s="451"/>
      <c r="M36" s="440"/>
      <c r="N36" s="440"/>
      <c r="O36" s="440"/>
      <c r="P36" s="440"/>
      <c r="Q36" s="440"/>
      <c r="R36" s="440"/>
      <c r="S36" s="440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  <c r="AG36" s="440"/>
      <c r="AH36" s="440"/>
      <c r="AI36" s="440"/>
      <c r="AJ36" s="440"/>
      <c r="AK36" s="440"/>
      <c r="AL36" s="440"/>
      <c r="AM36" s="440"/>
      <c r="AN36" s="440"/>
    </row>
    <row r="37" spans="1:40" ht="15">
      <c r="K37" s="445"/>
      <c r="L37" s="451"/>
      <c r="M37" s="440"/>
      <c r="N37" s="440"/>
      <c r="O37" s="440"/>
      <c r="P37" s="440"/>
      <c r="Q37" s="440"/>
      <c r="R37" s="440"/>
      <c r="S37" s="440"/>
      <c r="T37" s="440"/>
      <c r="U37" s="440"/>
      <c r="V37" s="440"/>
      <c r="W37" s="440"/>
      <c r="X37" s="440"/>
      <c r="Y37" s="440"/>
      <c r="Z37" s="440"/>
      <c r="AA37" s="440"/>
      <c r="AB37" s="440"/>
      <c r="AC37" s="440"/>
      <c r="AD37" s="440"/>
      <c r="AE37" s="440"/>
      <c r="AF37" s="440"/>
      <c r="AG37" s="440"/>
      <c r="AH37" s="440"/>
      <c r="AI37" s="440"/>
      <c r="AJ37" s="440"/>
      <c r="AK37" s="440"/>
      <c r="AL37" s="440"/>
      <c r="AM37" s="440"/>
      <c r="AN37" s="440"/>
    </row>
    <row r="38" spans="1:40" ht="15">
      <c r="K38" s="445"/>
      <c r="L38" s="45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>
    <tabColor rgb="FF002060"/>
  </sheetPr>
  <dimension ref="A1:T1718"/>
  <sheetViews>
    <sheetView workbookViewId="0">
      <selection activeCell="C6" sqref="C6"/>
    </sheetView>
  </sheetViews>
  <sheetFormatPr defaultRowHeight="12.75"/>
  <cols>
    <col min="1" max="4" width="9.140625" style="443"/>
    <col min="5" max="6" width="5.140625" style="458" customWidth="1"/>
    <col min="7" max="7" width="6" style="458" customWidth="1"/>
    <col min="8" max="14" width="5.140625" style="458" customWidth="1"/>
    <col min="15" max="15" width="9.140625" style="443"/>
    <col min="16" max="16" width="9.140625" style="497"/>
    <col min="17" max="20" width="9.140625" style="473"/>
    <col min="21" max="16384" width="9.140625" style="497"/>
  </cols>
  <sheetData>
    <row r="1" spans="1:20" s="443" customFormat="1" ht="38.25">
      <c r="A1" s="495" t="s">
        <v>688</v>
      </c>
      <c r="E1" s="458"/>
      <c r="F1" s="458"/>
      <c r="G1" s="458"/>
      <c r="H1" s="458"/>
      <c r="I1" s="458"/>
      <c r="J1" s="458"/>
      <c r="K1" s="458"/>
      <c r="L1" s="458"/>
      <c r="M1" s="458"/>
      <c r="N1" s="458"/>
      <c r="Q1" s="496" t="s">
        <v>689</v>
      </c>
      <c r="R1" s="496" t="s">
        <v>524</v>
      </c>
      <c r="S1" s="496" t="s">
        <v>690</v>
      </c>
      <c r="T1" s="496" t="s">
        <v>74</v>
      </c>
    </row>
    <row r="2" spans="1:20" ht="15">
      <c r="B2" s="445" t="s">
        <v>421</v>
      </c>
      <c r="C2" s="445"/>
      <c r="D2" s="445"/>
      <c r="F2" s="446" t="s">
        <v>422</v>
      </c>
      <c r="G2" s="446" t="s">
        <v>423</v>
      </c>
      <c r="P2" s="447"/>
      <c r="Q2" s="447" t="s">
        <v>456</v>
      </c>
      <c r="R2" s="447" t="s">
        <v>457</v>
      </c>
      <c r="S2" s="447" t="s">
        <v>425</v>
      </c>
      <c r="T2" s="447" t="s">
        <v>460</v>
      </c>
    </row>
    <row r="3" spans="1:20" ht="15" customHeight="1">
      <c r="B3" s="443" t="s">
        <v>426</v>
      </c>
      <c r="C3" s="448">
        <v>4</v>
      </c>
      <c r="D3" s="449" t="s">
        <v>427</v>
      </c>
      <c r="F3" s="446">
        <f>MIN(XX_value)</f>
        <v>0</v>
      </c>
      <c r="G3" s="446">
        <f>MAX(XX_value)</f>
        <v>100</v>
      </c>
      <c r="P3" s="447"/>
      <c r="Q3" s="450">
        <v>0</v>
      </c>
      <c r="R3" s="450">
        <v>0</v>
      </c>
      <c r="S3" s="450">
        <v>0</v>
      </c>
      <c r="T3" s="443">
        <v>1.5</v>
      </c>
    </row>
    <row r="4" spans="1:20" ht="15" customHeight="1">
      <c r="B4" s="443" t="s">
        <v>430</v>
      </c>
      <c r="C4" s="448">
        <v>300</v>
      </c>
      <c r="D4" s="449" t="s">
        <v>427</v>
      </c>
      <c r="F4" s="446">
        <f>MIN(YY_value)</f>
        <v>0</v>
      </c>
      <c r="G4" s="446">
        <f>MAX(YY_value)</f>
        <v>100</v>
      </c>
      <c r="P4" s="447"/>
      <c r="Q4" s="450">
        <v>0</v>
      </c>
      <c r="R4" s="450">
        <v>0</v>
      </c>
      <c r="S4" s="450">
        <v>0.02</v>
      </c>
      <c r="T4" s="443">
        <v>1.5</v>
      </c>
    </row>
    <row r="5" spans="1:20" ht="15">
      <c r="B5" s="443" t="s">
        <v>390</v>
      </c>
      <c r="C5" s="448">
        <v>0.14508785881222142</v>
      </c>
      <c r="D5" s="449" t="s">
        <v>427</v>
      </c>
      <c r="F5" s="446">
        <f>MIN(ZZ_value)</f>
        <v>0</v>
      </c>
      <c r="G5" s="446">
        <f>MAX(ZZ_value)</f>
        <v>1</v>
      </c>
      <c r="P5" s="447"/>
      <c r="Q5" s="450">
        <v>0</v>
      </c>
      <c r="R5" s="450">
        <v>0</v>
      </c>
      <c r="S5" s="450">
        <v>0.04</v>
      </c>
      <c r="T5" s="443">
        <v>1.5</v>
      </c>
    </row>
    <row r="6" spans="1:20" ht="15">
      <c r="G6" s="446"/>
      <c r="P6" s="447"/>
      <c r="Q6" s="450">
        <v>0</v>
      </c>
      <c r="R6" s="450">
        <v>0</v>
      </c>
      <c r="S6" s="450">
        <v>0.05</v>
      </c>
      <c r="T6" s="443">
        <v>1.5</v>
      </c>
    </row>
    <row r="7" spans="1:20" ht="15">
      <c r="B7" s="445" t="s">
        <v>424</v>
      </c>
      <c r="C7" s="445"/>
      <c r="D7" s="445"/>
      <c r="P7" s="447"/>
      <c r="Q7" s="450">
        <v>0</v>
      </c>
      <c r="R7" s="450">
        <v>0</v>
      </c>
      <c r="S7" s="450">
        <v>0.06</v>
      </c>
      <c r="T7" s="443">
        <v>1.5</v>
      </c>
    </row>
    <row r="8" spans="1:20" ht="15">
      <c r="B8" s="443" t="s">
        <v>461</v>
      </c>
      <c r="C8" s="468">
        <f>SUMPRODUCT(D37:D44,D46:D53)</f>
        <v>4.647364235632482</v>
      </c>
      <c r="D8" s="449" t="s">
        <v>427</v>
      </c>
      <c r="P8" s="447"/>
      <c r="Q8" s="450">
        <v>0</v>
      </c>
      <c r="R8" s="450">
        <v>0</v>
      </c>
      <c r="S8" s="450">
        <v>0.08</v>
      </c>
      <c r="T8" s="443">
        <v>1.5</v>
      </c>
    </row>
    <row r="9" spans="1:20" ht="15">
      <c r="P9" s="447"/>
      <c r="Q9" s="450">
        <v>0</v>
      </c>
      <c r="R9" s="450">
        <v>0</v>
      </c>
      <c r="S9" s="450">
        <v>0.1</v>
      </c>
      <c r="T9" s="443">
        <v>1.5</v>
      </c>
    </row>
    <row r="10" spans="1:20" ht="15">
      <c r="B10" s="445" t="s">
        <v>431</v>
      </c>
      <c r="C10" s="445"/>
      <c r="D10" s="445"/>
      <c r="F10" s="446"/>
      <c r="P10" s="447"/>
      <c r="Q10" s="450">
        <v>0</v>
      </c>
      <c r="R10" s="450">
        <v>0</v>
      </c>
      <c r="S10" s="450">
        <v>0.15</v>
      </c>
      <c r="T10" s="443">
        <v>1.5</v>
      </c>
    </row>
    <row r="11" spans="1:20" ht="15">
      <c r="B11" s="443" t="s">
        <v>433</v>
      </c>
      <c r="C11" s="450">
        <f>INDEX(XX_value,MATCH(XX,XX_value,1))</f>
        <v>4</v>
      </c>
      <c r="D11" s="449" t="s">
        <v>427</v>
      </c>
      <c r="F11" s="446"/>
      <c r="P11" s="447"/>
      <c r="Q11" s="450">
        <v>0</v>
      </c>
      <c r="R11" s="450">
        <v>0</v>
      </c>
      <c r="S11" s="450">
        <v>0.2</v>
      </c>
      <c r="T11" s="443">
        <v>1.5</v>
      </c>
    </row>
    <row r="12" spans="1:20" ht="15">
      <c r="B12" s="443" t="s">
        <v>434</v>
      </c>
      <c r="C12" s="450">
        <f>INDEX(XX_value,MATCH(XX,XX_value,1)+1)</f>
        <v>4.01</v>
      </c>
      <c r="D12" s="449" t="s">
        <v>427</v>
      </c>
      <c r="F12" s="446"/>
      <c r="P12" s="447"/>
      <c r="Q12" s="450">
        <v>0</v>
      </c>
      <c r="R12" s="450">
        <v>0</v>
      </c>
      <c r="S12" s="450">
        <v>0.25</v>
      </c>
      <c r="T12" s="443">
        <v>1.5</v>
      </c>
    </row>
    <row r="13" spans="1:20" ht="15">
      <c r="B13" s="443" t="s">
        <v>435</v>
      </c>
      <c r="C13" s="450">
        <f>INDEX(YY_value,MATCH(YY,YY_value,1))</f>
        <v>100</v>
      </c>
      <c r="D13" s="449" t="s">
        <v>427</v>
      </c>
      <c r="F13" s="446"/>
      <c r="P13" s="447"/>
      <c r="Q13" s="450">
        <v>0</v>
      </c>
      <c r="R13" s="450">
        <v>0</v>
      </c>
      <c r="S13" s="450">
        <v>1</v>
      </c>
      <c r="T13" s="443">
        <v>1.5</v>
      </c>
    </row>
    <row r="14" spans="1:20" ht="15">
      <c r="B14" s="443" t="s">
        <v>436</v>
      </c>
      <c r="C14" s="450">
        <f>INDEX(YY_value,MATCH(YY,YY_value,1)+1)</f>
        <v>0</v>
      </c>
      <c r="D14" s="449" t="s">
        <v>427</v>
      </c>
      <c r="F14" s="446"/>
      <c r="P14" s="447"/>
      <c r="Q14" s="450">
        <v>0</v>
      </c>
      <c r="R14" s="450">
        <v>0.4</v>
      </c>
      <c r="S14" s="450">
        <v>0</v>
      </c>
      <c r="T14" s="443">
        <v>1.5</v>
      </c>
    </row>
    <row r="15" spans="1:20" ht="15">
      <c r="B15" s="443" t="s">
        <v>462</v>
      </c>
      <c r="C15" s="450">
        <f>INDEX(ZZ_value,MATCH(ZZ,ZZ_value,1))</f>
        <v>0.1</v>
      </c>
      <c r="D15" s="449" t="s">
        <v>427</v>
      </c>
      <c r="P15" s="447"/>
      <c r="Q15" s="450">
        <v>0</v>
      </c>
      <c r="R15" s="450">
        <v>0.4</v>
      </c>
      <c r="S15" s="450">
        <v>0.02</v>
      </c>
      <c r="T15" s="443">
        <v>1.5</v>
      </c>
    </row>
    <row r="16" spans="1:20" ht="15">
      <c r="B16" s="443" t="s">
        <v>463</v>
      </c>
      <c r="C16" s="450">
        <f>INDEX(ZZ_value,MATCH(ZZ,ZZ_value,1)+1)</f>
        <v>0.15</v>
      </c>
      <c r="D16" s="449" t="s">
        <v>427</v>
      </c>
      <c r="F16" s="446" t="s">
        <v>432</v>
      </c>
      <c r="P16" s="447"/>
      <c r="Q16" s="450">
        <v>0</v>
      </c>
      <c r="R16" s="450">
        <v>0.4</v>
      </c>
      <c r="S16" s="450">
        <v>0.04</v>
      </c>
      <c r="T16" s="443">
        <v>1.5</v>
      </c>
    </row>
    <row r="17" spans="2:20" s="497" customFormat="1" ht="15">
      <c r="B17" s="443" t="s">
        <v>464</v>
      </c>
      <c r="C17" s="469">
        <f t="shared" ref="C17" si="0">INDEX(TT_value,F17,0)</f>
        <v>3</v>
      </c>
      <c r="D17" s="449" t="s">
        <v>427</v>
      </c>
      <c r="E17" s="458"/>
      <c r="F17" s="446">
        <f t="array" ref="F17">MATCH(1,(XX_value=xx_1)*(YY_value=yy_1)*(ZZ_value=zz_1),0)</f>
        <v>856</v>
      </c>
      <c r="G17" s="458"/>
      <c r="H17" s="458"/>
      <c r="I17" s="458"/>
      <c r="J17" s="458"/>
      <c r="K17" s="458"/>
      <c r="L17" s="458"/>
      <c r="M17" s="458"/>
      <c r="N17" s="458"/>
      <c r="O17" s="443"/>
      <c r="P17" s="447"/>
      <c r="Q17" s="450">
        <v>0</v>
      </c>
      <c r="R17" s="450">
        <v>0.4</v>
      </c>
      <c r="S17" s="450">
        <v>0.05</v>
      </c>
      <c r="T17" s="443">
        <v>1.5</v>
      </c>
    </row>
    <row r="18" spans="2:20" s="497" customFormat="1" ht="15">
      <c r="B18" s="443" t="s">
        <v>465</v>
      </c>
      <c r="C18" s="469">
        <f t="shared" ref="C18" si="1">INDEX(TT_value,F18,0)</f>
        <v>3.5</v>
      </c>
      <c r="D18" s="449" t="s">
        <v>427</v>
      </c>
      <c r="E18" s="458"/>
      <c r="F18" s="446">
        <f t="array" ref="F18">MATCH(1,(XX_value=xx_2)*(YY_value=yy_1)*(ZZ_value=zz_1),0)</f>
        <v>999</v>
      </c>
      <c r="G18" s="458"/>
      <c r="H18" s="458"/>
      <c r="I18" s="458"/>
      <c r="J18" s="458"/>
      <c r="K18" s="458"/>
      <c r="L18" s="458"/>
      <c r="M18" s="458"/>
      <c r="N18" s="458"/>
      <c r="O18" s="443"/>
      <c r="P18" s="447"/>
      <c r="Q18" s="450">
        <v>0</v>
      </c>
      <c r="R18" s="450">
        <v>0.4</v>
      </c>
      <c r="S18" s="450">
        <v>0.06</v>
      </c>
      <c r="T18" s="443">
        <v>1.5</v>
      </c>
    </row>
    <row r="19" spans="2:20" s="497" customFormat="1" ht="15">
      <c r="B19" s="443" t="s">
        <v>466</v>
      </c>
      <c r="C19" s="469">
        <f t="shared" ref="C19" si="2">INDEX(TT_value,F19,0)</f>
        <v>1.5</v>
      </c>
      <c r="D19" s="449" t="s">
        <v>427</v>
      </c>
      <c r="E19" s="458"/>
      <c r="F19" s="446">
        <f t="array" ref="F19">MATCH(1,(XX_value=xx_1)*(YY_value=yy_2)*(ZZ_value=zz_1),0)</f>
        <v>724</v>
      </c>
      <c r="G19" s="458"/>
      <c r="H19" s="458"/>
      <c r="I19" s="458"/>
      <c r="J19" s="458"/>
      <c r="K19" s="458"/>
      <c r="L19" s="458"/>
      <c r="M19" s="458"/>
      <c r="N19" s="458"/>
      <c r="O19" s="443"/>
      <c r="P19" s="447"/>
      <c r="Q19" s="450">
        <v>0</v>
      </c>
      <c r="R19" s="450">
        <v>0.4</v>
      </c>
      <c r="S19" s="450">
        <v>0.08</v>
      </c>
      <c r="T19" s="443">
        <v>1.5</v>
      </c>
    </row>
    <row r="20" spans="2:20" s="497" customFormat="1" ht="15">
      <c r="B20" s="443" t="s">
        <v>467</v>
      </c>
      <c r="C20" s="469">
        <f t="shared" ref="C20" si="3">INDEX(TT_value,F20,0)</f>
        <v>1.5</v>
      </c>
      <c r="D20" s="449" t="s">
        <v>427</v>
      </c>
      <c r="E20" s="458"/>
      <c r="F20" s="446">
        <f t="array" ref="F20">MATCH(1,(XX_value=xx_2)*(YY_value=yy_2)*(ZZ_value=zz_1),0)</f>
        <v>867</v>
      </c>
      <c r="G20" s="458"/>
      <c r="H20" s="458"/>
      <c r="I20" s="458"/>
      <c r="J20" s="458"/>
      <c r="K20" s="458"/>
      <c r="L20" s="458"/>
      <c r="M20" s="458"/>
      <c r="N20" s="458"/>
      <c r="O20" s="443"/>
      <c r="P20" s="447"/>
      <c r="Q20" s="450">
        <v>0</v>
      </c>
      <c r="R20" s="450">
        <v>0.4</v>
      </c>
      <c r="S20" s="450">
        <v>0.1</v>
      </c>
      <c r="T20" s="443">
        <v>1.5</v>
      </c>
    </row>
    <row r="21" spans="2:20" s="497" customFormat="1" ht="15">
      <c r="B21" s="443" t="s">
        <v>468</v>
      </c>
      <c r="C21" s="469">
        <f t="shared" ref="C21" si="4">INDEX(TT_value,F21,0)</f>
        <v>2.5</v>
      </c>
      <c r="D21" s="449" t="s">
        <v>427</v>
      </c>
      <c r="E21" s="458"/>
      <c r="F21" s="446">
        <f t="array" ref="F21">MATCH(1,(XX_value=xx_1)*(YY_value=yy_1)*(ZZ_value=zz_2),0)</f>
        <v>857</v>
      </c>
      <c r="G21" s="458"/>
      <c r="H21" s="458"/>
      <c r="I21" s="458"/>
      <c r="J21" s="458"/>
      <c r="K21" s="458"/>
      <c r="L21" s="458"/>
      <c r="M21" s="458"/>
      <c r="N21" s="458"/>
      <c r="O21" s="443"/>
      <c r="P21" s="447"/>
      <c r="Q21" s="450">
        <v>0</v>
      </c>
      <c r="R21" s="450">
        <v>0.4</v>
      </c>
      <c r="S21" s="450">
        <v>0.15</v>
      </c>
      <c r="T21" s="443">
        <v>1.5</v>
      </c>
    </row>
    <row r="22" spans="2:20" s="497" customFormat="1" ht="15">
      <c r="B22" s="443" t="s">
        <v>469</v>
      </c>
      <c r="C22" s="469">
        <f t="shared" ref="C22" si="5">INDEX(TT_value,F22,0)</f>
        <v>3</v>
      </c>
      <c r="D22" s="449" t="s">
        <v>427</v>
      </c>
      <c r="E22" s="458"/>
      <c r="F22" s="446">
        <f t="array" ref="F22">MATCH(1,(XX_value=xx_2)*(YY_value=yy_1)*(ZZ_value=zz_2),0)</f>
        <v>1000</v>
      </c>
      <c r="G22" s="458"/>
      <c r="H22" s="458"/>
      <c r="I22" s="458"/>
      <c r="J22" s="458"/>
      <c r="K22" s="458"/>
      <c r="L22" s="458"/>
      <c r="M22" s="458"/>
      <c r="N22" s="458"/>
      <c r="O22" s="443"/>
      <c r="P22" s="447"/>
      <c r="Q22" s="450">
        <v>0</v>
      </c>
      <c r="R22" s="450">
        <v>0.4</v>
      </c>
      <c r="S22" s="450">
        <v>0.2</v>
      </c>
      <c r="T22" s="443">
        <v>1.5</v>
      </c>
    </row>
    <row r="23" spans="2:20" s="497" customFormat="1" ht="15">
      <c r="B23" s="443" t="s">
        <v>470</v>
      </c>
      <c r="C23" s="469">
        <f t="shared" ref="C23" si="6">INDEX(TT_value,F23,0)</f>
        <v>1.5</v>
      </c>
      <c r="D23" s="449" t="s">
        <v>427</v>
      </c>
      <c r="E23" s="458"/>
      <c r="F23" s="446">
        <f t="array" ref="F23">MATCH(1,(XX_value=xx_1)*(YY_value=yy_2)*(ZZ_value=zz_2),0)</f>
        <v>725</v>
      </c>
      <c r="G23" s="458"/>
      <c r="H23" s="458"/>
      <c r="I23" s="458"/>
      <c r="J23" s="458"/>
      <c r="K23" s="458"/>
      <c r="L23" s="458"/>
      <c r="M23" s="458"/>
      <c r="N23" s="458"/>
      <c r="O23" s="443"/>
      <c r="P23" s="447"/>
      <c r="Q23" s="450">
        <v>0</v>
      </c>
      <c r="R23" s="450">
        <v>0.4</v>
      </c>
      <c r="S23" s="450">
        <v>0.25</v>
      </c>
      <c r="T23" s="443">
        <v>1.5</v>
      </c>
    </row>
    <row r="24" spans="2:20" s="497" customFormat="1" ht="15">
      <c r="B24" s="443" t="s">
        <v>471</v>
      </c>
      <c r="C24" s="469">
        <f t="shared" ref="C24" si="7">INDEX(TT_value,F24,0)</f>
        <v>1.5</v>
      </c>
      <c r="D24" s="449" t="s">
        <v>427</v>
      </c>
      <c r="E24" s="458"/>
      <c r="F24" s="446">
        <f t="array" ref="F24">MATCH(1,(XX_value=xx_2)*(YY_value=yy_2)*(ZZ_value=zz_2),0)</f>
        <v>868</v>
      </c>
      <c r="G24" s="458"/>
      <c r="H24" s="458"/>
      <c r="I24" s="458"/>
      <c r="J24" s="458"/>
      <c r="K24" s="458"/>
      <c r="L24" s="458"/>
      <c r="M24" s="458"/>
      <c r="N24" s="458"/>
      <c r="O24" s="443"/>
      <c r="P24" s="447"/>
      <c r="Q24" s="450">
        <v>0</v>
      </c>
      <c r="R24" s="450">
        <v>0.4</v>
      </c>
      <c r="S24" s="450">
        <v>1</v>
      </c>
      <c r="T24" s="443">
        <v>1.5</v>
      </c>
    </row>
    <row r="25" spans="2:20" s="497" customFormat="1" ht="15">
      <c r="B25" s="443"/>
      <c r="C25" s="443"/>
      <c r="D25" s="449"/>
      <c r="E25" s="458"/>
      <c r="F25" s="458"/>
      <c r="G25" s="458"/>
      <c r="H25" s="458"/>
      <c r="I25" s="458"/>
      <c r="J25" s="458"/>
      <c r="K25" s="458"/>
      <c r="L25" s="458"/>
      <c r="M25" s="458"/>
      <c r="N25" s="458"/>
      <c r="O25" s="443"/>
      <c r="P25" s="447"/>
      <c r="Q25" s="450">
        <v>0</v>
      </c>
      <c r="R25" s="450">
        <v>0.40100000000000002</v>
      </c>
      <c r="S25" s="450">
        <v>0</v>
      </c>
      <c r="T25" s="443">
        <v>1.5</v>
      </c>
    </row>
    <row r="26" spans="2:20" s="497" customFormat="1" ht="15">
      <c r="B26" s="445" t="s">
        <v>441</v>
      </c>
      <c r="C26" s="445"/>
      <c r="D26" s="445"/>
      <c r="E26" s="445"/>
      <c r="F26" s="445"/>
      <c r="G26" s="445"/>
      <c r="H26" s="445"/>
      <c r="I26" s="445"/>
      <c r="J26" s="445"/>
      <c r="K26" s="445"/>
      <c r="L26" s="445"/>
      <c r="M26" s="445"/>
      <c r="N26" s="445"/>
      <c r="O26" s="443"/>
      <c r="P26" s="447"/>
      <c r="Q26" s="450">
        <v>0</v>
      </c>
      <c r="R26" s="450">
        <v>0.40100000000000002</v>
      </c>
      <c r="S26" s="450">
        <v>0.02</v>
      </c>
      <c r="T26" s="443">
        <v>1.5</v>
      </c>
    </row>
    <row r="27" spans="2:20" s="497" customFormat="1" ht="15">
      <c r="B27" s="443"/>
      <c r="C27" s="443"/>
      <c r="D27" s="443"/>
      <c r="E27" s="458"/>
      <c r="F27" s="458"/>
      <c r="G27" s="458"/>
      <c r="H27" s="458"/>
      <c r="I27" s="458"/>
      <c r="J27" s="458"/>
      <c r="K27" s="458"/>
      <c r="L27" s="458"/>
      <c r="M27" s="458"/>
      <c r="N27" s="458"/>
      <c r="O27" s="443"/>
      <c r="P27" s="447"/>
      <c r="Q27" s="450">
        <v>0</v>
      </c>
      <c r="R27" s="450">
        <v>0.40100000000000002</v>
      </c>
      <c r="S27" s="450">
        <v>0.04</v>
      </c>
      <c r="T27" s="443">
        <v>1.5</v>
      </c>
    </row>
    <row r="28" spans="2:20" s="497" customFormat="1" ht="15">
      <c r="B28" s="453" t="s">
        <v>442</v>
      </c>
      <c r="C28" s="443"/>
      <c r="D28" s="443"/>
      <c r="E28" s="453">
        <v>1</v>
      </c>
      <c r="F28" s="458">
        <f>xx_1</f>
        <v>4</v>
      </c>
      <c r="G28" s="458">
        <f>yy_1</f>
        <v>100</v>
      </c>
      <c r="H28" s="458">
        <f>zz_1</f>
        <v>0.1</v>
      </c>
      <c r="I28" s="458">
        <f>F28*G28</f>
        <v>400</v>
      </c>
      <c r="J28" s="458">
        <f>F28*H28</f>
        <v>0.4</v>
      </c>
      <c r="K28" s="458">
        <f>G28*H28</f>
        <v>10</v>
      </c>
      <c r="L28" s="470">
        <f>F28*G28*H28</f>
        <v>40</v>
      </c>
      <c r="M28" s="471" t="s">
        <v>443</v>
      </c>
      <c r="N28" s="472">
        <f t="shared" ref="N28" si="8">f_111</f>
        <v>3</v>
      </c>
      <c r="O28" s="443"/>
      <c r="P28" s="447"/>
      <c r="Q28" s="450">
        <v>0</v>
      </c>
      <c r="R28" s="450">
        <v>0.40100000000000002</v>
      </c>
      <c r="S28" s="450">
        <v>0.05</v>
      </c>
      <c r="T28" s="443">
        <v>1.5</v>
      </c>
    </row>
    <row r="29" spans="2:20" s="497" customFormat="1" ht="15">
      <c r="B29" s="453" t="s">
        <v>444</v>
      </c>
      <c r="C29" s="443"/>
      <c r="D29" s="443"/>
      <c r="E29" s="453">
        <v>1</v>
      </c>
      <c r="F29" s="458">
        <f>xx_2</f>
        <v>4.01</v>
      </c>
      <c r="G29" s="458">
        <f>yy_1</f>
        <v>100</v>
      </c>
      <c r="H29" s="458">
        <f>zz_1</f>
        <v>0.1</v>
      </c>
      <c r="I29" s="458">
        <f t="shared" ref="I29:I35" si="9">F29*G29</f>
        <v>401</v>
      </c>
      <c r="J29" s="458">
        <f t="shared" ref="J29:J35" si="10">F29*H29</f>
        <v>0.40100000000000002</v>
      </c>
      <c r="K29" s="458">
        <f t="shared" ref="K29:K35" si="11">G29*H29</f>
        <v>10</v>
      </c>
      <c r="L29" s="470">
        <f t="shared" ref="L29:L35" si="12">F29*G29*H29</f>
        <v>40.1</v>
      </c>
      <c r="M29" s="458"/>
      <c r="N29" s="472">
        <f>f_211</f>
        <v>3.5</v>
      </c>
      <c r="O29" s="443"/>
      <c r="P29" s="447"/>
      <c r="Q29" s="450">
        <v>0</v>
      </c>
      <c r="R29" s="450">
        <v>0.40100000000000002</v>
      </c>
      <c r="S29" s="450">
        <v>0.06</v>
      </c>
      <c r="T29" s="443">
        <v>1.5</v>
      </c>
    </row>
    <row r="30" spans="2:20" s="497" customFormat="1" ht="15">
      <c r="B30" s="453" t="s">
        <v>445</v>
      </c>
      <c r="C30" s="443"/>
      <c r="D30" s="443"/>
      <c r="E30" s="453">
        <v>1</v>
      </c>
      <c r="F30" s="458">
        <f>xx_1</f>
        <v>4</v>
      </c>
      <c r="G30" s="458">
        <f>yy_2</f>
        <v>0</v>
      </c>
      <c r="H30" s="458">
        <f>zz_1</f>
        <v>0.1</v>
      </c>
      <c r="I30" s="458">
        <f t="shared" si="9"/>
        <v>0</v>
      </c>
      <c r="J30" s="458">
        <f t="shared" si="10"/>
        <v>0.4</v>
      </c>
      <c r="K30" s="458">
        <f t="shared" si="11"/>
        <v>0</v>
      </c>
      <c r="L30" s="470">
        <f t="shared" si="12"/>
        <v>0</v>
      </c>
      <c r="M30" s="458"/>
      <c r="N30" s="472">
        <f>f_121</f>
        <v>1.5</v>
      </c>
      <c r="O30" s="443"/>
      <c r="P30" s="447"/>
      <c r="Q30" s="450">
        <v>0</v>
      </c>
      <c r="R30" s="450">
        <v>0.40100000000000002</v>
      </c>
      <c r="S30" s="450">
        <v>0.08</v>
      </c>
      <c r="T30" s="443">
        <v>1.5</v>
      </c>
    </row>
    <row r="31" spans="2:20" s="497" customFormat="1" ht="15">
      <c r="B31" s="453" t="s">
        <v>448</v>
      </c>
      <c r="C31" s="443" t="s">
        <v>446</v>
      </c>
      <c r="D31" s="443"/>
      <c r="E31" s="453">
        <v>1</v>
      </c>
      <c r="F31" s="458">
        <f>xx_2</f>
        <v>4.01</v>
      </c>
      <c r="G31" s="458">
        <f>yy_2</f>
        <v>0</v>
      </c>
      <c r="H31" s="458">
        <f>zz_1</f>
        <v>0.1</v>
      </c>
      <c r="I31" s="458">
        <f t="shared" si="9"/>
        <v>0</v>
      </c>
      <c r="J31" s="458">
        <f t="shared" si="10"/>
        <v>0.40100000000000002</v>
      </c>
      <c r="K31" s="458">
        <f t="shared" si="11"/>
        <v>0</v>
      </c>
      <c r="L31" s="470">
        <f t="shared" si="12"/>
        <v>0</v>
      </c>
      <c r="M31" s="458" t="s">
        <v>447</v>
      </c>
      <c r="N31" s="472">
        <f>f_221</f>
        <v>1.5</v>
      </c>
      <c r="O31" s="443"/>
      <c r="P31" s="447"/>
      <c r="Q31" s="450">
        <v>0</v>
      </c>
      <c r="R31" s="450">
        <v>0.40100000000000002</v>
      </c>
      <c r="S31" s="450">
        <v>0.1</v>
      </c>
      <c r="T31" s="443">
        <v>1.5</v>
      </c>
    </row>
    <row r="32" spans="2:20" s="497" customFormat="1" ht="15">
      <c r="B32" s="453" t="s">
        <v>472</v>
      </c>
      <c r="C32" s="443"/>
      <c r="D32" s="443"/>
      <c r="E32" s="453">
        <v>1</v>
      </c>
      <c r="F32" s="458">
        <f>xx_1</f>
        <v>4</v>
      </c>
      <c r="G32" s="458">
        <f>yy_1</f>
        <v>100</v>
      </c>
      <c r="H32" s="458">
        <f>zz_2</f>
        <v>0.15</v>
      </c>
      <c r="I32" s="458">
        <f t="shared" si="9"/>
        <v>400</v>
      </c>
      <c r="J32" s="458">
        <f t="shared" si="10"/>
        <v>0.6</v>
      </c>
      <c r="K32" s="458">
        <f t="shared" si="11"/>
        <v>15</v>
      </c>
      <c r="L32" s="470">
        <f t="shared" si="12"/>
        <v>60</v>
      </c>
      <c r="M32" s="458"/>
      <c r="N32" s="472">
        <f>f_112</f>
        <v>2.5</v>
      </c>
      <c r="O32" s="443"/>
      <c r="P32" s="447"/>
      <c r="Q32" s="450">
        <v>0</v>
      </c>
      <c r="R32" s="450">
        <v>0.40100000000000002</v>
      </c>
      <c r="S32" s="450">
        <v>0.15</v>
      </c>
      <c r="T32" s="443">
        <v>1.5</v>
      </c>
    </row>
    <row r="33" spans="2:20" s="497" customFormat="1" ht="15">
      <c r="B33" s="453" t="s">
        <v>473</v>
      </c>
      <c r="C33" s="443"/>
      <c r="D33" s="443"/>
      <c r="E33" s="453">
        <v>1</v>
      </c>
      <c r="F33" s="458">
        <f>xx_2</f>
        <v>4.01</v>
      </c>
      <c r="G33" s="458">
        <f>yy_1</f>
        <v>100</v>
      </c>
      <c r="H33" s="458">
        <f>zz_2</f>
        <v>0.15</v>
      </c>
      <c r="I33" s="458">
        <f t="shared" si="9"/>
        <v>401</v>
      </c>
      <c r="J33" s="458">
        <f t="shared" si="10"/>
        <v>0.60149999999999992</v>
      </c>
      <c r="K33" s="458">
        <f t="shared" si="11"/>
        <v>15</v>
      </c>
      <c r="L33" s="470">
        <f t="shared" si="12"/>
        <v>60.15</v>
      </c>
      <c r="M33" s="458"/>
      <c r="N33" s="472">
        <f>f_212</f>
        <v>3</v>
      </c>
      <c r="O33" s="443"/>
      <c r="P33" s="447"/>
      <c r="Q33" s="450">
        <v>0</v>
      </c>
      <c r="R33" s="450">
        <v>0.40100000000000002</v>
      </c>
      <c r="S33" s="450">
        <v>0.2</v>
      </c>
      <c r="T33" s="443">
        <v>1.5</v>
      </c>
    </row>
    <row r="34" spans="2:20" s="497" customFormat="1" ht="15">
      <c r="B34" s="453" t="s">
        <v>474</v>
      </c>
      <c r="C34" s="443"/>
      <c r="D34" s="443"/>
      <c r="E34" s="453">
        <v>1</v>
      </c>
      <c r="F34" s="458">
        <f>xx_1</f>
        <v>4</v>
      </c>
      <c r="G34" s="458">
        <f>yy_2</f>
        <v>0</v>
      </c>
      <c r="H34" s="458">
        <f>zz_2</f>
        <v>0.15</v>
      </c>
      <c r="I34" s="458">
        <f t="shared" si="9"/>
        <v>0</v>
      </c>
      <c r="J34" s="458">
        <f t="shared" si="10"/>
        <v>0.6</v>
      </c>
      <c r="K34" s="458">
        <f t="shared" si="11"/>
        <v>0</v>
      </c>
      <c r="L34" s="470">
        <f t="shared" si="12"/>
        <v>0</v>
      </c>
      <c r="M34" s="458"/>
      <c r="N34" s="472">
        <f>f_122</f>
        <v>1.5</v>
      </c>
      <c r="O34" s="443"/>
      <c r="P34" s="447"/>
      <c r="Q34" s="450">
        <v>0</v>
      </c>
      <c r="R34" s="450">
        <v>0.40100000000000002</v>
      </c>
      <c r="S34" s="450">
        <v>0.25</v>
      </c>
      <c r="T34" s="443">
        <v>1.5</v>
      </c>
    </row>
    <row r="35" spans="2:20" s="497" customFormat="1" ht="15">
      <c r="B35" s="453" t="s">
        <v>475</v>
      </c>
      <c r="C35" s="443"/>
      <c r="D35" s="443"/>
      <c r="E35" s="453">
        <v>1</v>
      </c>
      <c r="F35" s="458">
        <f>xx_2</f>
        <v>4.01</v>
      </c>
      <c r="G35" s="458">
        <f>yy_2</f>
        <v>0</v>
      </c>
      <c r="H35" s="458">
        <f>zz_2</f>
        <v>0.15</v>
      </c>
      <c r="I35" s="458">
        <f t="shared" si="9"/>
        <v>0</v>
      </c>
      <c r="J35" s="458">
        <f t="shared" si="10"/>
        <v>0.60149999999999992</v>
      </c>
      <c r="K35" s="458">
        <f t="shared" si="11"/>
        <v>0</v>
      </c>
      <c r="L35" s="470">
        <f t="shared" si="12"/>
        <v>0</v>
      </c>
      <c r="M35" s="458"/>
      <c r="N35" s="472">
        <f>f_222</f>
        <v>1.5</v>
      </c>
      <c r="O35" s="443"/>
      <c r="P35" s="447"/>
      <c r="Q35" s="450">
        <v>0</v>
      </c>
      <c r="R35" s="450">
        <v>0.40100000000000002</v>
      </c>
      <c r="S35" s="450">
        <v>1</v>
      </c>
      <c r="T35" s="443">
        <v>1.5</v>
      </c>
    </row>
    <row r="36" spans="2:20" s="497" customFormat="1" ht="15">
      <c r="B36" s="443"/>
      <c r="C36" s="443"/>
      <c r="D36" s="443"/>
      <c r="E36" s="458"/>
      <c r="F36" s="458"/>
      <c r="G36" s="458"/>
      <c r="H36" s="458"/>
      <c r="I36" s="458"/>
      <c r="J36" s="458"/>
      <c r="K36" s="458"/>
      <c r="L36" s="458"/>
      <c r="M36" s="458"/>
      <c r="N36" s="458"/>
      <c r="O36" s="443"/>
      <c r="P36" s="447"/>
      <c r="Q36" s="450">
        <v>0</v>
      </c>
      <c r="R36" s="450">
        <v>0.5</v>
      </c>
      <c r="S36" s="450">
        <v>0</v>
      </c>
      <c r="T36" s="443">
        <v>1.5</v>
      </c>
    </row>
    <row r="37" spans="2:20" s="497" customFormat="1" ht="15">
      <c r="B37" s="453" t="s">
        <v>442</v>
      </c>
      <c r="C37" s="443"/>
      <c r="D37" s="453">
        <f t="array" ref="D37:D44">MMULT(MINVERSE(E28:L35),N28:N35)</f>
        <v>1.5</v>
      </c>
      <c r="E37" s="458"/>
      <c r="F37" s="458"/>
      <c r="G37" s="458"/>
      <c r="H37" s="458"/>
      <c r="I37" s="458"/>
      <c r="J37" s="458"/>
      <c r="K37" s="458"/>
      <c r="L37" s="458"/>
      <c r="M37" s="458"/>
      <c r="N37" s="458"/>
      <c r="O37" s="443"/>
      <c r="P37" s="447"/>
      <c r="Q37" s="450">
        <v>0</v>
      </c>
      <c r="R37" s="450">
        <v>0.5</v>
      </c>
      <c r="S37" s="450">
        <v>0.02</v>
      </c>
      <c r="T37" s="443">
        <v>1.5</v>
      </c>
    </row>
    <row r="38" spans="2:20" s="497" customFormat="1" ht="15">
      <c r="B38" s="453" t="s">
        <v>444</v>
      </c>
      <c r="C38" s="443"/>
      <c r="D38" s="453">
        <v>0</v>
      </c>
      <c r="E38" s="458"/>
      <c r="F38" s="458"/>
      <c r="G38" s="458"/>
      <c r="H38" s="458"/>
      <c r="I38" s="458"/>
      <c r="J38" s="458"/>
      <c r="K38" s="458"/>
      <c r="L38" s="458"/>
      <c r="M38" s="458"/>
      <c r="N38" s="458"/>
      <c r="O38" s="443"/>
      <c r="P38" s="447"/>
      <c r="Q38" s="450">
        <v>0</v>
      </c>
      <c r="R38" s="450">
        <v>0.5</v>
      </c>
      <c r="S38" s="450">
        <v>0.04</v>
      </c>
      <c r="T38" s="443">
        <v>1.5</v>
      </c>
    </row>
    <row r="39" spans="2:20" s="497" customFormat="1" ht="15">
      <c r="B39" s="453" t="s">
        <v>445</v>
      </c>
      <c r="C39" s="443"/>
      <c r="D39" s="453">
        <v>-1.9749999999999996</v>
      </c>
      <c r="E39" s="458"/>
      <c r="F39" s="458"/>
      <c r="G39" s="458"/>
      <c r="H39" s="458"/>
      <c r="I39" s="458"/>
      <c r="J39" s="458"/>
      <c r="K39" s="458"/>
      <c r="L39" s="458"/>
      <c r="M39" s="458"/>
      <c r="N39" s="458"/>
      <c r="O39" s="443"/>
      <c r="P39" s="447"/>
      <c r="Q39" s="450">
        <v>0</v>
      </c>
      <c r="R39" s="450">
        <v>0.5</v>
      </c>
      <c r="S39" s="450">
        <v>0.05</v>
      </c>
      <c r="T39" s="443">
        <v>1.5</v>
      </c>
    </row>
    <row r="40" spans="2:20" s="497" customFormat="1" ht="15">
      <c r="B40" s="453" t="s">
        <v>448</v>
      </c>
      <c r="C40" s="443" t="s">
        <v>446</v>
      </c>
      <c r="D40" s="453">
        <v>0</v>
      </c>
      <c r="E40" s="458"/>
      <c r="F40" s="458"/>
      <c r="G40" s="458"/>
      <c r="H40" s="458"/>
      <c r="I40" s="458"/>
      <c r="J40" s="458"/>
      <c r="K40" s="458"/>
      <c r="L40" s="458"/>
      <c r="M40" s="458"/>
      <c r="N40" s="458"/>
      <c r="O40" s="443"/>
      <c r="P40" s="447"/>
      <c r="Q40" s="450">
        <v>0</v>
      </c>
      <c r="R40" s="450">
        <v>0.5</v>
      </c>
      <c r="S40" s="450">
        <v>0.06</v>
      </c>
      <c r="T40" s="443">
        <v>1.5</v>
      </c>
    </row>
    <row r="41" spans="2:20" s="497" customFormat="1" ht="15">
      <c r="B41" s="453" t="s">
        <v>472</v>
      </c>
      <c r="C41" s="443"/>
      <c r="D41" s="453">
        <v>0.5</v>
      </c>
      <c r="E41" s="458"/>
      <c r="F41" s="458"/>
      <c r="G41" s="458"/>
      <c r="H41" s="458"/>
      <c r="I41" s="458"/>
      <c r="J41" s="458"/>
      <c r="K41" s="458"/>
      <c r="L41" s="458"/>
      <c r="M41" s="458"/>
      <c r="N41" s="458"/>
      <c r="O41" s="443"/>
      <c r="P41" s="447"/>
      <c r="Q41" s="450">
        <v>0</v>
      </c>
      <c r="R41" s="450">
        <v>0.5</v>
      </c>
      <c r="S41" s="450">
        <v>0.08</v>
      </c>
      <c r="T41" s="443">
        <v>1.5</v>
      </c>
    </row>
    <row r="42" spans="2:20" s="497" customFormat="1" ht="15">
      <c r="B42" s="453" t="s">
        <v>473</v>
      </c>
      <c r="C42" s="443"/>
      <c r="D42" s="453">
        <v>0</v>
      </c>
      <c r="E42" s="458"/>
      <c r="F42" s="458"/>
      <c r="G42" s="458"/>
      <c r="H42" s="458"/>
      <c r="I42" s="458"/>
      <c r="J42" s="458"/>
      <c r="K42" s="458"/>
      <c r="L42" s="458"/>
      <c r="M42" s="458"/>
      <c r="N42" s="458"/>
      <c r="O42" s="443"/>
      <c r="P42" s="447"/>
      <c r="Q42" s="450">
        <v>0</v>
      </c>
      <c r="R42" s="450">
        <v>0.5</v>
      </c>
      <c r="S42" s="450">
        <v>0.1</v>
      </c>
      <c r="T42" s="443">
        <v>1.5</v>
      </c>
    </row>
    <row r="43" spans="2:20" s="497" customFormat="1" ht="15">
      <c r="B43" s="453" t="s">
        <v>474</v>
      </c>
      <c r="C43" s="443"/>
      <c r="D43" s="453">
        <v>-0.10000000000002274</v>
      </c>
      <c r="E43" s="458"/>
      <c r="F43" s="458"/>
      <c r="G43" s="458"/>
      <c r="H43" s="458"/>
      <c r="I43" s="458"/>
      <c r="J43" s="458"/>
      <c r="K43" s="458"/>
      <c r="L43" s="458"/>
      <c r="M43" s="458"/>
      <c r="N43" s="458"/>
      <c r="O43" s="443"/>
      <c r="P43" s="447"/>
      <c r="Q43" s="450">
        <v>0</v>
      </c>
      <c r="R43" s="450">
        <v>0.5</v>
      </c>
      <c r="S43" s="450">
        <v>0.15</v>
      </c>
      <c r="T43" s="443">
        <v>1.5</v>
      </c>
    </row>
    <row r="44" spans="2:20" s="497" customFormat="1" ht="15">
      <c r="B44" s="453" t="s">
        <v>475</v>
      </c>
      <c r="C44" s="443"/>
      <c r="D44" s="453">
        <v>0</v>
      </c>
      <c r="E44" s="458"/>
      <c r="F44" s="458"/>
      <c r="G44" s="458"/>
      <c r="H44" s="458"/>
      <c r="I44" s="458"/>
      <c r="J44" s="458"/>
      <c r="K44" s="458"/>
      <c r="L44" s="458"/>
      <c r="M44" s="458"/>
      <c r="N44" s="458"/>
      <c r="O44" s="443"/>
      <c r="P44" s="447"/>
      <c r="Q44" s="450">
        <v>0</v>
      </c>
      <c r="R44" s="450">
        <v>0.5</v>
      </c>
      <c r="S44" s="450">
        <v>0.2</v>
      </c>
      <c r="T44" s="443">
        <v>1.5</v>
      </c>
    </row>
    <row r="45" spans="2:20" s="497" customFormat="1" ht="15">
      <c r="B45" s="443"/>
      <c r="C45" s="443"/>
      <c r="D45" s="443"/>
      <c r="E45" s="458"/>
      <c r="F45" s="458"/>
      <c r="G45" s="458"/>
      <c r="H45" s="458"/>
      <c r="I45" s="458"/>
      <c r="J45" s="458"/>
      <c r="K45" s="458"/>
      <c r="L45" s="458"/>
      <c r="M45" s="458"/>
      <c r="N45" s="458"/>
      <c r="O45" s="443"/>
      <c r="P45" s="447"/>
      <c r="Q45" s="450">
        <v>0</v>
      </c>
      <c r="R45" s="450">
        <v>0.5</v>
      </c>
      <c r="S45" s="450">
        <v>0.25</v>
      </c>
      <c r="T45" s="443">
        <v>1.5</v>
      </c>
    </row>
    <row r="46" spans="2:20" s="497" customFormat="1" ht="15">
      <c r="B46" s="453">
        <v>1</v>
      </c>
      <c r="C46" s="443"/>
      <c r="D46" s="453">
        <v>1</v>
      </c>
      <c r="E46" s="458"/>
      <c r="F46" s="458"/>
      <c r="G46" s="458"/>
      <c r="H46" s="458"/>
      <c r="I46" s="458"/>
      <c r="J46" s="458"/>
      <c r="K46" s="458"/>
      <c r="L46" s="458"/>
      <c r="M46" s="458"/>
      <c r="N46" s="458"/>
      <c r="O46" s="443"/>
      <c r="P46" s="447"/>
      <c r="Q46" s="450">
        <v>0</v>
      </c>
      <c r="R46" s="450">
        <v>0.5</v>
      </c>
      <c r="S46" s="450">
        <v>1</v>
      </c>
      <c r="T46" s="443">
        <v>1.5</v>
      </c>
    </row>
    <row r="47" spans="2:20" s="497" customFormat="1" ht="15">
      <c r="B47" s="453" t="s">
        <v>426</v>
      </c>
      <c r="C47" s="443"/>
      <c r="D47" s="453">
        <f>C3</f>
        <v>4</v>
      </c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43"/>
      <c r="P47" s="447"/>
      <c r="Q47" s="450">
        <v>0</v>
      </c>
      <c r="R47" s="450">
        <v>0.501</v>
      </c>
      <c r="S47" s="450">
        <v>0</v>
      </c>
      <c r="T47" s="443">
        <v>1.5</v>
      </c>
    </row>
    <row r="48" spans="2:20" s="497" customFormat="1" ht="15">
      <c r="B48" s="453" t="s">
        <v>430</v>
      </c>
      <c r="C48" s="443"/>
      <c r="D48" s="453">
        <f>C4</f>
        <v>300</v>
      </c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43"/>
      <c r="P48" s="447"/>
      <c r="Q48" s="450">
        <v>0</v>
      </c>
      <c r="R48" s="450">
        <v>0.501</v>
      </c>
      <c r="S48" s="450">
        <v>0.02</v>
      </c>
      <c r="T48" s="443">
        <v>1.5</v>
      </c>
    </row>
    <row r="49" spans="2:20" s="497" customFormat="1" ht="15">
      <c r="B49" s="453" t="s">
        <v>390</v>
      </c>
      <c r="C49" s="443" t="s">
        <v>446</v>
      </c>
      <c r="D49" s="453">
        <f>C5</f>
        <v>0.14508785881222142</v>
      </c>
      <c r="E49" s="458"/>
      <c r="F49" s="458"/>
      <c r="G49" s="458"/>
      <c r="H49" s="458"/>
      <c r="I49" s="458"/>
      <c r="J49" s="458"/>
      <c r="K49" s="458"/>
      <c r="L49" s="458"/>
      <c r="M49" s="458"/>
      <c r="N49" s="458"/>
      <c r="O49" s="443"/>
      <c r="P49" s="447"/>
      <c r="Q49" s="450">
        <v>0</v>
      </c>
      <c r="R49" s="450">
        <v>0.501</v>
      </c>
      <c r="S49" s="450">
        <v>0.04</v>
      </c>
      <c r="T49" s="443">
        <v>1.5</v>
      </c>
    </row>
    <row r="50" spans="2:20" s="497" customFormat="1" ht="15">
      <c r="B50" s="453" t="s">
        <v>449</v>
      </c>
      <c r="C50" s="443"/>
      <c r="D50" s="453">
        <f>D47*D48</f>
        <v>1200</v>
      </c>
      <c r="E50" s="458"/>
      <c r="F50" s="458"/>
      <c r="G50" s="458"/>
      <c r="H50" s="458"/>
      <c r="I50" s="458"/>
      <c r="J50" s="458"/>
      <c r="K50" s="458"/>
      <c r="L50" s="458"/>
      <c r="M50" s="458"/>
      <c r="N50" s="458"/>
      <c r="O50" s="443"/>
      <c r="P50" s="447"/>
      <c r="Q50" s="450">
        <v>0</v>
      </c>
      <c r="R50" s="450">
        <v>0.501</v>
      </c>
      <c r="S50" s="450">
        <v>0.05</v>
      </c>
      <c r="T50" s="443">
        <v>1.5</v>
      </c>
    </row>
    <row r="51" spans="2:20" s="497" customFormat="1" ht="15">
      <c r="B51" s="453" t="s">
        <v>476</v>
      </c>
      <c r="C51" s="443"/>
      <c r="D51" s="453">
        <f>D47*D49</f>
        <v>0.58035143524888566</v>
      </c>
      <c r="E51" s="458"/>
      <c r="F51" s="458"/>
      <c r="G51" s="458"/>
      <c r="H51" s="458"/>
      <c r="I51" s="458"/>
      <c r="J51" s="458"/>
      <c r="K51" s="458"/>
      <c r="L51" s="458"/>
      <c r="M51" s="458"/>
      <c r="N51" s="458"/>
      <c r="O51" s="443"/>
      <c r="P51" s="447"/>
      <c r="Q51" s="450">
        <v>0</v>
      </c>
      <c r="R51" s="450">
        <v>0.501</v>
      </c>
      <c r="S51" s="450">
        <v>0.06</v>
      </c>
      <c r="T51" s="443">
        <v>1.5</v>
      </c>
    </row>
    <row r="52" spans="2:20" s="497" customFormat="1" ht="15">
      <c r="B52" s="453" t="s">
        <v>477</v>
      </c>
      <c r="C52" s="443"/>
      <c r="D52" s="453">
        <f>D48*D49</f>
        <v>43.526357643666422</v>
      </c>
      <c r="E52" s="458"/>
      <c r="F52" s="458"/>
      <c r="G52" s="458"/>
      <c r="H52" s="458"/>
      <c r="I52" s="458"/>
      <c r="J52" s="458"/>
      <c r="K52" s="458"/>
      <c r="L52" s="458"/>
      <c r="M52" s="458"/>
      <c r="N52" s="458"/>
      <c r="O52" s="443"/>
      <c r="P52" s="447"/>
      <c r="Q52" s="450">
        <v>0</v>
      </c>
      <c r="R52" s="450">
        <v>0.501</v>
      </c>
      <c r="S52" s="450">
        <v>0.08</v>
      </c>
      <c r="T52" s="443">
        <v>1.5</v>
      </c>
    </row>
    <row r="53" spans="2:20" s="497" customFormat="1" ht="15">
      <c r="B53" s="453" t="s">
        <v>478</v>
      </c>
      <c r="C53" s="443"/>
      <c r="D53" s="453">
        <f>D47*D48*D49</f>
        <v>174.10543057466569</v>
      </c>
      <c r="E53" s="458"/>
      <c r="F53" s="458"/>
      <c r="G53" s="458"/>
      <c r="H53" s="458"/>
      <c r="I53" s="458"/>
      <c r="J53" s="458"/>
      <c r="K53" s="458"/>
      <c r="L53" s="458"/>
      <c r="M53" s="458"/>
      <c r="N53" s="458"/>
      <c r="O53" s="443"/>
      <c r="P53" s="447"/>
      <c r="Q53" s="450">
        <v>0</v>
      </c>
      <c r="R53" s="450">
        <v>0.501</v>
      </c>
      <c r="S53" s="450">
        <v>0.1</v>
      </c>
      <c r="T53" s="443">
        <v>1.5</v>
      </c>
    </row>
    <row r="54" spans="2:20" s="497" customFormat="1" ht="15">
      <c r="B54" s="443"/>
      <c r="C54" s="443"/>
      <c r="D54" s="443"/>
      <c r="E54" s="458"/>
      <c r="F54" s="458"/>
      <c r="G54" s="458"/>
      <c r="H54" s="458"/>
      <c r="I54" s="458"/>
      <c r="J54" s="458"/>
      <c r="K54" s="458"/>
      <c r="L54" s="458"/>
      <c r="M54" s="458"/>
      <c r="N54" s="458"/>
      <c r="O54" s="443"/>
      <c r="P54" s="447"/>
      <c r="Q54" s="450">
        <v>0</v>
      </c>
      <c r="R54" s="450">
        <v>0.501</v>
      </c>
      <c r="S54" s="450">
        <v>0.15</v>
      </c>
      <c r="T54" s="443">
        <v>1.5</v>
      </c>
    </row>
    <row r="55" spans="2:20" s="497" customFormat="1" ht="15">
      <c r="B55" s="445" t="s">
        <v>450</v>
      </c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  <c r="N55" s="445"/>
      <c r="O55" s="443"/>
      <c r="P55" s="447"/>
      <c r="Q55" s="450">
        <v>0</v>
      </c>
      <c r="R55" s="450">
        <v>0.501</v>
      </c>
      <c r="S55" s="450">
        <v>0.2</v>
      </c>
      <c r="T55" s="443">
        <v>1.5</v>
      </c>
    </row>
    <row r="56" spans="2:20" s="497" customFormat="1" ht="15">
      <c r="B56" s="443"/>
      <c r="C56" s="443"/>
      <c r="D56" s="443"/>
      <c r="E56" s="458"/>
      <c r="F56" s="458"/>
      <c r="G56" s="458"/>
      <c r="H56" s="458"/>
      <c r="I56" s="458"/>
      <c r="J56" s="458"/>
      <c r="K56" s="458"/>
      <c r="L56" s="458"/>
      <c r="M56" s="458"/>
      <c r="N56" s="458"/>
      <c r="O56" s="443"/>
      <c r="P56" s="447"/>
      <c r="Q56" s="450">
        <v>0</v>
      </c>
      <c r="R56" s="450">
        <v>0.501</v>
      </c>
      <c r="S56" s="450">
        <v>0.25</v>
      </c>
      <c r="T56" s="443">
        <v>1.5</v>
      </c>
    </row>
    <row r="57" spans="2:20" s="497" customFormat="1" ht="15">
      <c r="B57" s="443"/>
      <c r="C57" s="443"/>
      <c r="D57" s="443"/>
      <c r="E57" s="458"/>
      <c r="F57" s="458"/>
      <c r="G57" s="458"/>
      <c r="H57" s="458"/>
      <c r="I57" s="458"/>
      <c r="J57" s="458"/>
      <c r="K57" s="458"/>
      <c r="L57" s="458"/>
      <c r="M57" s="458"/>
      <c r="N57" s="458"/>
      <c r="O57" s="443"/>
      <c r="P57" s="447"/>
      <c r="Q57" s="450">
        <v>0</v>
      </c>
      <c r="R57" s="450">
        <v>0.501</v>
      </c>
      <c r="S57" s="450">
        <v>1</v>
      </c>
      <c r="T57" s="443">
        <v>1.5</v>
      </c>
    </row>
    <row r="58" spans="2:20" s="497" customFormat="1" ht="15">
      <c r="B58" s="443"/>
      <c r="C58" s="443"/>
      <c r="D58" s="443"/>
      <c r="E58" s="458"/>
      <c r="F58" s="458"/>
      <c r="G58" s="458"/>
      <c r="H58" s="458"/>
      <c r="I58" s="458"/>
      <c r="J58" s="458"/>
      <c r="K58" s="458"/>
      <c r="L58" s="458"/>
      <c r="M58" s="458"/>
      <c r="N58" s="458"/>
      <c r="O58" s="443"/>
      <c r="P58" s="447"/>
      <c r="Q58" s="450">
        <v>0</v>
      </c>
      <c r="R58" s="450">
        <v>0.8</v>
      </c>
      <c r="S58" s="450">
        <v>0</v>
      </c>
      <c r="T58" s="443">
        <v>1.5</v>
      </c>
    </row>
    <row r="59" spans="2:20" s="497" customFormat="1" ht="15">
      <c r="B59" s="443"/>
      <c r="C59" s="443"/>
      <c r="D59" s="443"/>
      <c r="E59" s="458"/>
      <c r="F59" s="458"/>
      <c r="G59" s="458"/>
      <c r="H59" s="458"/>
      <c r="I59" s="458"/>
      <c r="J59" s="458"/>
      <c r="K59" s="458"/>
      <c r="L59" s="458"/>
      <c r="M59" s="458"/>
      <c r="N59" s="458"/>
      <c r="O59" s="443"/>
      <c r="P59" s="447"/>
      <c r="Q59" s="450">
        <v>0</v>
      </c>
      <c r="R59" s="450">
        <v>0.8</v>
      </c>
      <c r="S59" s="450">
        <v>0.02</v>
      </c>
      <c r="T59" s="443">
        <v>1.5</v>
      </c>
    </row>
    <row r="60" spans="2:20" s="497" customFormat="1" ht="15">
      <c r="B60" s="443"/>
      <c r="C60" s="443"/>
      <c r="D60" s="443"/>
      <c r="E60" s="458"/>
      <c r="F60" s="458"/>
      <c r="G60" s="458"/>
      <c r="H60" s="458"/>
      <c r="I60" s="458"/>
      <c r="J60" s="458"/>
      <c r="K60" s="458"/>
      <c r="L60" s="458"/>
      <c r="M60" s="458"/>
      <c r="N60" s="458"/>
      <c r="O60" s="443"/>
      <c r="P60" s="447"/>
      <c r="Q60" s="450">
        <v>0</v>
      </c>
      <c r="R60" s="450">
        <v>0.8</v>
      </c>
      <c r="S60" s="450">
        <v>0.04</v>
      </c>
      <c r="T60" s="443">
        <v>1.5</v>
      </c>
    </row>
    <row r="61" spans="2:20" s="497" customFormat="1" ht="15">
      <c r="B61" s="443"/>
      <c r="C61" s="443"/>
      <c r="D61" s="443"/>
      <c r="E61" s="458"/>
      <c r="F61" s="458"/>
      <c r="G61" s="458"/>
      <c r="H61" s="458"/>
      <c r="I61" s="458"/>
      <c r="J61" s="458"/>
      <c r="K61" s="458"/>
      <c r="L61" s="458"/>
      <c r="M61" s="458"/>
      <c r="N61" s="458"/>
      <c r="O61" s="443"/>
      <c r="P61" s="447"/>
      <c r="Q61" s="450">
        <v>0</v>
      </c>
      <c r="R61" s="450">
        <v>0.8</v>
      </c>
      <c r="S61" s="450">
        <v>0.05</v>
      </c>
      <c r="T61" s="443">
        <v>1.5</v>
      </c>
    </row>
    <row r="62" spans="2:20" s="497" customFormat="1" ht="15">
      <c r="B62" s="443"/>
      <c r="C62" s="443"/>
      <c r="D62" s="443"/>
      <c r="E62" s="458"/>
      <c r="F62" s="458"/>
      <c r="G62" s="458"/>
      <c r="H62" s="458"/>
      <c r="I62" s="458"/>
      <c r="J62" s="458"/>
      <c r="K62" s="458"/>
      <c r="L62" s="458"/>
      <c r="M62" s="458"/>
      <c r="N62" s="458"/>
      <c r="O62" s="443"/>
      <c r="P62" s="447"/>
      <c r="Q62" s="450">
        <v>0</v>
      </c>
      <c r="R62" s="450">
        <v>0.8</v>
      </c>
      <c r="S62" s="450">
        <v>0.06</v>
      </c>
      <c r="T62" s="443">
        <v>1.5</v>
      </c>
    </row>
    <row r="63" spans="2:20" s="497" customFormat="1" ht="15">
      <c r="B63" s="443"/>
      <c r="C63" s="443"/>
      <c r="D63" s="443"/>
      <c r="E63" s="458"/>
      <c r="F63" s="458"/>
      <c r="G63" s="458"/>
      <c r="H63" s="458"/>
      <c r="I63" s="458"/>
      <c r="J63" s="458"/>
      <c r="K63" s="458"/>
      <c r="L63" s="458"/>
      <c r="M63" s="458"/>
      <c r="N63" s="458"/>
      <c r="O63" s="443"/>
      <c r="P63" s="447"/>
      <c r="Q63" s="450">
        <v>0</v>
      </c>
      <c r="R63" s="450">
        <v>0.8</v>
      </c>
      <c r="S63" s="450">
        <v>0.08</v>
      </c>
      <c r="T63" s="443">
        <v>1.5</v>
      </c>
    </row>
    <row r="64" spans="2:20" s="497" customFormat="1" ht="15">
      <c r="B64" s="443"/>
      <c r="C64" s="443"/>
      <c r="D64" s="443"/>
      <c r="E64" s="458"/>
      <c r="F64" s="458"/>
      <c r="G64" s="458"/>
      <c r="H64" s="458"/>
      <c r="I64" s="458"/>
      <c r="J64" s="458"/>
      <c r="K64" s="458"/>
      <c r="L64" s="458"/>
      <c r="M64" s="458"/>
      <c r="N64" s="458"/>
      <c r="O64" s="443"/>
      <c r="P64" s="447"/>
      <c r="Q64" s="450">
        <v>0</v>
      </c>
      <c r="R64" s="450">
        <v>0.8</v>
      </c>
      <c r="S64" s="450">
        <v>0.1</v>
      </c>
      <c r="T64" s="443">
        <v>1.5</v>
      </c>
    </row>
    <row r="65" spans="16:20" s="497" customFormat="1" ht="15">
      <c r="P65" s="447"/>
      <c r="Q65" s="450">
        <v>0</v>
      </c>
      <c r="R65" s="450">
        <v>0.8</v>
      </c>
      <c r="S65" s="450">
        <v>0.15</v>
      </c>
      <c r="T65" s="443">
        <v>1.5</v>
      </c>
    </row>
    <row r="66" spans="16:20" s="497" customFormat="1" ht="15">
      <c r="P66" s="447"/>
      <c r="Q66" s="450">
        <v>0</v>
      </c>
      <c r="R66" s="450">
        <v>0.8</v>
      </c>
      <c r="S66" s="450">
        <v>0.2</v>
      </c>
      <c r="T66" s="443">
        <v>1.5</v>
      </c>
    </row>
    <row r="67" spans="16:20" s="497" customFormat="1" ht="15">
      <c r="P67" s="447"/>
      <c r="Q67" s="450">
        <v>0</v>
      </c>
      <c r="R67" s="450">
        <v>0.8</v>
      </c>
      <c r="S67" s="450">
        <v>0.25</v>
      </c>
      <c r="T67" s="443">
        <v>1.5</v>
      </c>
    </row>
    <row r="68" spans="16:20" s="497" customFormat="1" ht="15">
      <c r="P68" s="447"/>
      <c r="Q68" s="450">
        <v>0</v>
      </c>
      <c r="R68" s="450">
        <v>0.8</v>
      </c>
      <c r="S68" s="450">
        <v>1</v>
      </c>
      <c r="T68" s="443">
        <v>1.5</v>
      </c>
    </row>
    <row r="69" spans="16:20" s="497" customFormat="1" ht="15">
      <c r="P69" s="447"/>
      <c r="Q69" s="450">
        <v>0</v>
      </c>
      <c r="R69" s="450">
        <v>0.80100000000000005</v>
      </c>
      <c r="S69" s="450">
        <v>0</v>
      </c>
      <c r="T69" s="443">
        <v>1.5</v>
      </c>
    </row>
    <row r="70" spans="16:20" s="497" customFormat="1" ht="15">
      <c r="P70" s="447"/>
      <c r="Q70" s="450">
        <v>0</v>
      </c>
      <c r="R70" s="450">
        <v>0.80100000000000005</v>
      </c>
      <c r="S70" s="450">
        <v>0.02</v>
      </c>
      <c r="T70" s="443">
        <v>1.5</v>
      </c>
    </row>
    <row r="71" spans="16:20" s="497" customFormat="1" ht="15">
      <c r="P71" s="447"/>
      <c r="Q71" s="450">
        <v>0</v>
      </c>
      <c r="R71" s="450">
        <v>0.80100000000000005</v>
      </c>
      <c r="S71" s="450">
        <v>0.04</v>
      </c>
      <c r="T71" s="443">
        <v>1.5</v>
      </c>
    </row>
    <row r="72" spans="16:20" s="497" customFormat="1" ht="15">
      <c r="P72" s="447"/>
      <c r="Q72" s="450">
        <v>0</v>
      </c>
      <c r="R72" s="450">
        <v>0.80100000000000005</v>
      </c>
      <c r="S72" s="450">
        <v>0.05</v>
      </c>
      <c r="T72" s="443">
        <v>1.5</v>
      </c>
    </row>
    <row r="73" spans="16:20" s="497" customFormat="1" ht="15">
      <c r="P73" s="447"/>
      <c r="Q73" s="450">
        <v>0</v>
      </c>
      <c r="R73" s="450">
        <v>0.80100000000000005</v>
      </c>
      <c r="S73" s="450">
        <v>0.06</v>
      </c>
      <c r="T73" s="443">
        <v>1.5</v>
      </c>
    </row>
    <row r="74" spans="16:20" s="497" customFormat="1" ht="15">
      <c r="P74" s="447"/>
      <c r="Q74" s="450">
        <v>0</v>
      </c>
      <c r="R74" s="450">
        <v>0.80100000000000005</v>
      </c>
      <c r="S74" s="450">
        <v>0.08</v>
      </c>
      <c r="T74" s="443">
        <v>1.5</v>
      </c>
    </row>
    <row r="75" spans="16:20" s="497" customFormat="1" ht="15">
      <c r="P75" s="447"/>
      <c r="Q75" s="450">
        <v>0</v>
      </c>
      <c r="R75" s="450">
        <v>0.80100000000000005</v>
      </c>
      <c r="S75" s="450">
        <v>0.1</v>
      </c>
      <c r="T75" s="443">
        <v>1.5</v>
      </c>
    </row>
    <row r="76" spans="16:20" s="497" customFormat="1" ht="15">
      <c r="P76" s="447"/>
      <c r="Q76" s="450">
        <v>0</v>
      </c>
      <c r="R76" s="450">
        <v>0.80100000000000005</v>
      </c>
      <c r="S76" s="450">
        <v>0.15</v>
      </c>
      <c r="T76" s="443">
        <v>1.5</v>
      </c>
    </row>
    <row r="77" spans="16:20" s="497" customFormat="1" ht="15">
      <c r="P77" s="447"/>
      <c r="Q77" s="450">
        <v>0</v>
      </c>
      <c r="R77" s="450">
        <v>0.80100000000000005</v>
      </c>
      <c r="S77" s="450">
        <v>0.2</v>
      </c>
      <c r="T77" s="443">
        <v>1.5</v>
      </c>
    </row>
    <row r="78" spans="16:20" s="497" customFormat="1" ht="15">
      <c r="P78" s="447"/>
      <c r="Q78" s="450">
        <v>0</v>
      </c>
      <c r="R78" s="450">
        <v>0.80100000000000005</v>
      </c>
      <c r="S78" s="450">
        <v>0.25</v>
      </c>
      <c r="T78" s="443">
        <v>1.5</v>
      </c>
    </row>
    <row r="79" spans="16:20" s="497" customFormat="1" ht="15">
      <c r="P79" s="447"/>
      <c r="Q79" s="450">
        <v>0</v>
      </c>
      <c r="R79" s="450">
        <v>0.80100000000000005</v>
      </c>
      <c r="S79" s="450">
        <v>1</v>
      </c>
      <c r="T79" s="443">
        <v>1.5</v>
      </c>
    </row>
    <row r="80" spans="16:20" s="497" customFormat="1" ht="15">
      <c r="P80" s="447"/>
      <c r="Q80" s="450">
        <v>0</v>
      </c>
      <c r="R80" s="450">
        <v>1.2</v>
      </c>
      <c r="S80" s="450">
        <v>0</v>
      </c>
      <c r="T80" s="443">
        <v>1.5</v>
      </c>
    </row>
    <row r="81" spans="16:20" s="497" customFormat="1" ht="15">
      <c r="P81" s="447"/>
      <c r="Q81" s="450">
        <v>0</v>
      </c>
      <c r="R81" s="450">
        <v>1.2</v>
      </c>
      <c r="S81" s="450">
        <v>0.02</v>
      </c>
      <c r="T81" s="443">
        <v>1.5</v>
      </c>
    </row>
    <row r="82" spans="16:20" s="497" customFormat="1" ht="15">
      <c r="P82" s="447"/>
      <c r="Q82" s="450">
        <v>0</v>
      </c>
      <c r="R82" s="450">
        <v>1.2</v>
      </c>
      <c r="S82" s="450">
        <v>0.04</v>
      </c>
      <c r="T82" s="443">
        <v>1.5</v>
      </c>
    </row>
    <row r="83" spans="16:20" s="497" customFormat="1" ht="15">
      <c r="P83" s="447"/>
      <c r="Q83" s="450">
        <v>0</v>
      </c>
      <c r="R83" s="450">
        <v>1.2</v>
      </c>
      <c r="S83" s="450">
        <v>0.05</v>
      </c>
      <c r="T83" s="443">
        <v>1.5</v>
      </c>
    </row>
    <row r="84" spans="16:20" s="497" customFormat="1" ht="15">
      <c r="P84" s="447"/>
      <c r="Q84" s="450">
        <v>0</v>
      </c>
      <c r="R84" s="450">
        <v>1.2</v>
      </c>
      <c r="S84" s="450">
        <v>0.06</v>
      </c>
      <c r="T84" s="443">
        <v>1.5</v>
      </c>
    </row>
    <row r="85" spans="16:20" s="497" customFormat="1" ht="15">
      <c r="P85" s="447"/>
      <c r="Q85" s="450">
        <v>0</v>
      </c>
      <c r="R85" s="450">
        <v>1.2</v>
      </c>
      <c r="S85" s="450">
        <v>0.08</v>
      </c>
      <c r="T85" s="443">
        <v>1.5</v>
      </c>
    </row>
    <row r="86" spans="16:20" s="497" customFormat="1" ht="15">
      <c r="P86" s="447"/>
      <c r="Q86" s="450">
        <v>0</v>
      </c>
      <c r="R86" s="450">
        <v>1.2</v>
      </c>
      <c r="S86" s="450">
        <v>0.1</v>
      </c>
      <c r="T86" s="443">
        <v>1.5</v>
      </c>
    </row>
    <row r="87" spans="16:20" s="497" customFormat="1" ht="15">
      <c r="P87" s="447"/>
      <c r="Q87" s="450">
        <v>0</v>
      </c>
      <c r="R87" s="450">
        <v>1.2</v>
      </c>
      <c r="S87" s="450">
        <v>0.15</v>
      </c>
      <c r="T87" s="443">
        <v>1.5</v>
      </c>
    </row>
    <row r="88" spans="16:20" s="497" customFormat="1" ht="15">
      <c r="P88" s="447"/>
      <c r="Q88" s="450">
        <v>0</v>
      </c>
      <c r="R88" s="450">
        <v>1.2</v>
      </c>
      <c r="S88" s="450">
        <v>0.2</v>
      </c>
      <c r="T88" s="443">
        <v>1.5</v>
      </c>
    </row>
    <row r="89" spans="16:20" s="497" customFormat="1" ht="15">
      <c r="P89" s="447"/>
      <c r="Q89" s="450">
        <v>0</v>
      </c>
      <c r="R89" s="450">
        <v>1.2</v>
      </c>
      <c r="S89" s="450">
        <v>0.25</v>
      </c>
      <c r="T89" s="443">
        <v>1.5</v>
      </c>
    </row>
    <row r="90" spans="16:20" s="497" customFormat="1" ht="15">
      <c r="P90" s="447"/>
      <c r="Q90" s="450">
        <v>0</v>
      </c>
      <c r="R90" s="450">
        <v>1.2</v>
      </c>
      <c r="S90" s="450">
        <v>1</v>
      </c>
      <c r="T90" s="443">
        <v>1.5</v>
      </c>
    </row>
    <row r="91" spans="16:20" s="497" customFormat="1" ht="15">
      <c r="P91" s="447"/>
      <c r="Q91" s="450">
        <v>0</v>
      </c>
      <c r="R91" s="450">
        <v>1.2010000000000001</v>
      </c>
      <c r="S91" s="450">
        <v>0</v>
      </c>
      <c r="T91" s="443">
        <v>1.5</v>
      </c>
    </row>
    <row r="92" spans="16:20" s="497" customFormat="1" ht="15">
      <c r="P92" s="447"/>
      <c r="Q92" s="450">
        <v>0</v>
      </c>
      <c r="R92" s="450">
        <v>1.2010000000000001</v>
      </c>
      <c r="S92" s="450">
        <v>0.02</v>
      </c>
      <c r="T92" s="443">
        <v>1.5</v>
      </c>
    </row>
    <row r="93" spans="16:20" s="497" customFormat="1" ht="15">
      <c r="P93" s="447"/>
      <c r="Q93" s="450">
        <v>0</v>
      </c>
      <c r="R93" s="450">
        <v>1.2010000000000001</v>
      </c>
      <c r="S93" s="450">
        <v>0.04</v>
      </c>
      <c r="T93" s="443">
        <v>1.5</v>
      </c>
    </row>
    <row r="94" spans="16:20" s="497" customFormat="1" ht="15">
      <c r="P94" s="447"/>
      <c r="Q94" s="450">
        <v>0</v>
      </c>
      <c r="R94" s="450">
        <v>1.2010000000000001</v>
      </c>
      <c r="S94" s="450">
        <v>0.05</v>
      </c>
      <c r="T94" s="443">
        <v>1.5</v>
      </c>
    </row>
    <row r="95" spans="16:20" s="497" customFormat="1" ht="15">
      <c r="P95" s="447"/>
      <c r="Q95" s="450">
        <v>0</v>
      </c>
      <c r="R95" s="450">
        <v>1.2010000000000001</v>
      </c>
      <c r="S95" s="450">
        <v>0.06</v>
      </c>
      <c r="T95" s="443">
        <v>1.5</v>
      </c>
    </row>
    <row r="96" spans="16:20" s="497" customFormat="1" ht="15">
      <c r="P96" s="447"/>
      <c r="Q96" s="450">
        <v>0</v>
      </c>
      <c r="R96" s="450">
        <v>1.2010000000000001</v>
      </c>
      <c r="S96" s="450">
        <v>0.08</v>
      </c>
      <c r="T96" s="443">
        <v>1.5</v>
      </c>
    </row>
    <row r="97" spans="16:20" s="497" customFormat="1" ht="15">
      <c r="P97" s="447"/>
      <c r="Q97" s="450">
        <v>0</v>
      </c>
      <c r="R97" s="450">
        <v>1.2010000000000001</v>
      </c>
      <c r="S97" s="450">
        <v>0.1</v>
      </c>
      <c r="T97" s="443">
        <v>1.5</v>
      </c>
    </row>
    <row r="98" spans="16:20" s="497" customFormat="1" ht="15">
      <c r="P98" s="447"/>
      <c r="Q98" s="450">
        <v>0</v>
      </c>
      <c r="R98" s="450">
        <v>1.2010000000000001</v>
      </c>
      <c r="S98" s="450">
        <v>0.15</v>
      </c>
      <c r="T98" s="443">
        <v>1.5</v>
      </c>
    </row>
    <row r="99" spans="16:20" s="497" customFormat="1" ht="15">
      <c r="P99" s="447"/>
      <c r="Q99" s="450">
        <v>0</v>
      </c>
      <c r="R99" s="450">
        <v>1.2010000000000001</v>
      </c>
      <c r="S99" s="450">
        <v>0.2</v>
      </c>
      <c r="T99" s="443">
        <v>1.5</v>
      </c>
    </row>
    <row r="100" spans="16:20" s="497" customFormat="1" ht="15">
      <c r="P100" s="447"/>
      <c r="Q100" s="450">
        <v>0</v>
      </c>
      <c r="R100" s="450">
        <v>1.2010000000000001</v>
      </c>
      <c r="S100" s="450">
        <v>0.25</v>
      </c>
      <c r="T100" s="443">
        <v>1.5</v>
      </c>
    </row>
    <row r="101" spans="16:20" s="497" customFormat="1" ht="15">
      <c r="P101" s="447"/>
      <c r="Q101" s="450">
        <v>0</v>
      </c>
      <c r="R101" s="450">
        <v>1.2010000000000001</v>
      </c>
      <c r="S101" s="450">
        <v>1</v>
      </c>
      <c r="T101" s="443">
        <v>1.5</v>
      </c>
    </row>
    <row r="102" spans="16:20" s="497" customFormat="1" ht="15">
      <c r="P102" s="447"/>
      <c r="Q102" s="450">
        <v>0</v>
      </c>
      <c r="R102" s="450">
        <v>1.6</v>
      </c>
      <c r="S102" s="450">
        <v>0</v>
      </c>
      <c r="T102" s="443">
        <v>1.5</v>
      </c>
    </row>
    <row r="103" spans="16:20" s="497" customFormat="1" ht="15">
      <c r="P103" s="447"/>
      <c r="Q103" s="450">
        <v>0</v>
      </c>
      <c r="R103" s="450">
        <v>1.6</v>
      </c>
      <c r="S103" s="450">
        <v>0.02</v>
      </c>
      <c r="T103" s="443">
        <v>1.5</v>
      </c>
    </row>
    <row r="104" spans="16:20" s="497" customFormat="1" ht="15">
      <c r="P104" s="447"/>
      <c r="Q104" s="450">
        <v>0</v>
      </c>
      <c r="R104" s="450">
        <v>1.6</v>
      </c>
      <c r="S104" s="450">
        <v>0.04</v>
      </c>
      <c r="T104" s="443">
        <v>1.5</v>
      </c>
    </row>
    <row r="105" spans="16:20" s="497" customFormat="1" ht="15">
      <c r="P105" s="447"/>
      <c r="Q105" s="450">
        <v>0</v>
      </c>
      <c r="R105" s="450">
        <v>1.6</v>
      </c>
      <c r="S105" s="450">
        <v>0.05</v>
      </c>
      <c r="T105" s="443">
        <v>1.5</v>
      </c>
    </row>
    <row r="106" spans="16:20" s="497" customFormat="1" ht="15">
      <c r="P106" s="447"/>
      <c r="Q106" s="450">
        <v>0</v>
      </c>
      <c r="R106" s="450">
        <v>1.6</v>
      </c>
      <c r="S106" s="450">
        <v>0.06</v>
      </c>
      <c r="T106" s="443">
        <v>1.5</v>
      </c>
    </row>
    <row r="107" spans="16:20" s="497" customFormat="1" ht="15">
      <c r="P107" s="447"/>
      <c r="Q107" s="450">
        <v>0</v>
      </c>
      <c r="R107" s="450">
        <v>1.6</v>
      </c>
      <c r="S107" s="450">
        <v>0.08</v>
      </c>
      <c r="T107" s="443">
        <v>1.5</v>
      </c>
    </row>
    <row r="108" spans="16:20" s="497" customFormat="1" ht="15">
      <c r="P108" s="447"/>
      <c r="Q108" s="450">
        <v>0</v>
      </c>
      <c r="R108" s="450">
        <v>1.6</v>
      </c>
      <c r="S108" s="450">
        <v>0.1</v>
      </c>
      <c r="T108" s="443">
        <v>1.5</v>
      </c>
    </row>
    <row r="109" spans="16:20" s="497" customFormat="1" ht="15">
      <c r="P109" s="447"/>
      <c r="Q109" s="450">
        <v>0</v>
      </c>
      <c r="R109" s="450">
        <v>1.6</v>
      </c>
      <c r="S109" s="450">
        <v>0.15</v>
      </c>
      <c r="T109" s="443">
        <v>1.5</v>
      </c>
    </row>
    <row r="110" spans="16:20" s="497" customFormat="1" ht="15">
      <c r="P110" s="447"/>
      <c r="Q110" s="450">
        <v>0</v>
      </c>
      <c r="R110" s="450">
        <v>1.6</v>
      </c>
      <c r="S110" s="450">
        <v>0.2</v>
      </c>
      <c r="T110" s="443">
        <v>1.5</v>
      </c>
    </row>
    <row r="111" spans="16:20" s="497" customFormat="1" ht="15">
      <c r="P111" s="447"/>
      <c r="Q111" s="450">
        <v>0</v>
      </c>
      <c r="R111" s="450">
        <v>1.6</v>
      </c>
      <c r="S111" s="450">
        <v>0.25</v>
      </c>
      <c r="T111" s="443">
        <v>1.5</v>
      </c>
    </row>
    <row r="112" spans="16:20" s="497" customFormat="1" ht="15">
      <c r="P112" s="447"/>
      <c r="Q112" s="450">
        <v>0</v>
      </c>
      <c r="R112" s="450">
        <v>1.6</v>
      </c>
      <c r="S112" s="450">
        <v>1</v>
      </c>
      <c r="T112" s="443">
        <v>1.5</v>
      </c>
    </row>
    <row r="113" spans="16:20" s="497" customFormat="1" ht="15">
      <c r="P113" s="447"/>
      <c r="Q113" s="450">
        <v>0</v>
      </c>
      <c r="R113" s="450">
        <v>1.601</v>
      </c>
      <c r="S113" s="450">
        <v>0</v>
      </c>
      <c r="T113" s="443">
        <v>1.5</v>
      </c>
    </row>
    <row r="114" spans="16:20" s="497" customFormat="1" ht="15">
      <c r="P114" s="447"/>
      <c r="Q114" s="450">
        <v>0</v>
      </c>
      <c r="R114" s="450">
        <v>1.601</v>
      </c>
      <c r="S114" s="450">
        <v>0.02</v>
      </c>
      <c r="T114" s="443">
        <v>1.5</v>
      </c>
    </row>
    <row r="115" spans="16:20" s="497" customFormat="1" ht="15">
      <c r="P115" s="447"/>
      <c r="Q115" s="450">
        <v>0</v>
      </c>
      <c r="R115" s="450">
        <v>1.601</v>
      </c>
      <c r="S115" s="450">
        <v>0.04</v>
      </c>
      <c r="T115" s="443">
        <v>1.5</v>
      </c>
    </row>
    <row r="116" spans="16:20" s="497" customFormat="1" ht="15">
      <c r="P116" s="447"/>
      <c r="Q116" s="450">
        <v>0</v>
      </c>
      <c r="R116" s="450">
        <v>1.601</v>
      </c>
      <c r="S116" s="450">
        <v>0.05</v>
      </c>
      <c r="T116" s="443">
        <v>1.5</v>
      </c>
    </row>
    <row r="117" spans="16:20" s="497" customFormat="1" ht="15">
      <c r="P117" s="447"/>
      <c r="Q117" s="450">
        <v>0</v>
      </c>
      <c r="R117" s="450">
        <v>1.601</v>
      </c>
      <c r="S117" s="450">
        <v>0.06</v>
      </c>
      <c r="T117" s="443">
        <v>1.5</v>
      </c>
    </row>
    <row r="118" spans="16:20" s="497" customFormat="1" ht="15">
      <c r="P118" s="447"/>
      <c r="Q118" s="450">
        <v>0</v>
      </c>
      <c r="R118" s="450">
        <v>1.601</v>
      </c>
      <c r="S118" s="450">
        <v>0.08</v>
      </c>
      <c r="T118" s="443">
        <v>1.5</v>
      </c>
    </row>
    <row r="119" spans="16:20" s="497" customFormat="1" ht="15">
      <c r="P119" s="447"/>
      <c r="Q119" s="450">
        <v>0</v>
      </c>
      <c r="R119" s="450">
        <v>1.601</v>
      </c>
      <c r="S119" s="450">
        <v>0.1</v>
      </c>
      <c r="T119" s="443">
        <v>1.5</v>
      </c>
    </row>
    <row r="120" spans="16:20" s="497" customFormat="1" ht="15">
      <c r="P120" s="447"/>
      <c r="Q120" s="450">
        <v>0</v>
      </c>
      <c r="R120" s="450">
        <v>1.601</v>
      </c>
      <c r="S120" s="450">
        <v>0.15</v>
      </c>
      <c r="T120" s="443">
        <v>1.5</v>
      </c>
    </row>
    <row r="121" spans="16:20" s="497" customFormat="1" ht="15">
      <c r="P121" s="447"/>
      <c r="Q121" s="450">
        <v>0</v>
      </c>
      <c r="R121" s="450">
        <v>1.601</v>
      </c>
      <c r="S121" s="450">
        <v>0.2</v>
      </c>
      <c r="T121" s="443">
        <v>1.5</v>
      </c>
    </row>
    <row r="122" spans="16:20" s="497" customFormat="1" ht="15">
      <c r="P122" s="447"/>
      <c r="Q122" s="450">
        <v>0</v>
      </c>
      <c r="R122" s="450">
        <v>1.601</v>
      </c>
      <c r="S122" s="450">
        <v>0.25</v>
      </c>
      <c r="T122" s="443">
        <v>1.5</v>
      </c>
    </row>
    <row r="123" spans="16:20" s="497" customFormat="1" ht="15">
      <c r="P123" s="447"/>
      <c r="Q123" s="450">
        <v>0</v>
      </c>
      <c r="R123" s="450">
        <v>1.601</v>
      </c>
      <c r="S123" s="450">
        <v>1</v>
      </c>
      <c r="T123" s="443">
        <v>1.5</v>
      </c>
    </row>
    <row r="124" spans="16:20" s="497" customFormat="1" ht="15">
      <c r="P124" s="447"/>
      <c r="Q124" s="450">
        <v>0</v>
      </c>
      <c r="R124" s="450">
        <v>2.4</v>
      </c>
      <c r="S124" s="450">
        <v>0</v>
      </c>
      <c r="T124" s="443">
        <v>1.5</v>
      </c>
    </row>
    <row r="125" spans="16:20" s="497" customFormat="1" ht="15">
      <c r="P125" s="447"/>
      <c r="Q125" s="450">
        <v>0</v>
      </c>
      <c r="R125" s="450">
        <v>2.4</v>
      </c>
      <c r="S125" s="450">
        <v>0.02</v>
      </c>
      <c r="T125" s="443">
        <v>1.5</v>
      </c>
    </row>
    <row r="126" spans="16:20" s="497" customFormat="1" ht="15">
      <c r="P126" s="447"/>
      <c r="Q126" s="450">
        <v>0</v>
      </c>
      <c r="R126" s="450">
        <v>2.4</v>
      </c>
      <c r="S126" s="450">
        <v>0.04</v>
      </c>
      <c r="T126" s="443">
        <v>1.5</v>
      </c>
    </row>
    <row r="127" spans="16:20" s="497" customFormat="1" ht="15">
      <c r="P127" s="447"/>
      <c r="Q127" s="450">
        <v>0</v>
      </c>
      <c r="R127" s="450">
        <v>2.4</v>
      </c>
      <c r="S127" s="450">
        <v>0.05</v>
      </c>
      <c r="T127" s="443">
        <v>1.5</v>
      </c>
    </row>
    <row r="128" spans="16:20" s="497" customFormat="1" ht="15">
      <c r="P128" s="447"/>
      <c r="Q128" s="450">
        <v>0</v>
      </c>
      <c r="R128" s="450">
        <v>2.4</v>
      </c>
      <c r="S128" s="450">
        <v>0.06</v>
      </c>
      <c r="T128" s="443">
        <v>1.5</v>
      </c>
    </row>
    <row r="129" spans="16:20" s="497" customFormat="1" ht="15">
      <c r="P129" s="447"/>
      <c r="Q129" s="450">
        <v>0</v>
      </c>
      <c r="R129" s="450">
        <v>2.4</v>
      </c>
      <c r="S129" s="450">
        <v>0.08</v>
      </c>
      <c r="T129" s="443">
        <v>1.5</v>
      </c>
    </row>
    <row r="130" spans="16:20" s="497" customFormat="1" ht="15">
      <c r="P130" s="447"/>
      <c r="Q130" s="450">
        <v>0</v>
      </c>
      <c r="R130" s="450">
        <v>2.4</v>
      </c>
      <c r="S130" s="450">
        <v>0.1</v>
      </c>
      <c r="T130" s="443">
        <v>1.5</v>
      </c>
    </row>
    <row r="131" spans="16:20" s="497" customFormat="1" ht="15">
      <c r="P131" s="447"/>
      <c r="Q131" s="450">
        <v>0</v>
      </c>
      <c r="R131" s="450">
        <v>2.4</v>
      </c>
      <c r="S131" s="450">
        <v>0.15</v>
      </c>
      <c r="T131" s="443">
        <v>1.5</v>
      </c>
    </row>
    <row r="132" spans="16:20" s="497" customFormat="1" ht="15">
      <c r="P132" s="447"/>
      <c r="Q132" s="450">
        <v>0</v>
      </c>
      <c r="R132" s="450">
        <v>2.4</v>
      </c>
      <c r="S132" s="450">
        <v>0.2</v>
      </c>
      <c r="T132" s="443">
        <v>1.5</v>
      </c>
    </row>
    <row r="133" spans="16:20" s="497" customFormat="1" ht="15">
      <c r="P133" s="447"/>
      <c r="Q133" s="450">
        <v>0</v>
      </c>
      <c r="R133" s="450">
        <v>2.4</v>
      </c>
      <c r="S133" s="450">
        <v>0.25</v>
      </c>
      <c r="T133" s="443">
        <v>1.5</v>
      </c>
    </row>
    <row r="134" spans="16:20" s="497" customFormat="1" ht="15">
      <c r="P134" s="447"/>
      <c r="Q134" s="450">
        <v>0</v>
      </c>
      <c r="R134" s="450">
        <v>2.4</v>
      </c>
      <c r="S134" s="450">
        <v>1</v>
      </c>
      <c r="T134" s="443">
        <v>1.5</v>
      </c>
    </row>
    <row r="135" spans="16:20" s="497" customFormat="1" ht="15">
      <c r="P135" s="447"/>
      <c r="Q135" s="450">
        <v>0</v>
      </c>
      <c r="R135" s="450">
        <v>100</v>
      </c>
      <c r="S135" s="450">
        <v>0</v>
      </c>
      <c r="T135" s="443">
        <v>1.5</v>
      </c>
    </row>
    <row r="136" spans="16:20" s="497" customFormat="1" ht="15">
      <c r="P136" s="447"/>
      <c r="Q136" s="450">
        <v>0</v>
      </c>
      <c r="R136" s="450">
        <v>100</v>
      </c>
      <c r="S136" s="450">
        <v>0.02</v>
      </c>
      <c r="T136" s="443">
        <v>1.5</v>
      </c>
    </row>
    <row r="137" spans="16:20" s="497" customFormat="1" ht="15">
      <c r="P137" s="447"/>
      <c r="Q137" s="450">
        <v>0</v>
      </c>
      <c r="R137" s="450">
        <v>100</v>
      </c>
      <c r="S137" s="450">
        <v>0.04</v>
      </c>
      <c r="T137" s="443">
        <v>1.5</v>
      </c>
    </row>
    <row r="138" spans="16:20" s="497" customFormat="1" ht="15">
      <c r="P138" s="447"/>
      <c r="Q138" s="450">
        <v>0</v>
      </c>
      <c r="R138" s="450">
        <v>100</v>
      </c>
      <c r="S138" s="450">
        <v>0.05</v>
      </c>
      <c r="T138" s="443">
        <v>1.5</v>
      </c>
    </row>
    <row r="139" spans="16:20" s="497" customFormat="1" ht="15">
      <c r="P139" s="447"/>
      <c r="Q139" s="450">
        <v>0</v>
      </c>
      <c r="R139" s="450">
        <v>100</v>
      </c>
      <c r="S139" s="450">
        <v>0.06</v>
      </c>
      <c r="T139" s="443">
        <v>1.5</v>
      </c>
    </row>
    <row r="140" spans="16:20" s="497" customFormat="1" ht="15">
      <c r="P140" s="447"/>
      <c r="Q140" s="450">
        <v>0</v>
      </c>
      <c r="R140" s="450">
        <v>100</v>
      </c>
      <c r="S140" s="450">
        <v>0.08</v>
      </c>
      <c r="T140" s="443">
        <v>1.5</v>
      </c>
    </row>
    <row r="141" spans="16:20" s="497" customFormat="1" ht="15">
      <c r="P141" s="447"/>
      <c r="Q141" s="450">
        <v>0</v>
      </c>
      <c r="R141" s="450">
        <v>100</v>
      </c>
      <c r="S141" s="450">
        <v>0.1</v>
      </c>
      <c r="T141" s="443">
        <v>1.5</v>
      </c>
    </row>
    <row r="142" spans="16:20" s="497" customFormat="1" ht="15">
      <c r="P142" s="447"/>
      <c r="Q142" s="450">
        <v>0</v>
      </c>
      <c r="R142" s="450">
        <v>100</v>
      </c>
      <c r="S142" s="450">
        <v>0.15</v>
      </c>
      <c r="T142" s="443">
        <v>1.5</v>
      </c>
    </row>
    <row r="143" spans="16:20" s="497" customFormat="1" ht="15">
      <c r="P143" s="447"/>
      <c r="Q143" s="450">
        <v>0</v>
      </c>
      <c r="R143" s="450">
        <v>100</v>
      </c>
      <c r="S143" s="450">
        <v>0.2</v>
      </c>
      <c r="T143" s="443">
        <v>1.5</v>
      </c>
    </row>
    <row r="144" spans="16:20" s="497" customFormat="1" ht="15">
      <c r="P144" s="447"/>
      <c r="Q144" s="450">
        <v>0</v>
      </c>
      <c r="R144" s="450">
        <v>100</v>
      </c>
      <c r="S144" s="450">
        <v>0.25</v>
      </c>
      <c r="T144" s="443">
        <v>1.5</v>
      </c>
    </row>
    <row r="145" spans="16:20" s="497" customFormat="1" ht="15">
      <c r="P145" s="447"/>
      <c r="Q145" s="450">
        <v>0</v>
      </c>
      <c r="R145" s="450">
        <v>100</v>
      </c>
      <c r="S145" s="450">
        <v>1</v>
      </c>
      <c r="T145" s="443">
        <v>1.5</v>
      </c>
    </row>
    <row r="146" spans="16:20" s="497" customFormat="1" ht="15">
      <c r="P146" s="447"/>
      <c r="Q146" s="450">
        <v>2</v>
      </c>
      <c r="R146" s="450">
        <v>0</v>
      </c>
      <c r="S146" s="450">
        <v>0</v>
      </c>
      <c r="T146" s="443">
        <v>1.5</v>
      </c>
    </row>
    <row r="147" spans="16:20" s="497" customFormat="1" ht="15">
      <c r="P147" s="447"/>
      <c r="Q147" s="450">
        <v>2</v>
      </c>
      <c r="R147" s="450">
        <v>0</v>
      </c>
      <c r="S147" s="450">
        <v>0.02</v>
      </c>
      <c r="T147" s="443">
        <v>1.5</v>
      </c>
    </row>
    <row r="148" spans="16:20" s="497" customFormat="1" ht="15">
      <c r="P148" s="447"/>
      <c r="Q148" s="450">
        <v>2</v>
      </c>
      <c r="R148" s="450">
        <v>0</v>
      </c>
      <c r="S148" s="450">
        <v>0.04</v>
      </c>
      <c r="T148" s="443">
        <v>1.5</v>
      </c>
    </row>
    <row r="149" spans="16:20" s="497" customFormat="1" ht="15">
      <c r="P149" s="447"/>
      <c r="Q149" s="450">
        <v>2</v>
      </c>
      <c r="R149" s="450">
        <v>0</v>
      </c>
      <c r="S149" s="450">
        <v>0.05</v>
      </c>
      <c r="T149" s="443">
        <v>1.5</v>
      </c>
    </row>
    <row r="150" spans="16:20" s="497" customFormat="1" ht="15">
      <c r="P150" s="447"/>
      <c r="Q150" s="450">
        <v>2</v>
      </c>
      <c r="R150" s="450">
        <v>0</v>
      </c>
      <c r="S150" s="450">
        <v>0.06</v>
      </c>
      <c r="T150" s="443">
        <v>1.5</v>
      </c>
    </row>
    <row r="151" spans="16:20" s="497" customFormat="1" ht="15">
      <c r="P151" s="447"/>
      <c r="Q151" s="450">
        <v>2</v>
      </c>
      <c r="R151" s="450">
        <v>0</v>
      </c>
      <c r="S151" s="450">
        <v>0.08</v>
      </c>
      <c r="T151" s="443">
        <v>1.5</v>
      </c>
    </row>
    <row r="152" spans="16:20" s="497" customFormat="1" ht="15">
      <c r="P152" s="447"/>
      <c r="Q152" s="450">
        <v>2</v>
      </c>
      <c r="R152" s="450">
        <v>0</v>
      </c>
      <c r="S152" s="450">
        <v>0.1</v>
      </c>
      <c r="T152" s="443">
        <v>1.5</v>
      </c>
    </row>
    <row r="153" spans="16:20" s="497" customFormat="1" ht="15">
      <c r="P153" s="447"/>
      <c r="Q153" s="450">
        <v>2</v>
      </c>
      <c r="R153" s="450">
        <v>0</v>
      </c>
      <c r="S153" s="450">
        <v>0.15</v>
      </c>
      <c r="T153" s="443">
        <v>1.5</v>
      </c>
    </row>
    <row r="154" spans="16:20" s="497" customFormat="1" ht="15">
      <c r="P154" s="447"/>
      <c r="Q154" s="450">
        <v>2</v>
      </c>
      <c r="R154" s="450">
        <v>0</v>
      </c>
      <c r="S154" s="450">
        <v>0.2</v>
      </c>
      <c r="T154" s="443">
        <v>1.5</v>
      </c>
    </row>
    <row r="155" spans="16:20" s="497" customFormat="1" ht="15">
      <c r="P155" s="447"/>
      <c r="Q155" s="450">
        <v>2</v>
      </c>
      <c r="R155" s="450">
        <v>0</v>
      </c>
      <c r="S155" s="450">
        <v>0.25</v>
      </c>
      <c r="T155" s="443">
        <v>1.5</v>
      </c>
    </row>
    <row r="156" spans="16:20" s="497" customFormat="1" ht="15">
      <c r="P156" s="447"/>
      <c r="Q156" s="450">
        <v>2</v>
      </c>
      <c r="R156" s="450">
        <v>0</v>
      </c>
      <c r="S156" s="450">
        <v>1</v>
      </c>
      <c r="T156" s="443">
        <v>1.5</v>
      </c>
    </row>
    <row r="157" spans="16:20" s="497" customFormat="1" ht="15">
      <c r="P157" s="447"/>
      <c r="Q157" s="450">
        <v>2</v>
      </c>
      <c r="R157" s="450">
        <v>0.4</v>
      </c>
      <c r="S157" s="450">
        <v>0</v>
      </c>
      <c r="T157" s="443">
        <v>1.5</v>
      </c>
    </row>
    <row r="158" spans="16:20" s="497" customFormat="1" ht="15">
      <c r="P158" s="447"/>
      <c r="Q158" s="450">
        <v>2</v>
      </c>
      <c r="R158" s="450">
        <v>0.4</v>
      </c>
      <c r="S158" s="450">
        <v>0.02</v>
      </c>
      <c r="T158" s="443">
        <v>1.5</v>
      </c>
    </row>
    <row r="159" spans="16:20" s="497" customFormat="1" ht="15">
      <c r="P159" s="447"/>
      <c r="Q159" s="450">
        <v>2</v>
      </c>
      <c r="R159" s="450">
        <v>0.4</v>
      </c>
      <c r="S159" s="450">
        <v>0.04</v>
      </c>
      <c r="T159" s="443">
        <v>1.5</v>
      </c>
    </row>
    <row r="160" spans="16:20" s="497" customFormat="1" ht="15">
      <c r="P160" s="447"/>
      <c r="Q160" s="450">
        <v>2</v>
      </c>
      <c r="R160" s="450">
        <v>0.4</v>
      </c>
      <c r="S160" s="450">
        <v>0.05</v>
      </c>
      <c r="T160" s="443">
        <v>1.5</v>
      </c>
    </row>
    <row r="161" spans="16:20" s="497" customFormat="1" ht="15">
      <c r="P161" s="447"/>
      <c r="Q161" s="450">
        <v>2</v>
      </c>
      <c r="R161" s="450">
        <v>0.4</v>
      </c>
      <c r="S161" s="450">
        <v>0.06</v>
      </c>
      <c r="T161" s="443">
        <v>1.5</v>
      </c>
    </row>
    <row r="162" spans="16:20" s="497" customFormat="1" ht="15">
      <c r="P162" s="447"/>
      <c r="Q162" s="450">
        <v>2</v>
      </c>
      <c r="R162" s="450">
        <v>0.4</v>
      </c>
      <c r="S162" s="450">
        <v>0.08</v>
      </c>
      <c r="T162" s="443">
        <v>1.5</v>
      </c>
    </row>
    <row r="163" spans="16:20" s="497" customFormat="1" ht="15">
      <c r="P163" s="447"/>
      <c r="Q163" s="450">
        <v>2</v>
      </c>
      <c r="R163" s="450">
        <v>0.4</v>
      </c>
      <c r="S163" s="450">
        <v>0.1</v>
      </c>
      <c r="T163" s="443">
        <v>1.5</v>
      </c>
    </row>
    <row r="164" spans="16:20" s="497" customFormat="1" ht="15">
      <c r="P164" s="447"/>
      <c r="Q164" s="450">
        <v>2</v>
      </c>
      <c r="R164" s="450">
        <v>0.4</v>
      </c>
      <c r="S164" s="450">
        <v>0.15</v>
      </c>
      <c r="T164" s="443">
        <v>1.5</v>
      </c>
    </row>
    <row r="165" spans="16:20" s="497" customFormat="1" ht="15">
      <c r="P165" s="447"/>
      <c r="Q165" s="450">
        <v>2</v>
      </c>
      <c r="R165" s="450">
        <v>0.4</v>
      </c>
      <c r="S165" s="450">
        <v>0.2</v>
      </c>
      <c r="T165" s="443">
        <v>1.5</v>
      </c>
    </row>
    <row r="166" spans="16:20" s="497" customFormat="1" ht="15">
      <c r="P166" s="447"/>
      <c r="Q166" s="450">
        <v>2</v>
      </c>
      <c r="R166" s="450">
        <v>0.4</v>
      </c>
      <c r="S166" s="450">
        <v>0.25</v>
      </c>
      <c r="T166" s="443">
        <v>1.5</v>
      </c>
    </row>
    <row r="167" spans="16:20" s="497" customFormat="1" ht="15">
      <c r="P167" s="447"/>
      <c r="Q167" s="450">
        <v>2</v>
      </c>
      <c r="R167" s="450">
        <v>0.4</v>
      </c>
      <c r="S167" s="450">
        <v>1</v>
      </c>
      <c r="T167" s="443">
        <v>1.5</v>
      </c>
    </row>
    <row r="168" spans="16:20" s="497" customFormat="1" ht="15">
      <c r="P168" s="447"/>
      <c r="Q168" s="450">
        <v>2</v>
      </c>
      <c r="R168" s="450">
        <v>0.40100000000000002</v>
      </c>
      <c r="S168" s="450">
        <v>0</v>
      </c>
      <c r="T168" s="443">
        <v>1.5</v>
      </c>
    </row>
    <row r="169" spans="16:20" s="497" customFormat="1" ht="15">
      <c r="P169" s="447"/>
      <c r="Q169" s="450">
        <v>2</v>
      </c>
      <c r="R169" s="450">
        <v>0.40100000000000002</v>
      </c>
      <c r="S169" s="450">
        <v>0.02</v>
      </c>
      <c r="T169" s="443">
        <v>1.5</v>
      </c>
    </row>
    <row r="170" spans="16:20" s="497" customFormat="1" ht="15">
      <c r="P170" s="447"/>
      <c r="Q170" s="450">
        <v>2</v>
      </c>
      <c r="R170" s="450">
        <v>0.40100000000000002</v>
      </c>
      <c r="S170" s="450">
        <v>0.04</v>
      </c>
      <c r="T170" s="443">
        <v>1.5</v>
      </c>
    </row>
    <row r="171" spans="16:20" s="497" customFormat="1" ht="15">
      <c r="P171" s="447"/>
      <c r="Q171" s="450">
        <v>2</v>
      </c>
      <c r="R171" s="450">
        <v>0.40100000000000002</v>
      </c>
      <c r="S171" s="450">
        <v>0.05</v>
      </c>
      <c r="T171" s="443">
        <v>1.5</v>
      </c>
    </row>
    <row r="172" spans="16:20" s="497" customFormat="1" ht="15">
      <c r="P172" s="447"/>
      <c r="Q172" s="450">
        <v>2</v>
      </c>
      <c r="R172" s="450">
        <v>0.40100000000000002</v>
      </c>
      <c r="S172" s="450">
        <v>0.06</v>
      </c>
      <c r="T172" s="443">
        <v>1.5</v>
      </c>
    </row>
    <row r="173" spans="16:20" s="497" customFormat="1" ht="15">
      <c r="P173" s="447"/>
      <c r="Q173" s="450">
        <v>2</v>
      </c>
      <c r="R173" s="450">
        <v>0.40100000000000002</v>
      </c>
      <c r="S173" s="450">
        <v>0.08</v>
      </c>
      <c r="T173" s="443">
        <v>1.5</v>
      </c>
    </row>
    <row r="174" spans="16:20" s="497" customFormat="1" ht="15">
      <c r="P174" s="447"/>
      <c r="Q174" s="450">
        <v>2</v>
      </c>
      <c r="R174" s="450">
        <v>0.40100000000000002</v>
      </c>
      <c r="S174" s="450">
        <v>0.1</v>
      </c>
      <c r="T174" s="443">
        <v>1.5</v>
      </c>
    </row>
    <row r="175" spans="16:20" s="497" customFormat="1" ht="15">
      <c r="P175" s="447"/>
      <c r="Q175" s="450">
        <v>2</v>
      </c>
      <c r="R175" s="450">
        <v>0.40100000000000002</v>
      </c>
      <c r="S175" s="450">
        <v>0.15</v>
      </c>
      <c r="T175" s="443">
        <v>1.5</v>
      </c>
    </row>
    <row r="176" spans="16:20" s="497" customFormat="1" ht="15">
      <c r="P176" s="447"/>
      <c r="Q176" s="450">
        <v>2</v>
      </c>
      <c r="R176" s="450">
        <v>0.40100000000000002</v>
      </c>
      <c r="S176" s="450">
        <v>0.2</v>
      </c>
      <c r="T176" s="443">
        <v>1.5</v>
      </c>
    </row>
    <row r="177" spans="16:20" s="497" customFormat="1" ht="15">
      <c r="P177" s="447"/>
      <c r="Q177" s="450">
        <v>2</v>
      </c>
      <c r="R177" s="450">
        <v>0.40100000000000002</v>
      </c>
      <c r="S177" s="450">
        <v>0.25</v>
      </c>
      <c r="T177" s="443">
        <v>1.5</v>
      </c>
    </row>
    <row r="178" spans="16:20" s="497" customFormat="1" ht="15">
      <c r="P178" s="447"/>
      <c r="Q178" s="450">
        <v>2</v>
      </c>
      <c r="R178" s="450">
        <v>0.40100000000000002</v>
      </c>
      <c r="S178" s="450">
        <v>1</v>
      </c>
      <c r="T178" s="443">
        <v>1.5</v>
      </c>
    </row>
    <row r="179" spans="16:20" s="497" customFormat="1" ht="15">
      <c r="P179" s="447"/>
      <c r="Q179" s="450">
        <v>2</v>
      </c>
      <c r="R179" s="450">
        <v>0.5</v>
      </c>
      <c r="S179" s="450">
        <v>0</v>
      </c>
      <c r="T179" s="443">
        <v>1.5</v>
      </c>
    </row>
    <row r="180" spans="16:20" s="497" customFormat="1" ht="15">
      <c r="P180" s="447"/>
      <c r="Q180" s="450">
        <v>2</v>
      </c>
      <c r="R180" s="450">
        <v>0.5</v>
      </c>
      <c r="S180" s="450">
        <v>0.02</v>
      </c>
      <c r="T180" s="443">
        <v>1.5</v>
      </c>
    </row>
    <row r="181" spans="16:20" s="497" customFormat="1" ht="15">
      <c r="P181" s="447"/>
      <c r="Q181" s="450">
        <v>2</v>
      </c>
      <c r="R181" s="450">
        <v>0.5</v>
      </c>
      <c r="S181" s="450">
        <v>0.04</v>
      </c>
      <c r="T181" s="443">
        <v>1.5</v>
      </c>
    </row>
    <row r="182" spans="16:20" s="497" customFormat="1" ht="15">
      <c r="P182" s="447"/>
      <c r="Q182" s="450">
        <v>2</v>
      </c>
      <c r="R182" s="450">
        <v>0.5</v>
      </c>
      <c r="S182" s="450">
        <v>0.05</v>
      </c>
      <c r="T182" s="443">
        <v>1.5</v>
      </c>
    </row>
    <row r="183" spans="16:20" s="497" customFormat="1" ht="15">
      <c r="P183" s="447"/>
      <c r="Q183" s="450">
        <v>2</v>
      </c>
      <c r="R183" s="450">
        <v>0.5</v>
      </c>
      <c r="S183" s="450">
        <v>0.06</v>
      </c>
      <c r="T183" s="443">
        <v>1.5</v>
      </c>
    </row>
    <row r="184" spans="16:20" s="497" customFormat="1" ht="15">
      <c r="P184" s="447"/>
      <c r="Q184" s="450">
        <v>2</v>
      </c>
      <c r="R184" s="450">
        <v>0.5</v>
      </c>
      <c r="S184" s="450">
        <v>0.08</v>
      </c>
      <c r="T184" s="443">
        <v>1.5</v>
      </c>
    </row>
    <row r="185" spans="16:20" s="497" customFormat="1" ht="15">
      <c r="P185" s="447"/>
      <c r="Q185" s="450">
        <v>2</v>
      </c>
      <c r="R185" s="450">
        <v>0.5</v>
      </c>
      <c r="S185" s="450">
        <v>0.1</v>
      </c>
      <c r="T185" s="443">
        <v>1.5</v>
      </c>
    </row>
    <row r="186" spans="16:20" s="497" customFormat="1" ht="15">
      <c r="P186" s="447"/>
      <c r="Q186" s="450">
        <v>2</v>
      </c>
      <c r="R186" s="450">
        <v>0.5</v>
      </c>
      <c r="S186" s="450">
        <v>0.15</v>
      </c>
      <c r="T186" s="443">
        <v>1.5</v>
      </c>
    </row>
    <row r="187" spans="16:20" s="497" customFormat="1" ht="15">
      <c r="P187" s="447"/>
      <c r="Q187" s="450">
        <v>2</v>
      </c>
      <c r="R187" s="450">
        <v>0.5</v>
      </c>
      <c r="S187" s="450">
        <v>0.2</v>
      </c>
      <c r="T187" s="443">
        <v>1.5</v>
      </c>
    </row>
    <row r="188" spans="16:20" s="497" customFormat="1" ht="15">
      <c r="P188" s="447"/>
      <c r="Q188" s="450">
        <v>2</v>
      </c>
      <c r="R188" s="450">
        <v>0.5</v>
      </c>
      <c r="S188" s="450">
        <v>0.25</v>
      </c>
      <c r="T188" s="443">
        <v>1.5</v>
      </c>
    </row>
    <row r="189" spans="16:20" s="497" customFormat="1" ht="15">
      <c r="P189" s="447"/>
      <c r="Q189" s="450">
        <v>2</v>
      </c>
      <c r="R189" s="450">
        <v>0.5</v>
      </c>
      <c r="S189" s="450">
        <v>1</v>
      </c>
      <c r="T189" s="443">
        <v>1.5</v>
      </c>
    </row>
    <row r="190" spans="16:20" s="497" customFormat="1" ht="15">
      <c r="P190" s="447"/>
      <c r="Q190" s="450">
        <v>2</v>
      </c>
      <c r="R190" s="450">
        <v>0.501</v>
      </c>
      <c r="S190" s="450">
        <v>0</v>
      </c>
      <c r="T190" s="443">
        <v>1.5</v>
      </c>
    </row>
    <row r="191" spans="16:20" s="497" customFormat="1" ht="15">
      <c r="P191" s="447"/>
      <c r="Q191" s="450">
        <v>2</v>
      </c>
      <c r="R191" s="450">
        <v>0.501</v>
      </c>
      <c r="S191" s="450">
        <v>0.02</v>
      </c>
      <c r="T191" s="443">
        <v>1.5</v>
      </c>
    </row>
    <row r="192" spans="16:20" s="497" customFormat="1" ht="15">
      <c r="P192" s="447"/>
      <c r="Q192" s="450">
        <v>2</v>
      </c>
      <c r="R192" s="450">
        <v>0.501</v>
      </c>
      <c r="S192" s="450">
        <v>0.04</v>
      </c>
      <c r="T192" s="443">
        <v>1.5</v>
      </c>
    </row>
    <row r="193" spans="16:20" s="497" customFormat="1" ht="15">
      <c r="P193" s="447"/>
      <c r="Q193" s="450">
        <v>2</v>
      </c>
      <c r="R193" s="450">
        <v>0.501</v>
      </c>
      <c r="S193" s="450">
        <v>0.05</v>
      </c>
      <c r="T193" s="443">
        <v>1.5</v>
      </c>
    </row>
    <row r="194" spans="16:20" s="497" customFormat="1" ht="15">
      <c r="P194" s="447"/>
      <c r="Q194" s="450">
        <v>2</v>
      </c>
      <c r="R194" s="450">
        <v>0.501</v>
      </c>
      <c r="S194" s="450">
        <v>0.06</v>
      </c>
      <c r="T194" s="443">
        <v>1.5</v>
      </c>
    </row>
    <row r="195" spans="16:20" s="497" customFormat="1" ht="15">
      <c r="P195" s="447"/>
      <c r="Q195" s="450">
        <v>2</v>
      </c>
      <c r="R195" s="450">
        <v>0.501</v>
      </c>
      <c r="S195" s="450">
        <v>0.08</v>
      </c>
      <c r="T195" s="443">
        <v>1.5</v>
      </c>
    </row>
    <row r="196" spans="16:20" s="497" customFormat="1" ht="15">
      <c r="P196" s="447"/>
      <c r="Q196" s="450">
        <v>2</v>
      </c>
      <c r="R196" s="450">
        <v>0.501</v>
      </c>
      <c r="S196" s="450">
        <v>0.1</v>
      </c>
      <c r="T196" s="443">
        <v>1.5</v>
      </c>
    </row>
    <row r="197" spans="16:20" s="497" customFormat="1" ht="15">
      <c r="P197" s="447"/>
      <c r="Q197" s="450">
        <v>2</v>
      </c>
      <c r="R197" s="450">
        <v>0.501</v>
      </c>
      <c r="S197" s="450">
        <v>0.15</v>
      </c>
      <c r="T197" s="443">
        <v>1.5</v>
      </c>
    </row>
    <row r="198" spans="16:20" s="497" customFormat="1" ht="15">
      <c r="P198" s="447"/>
      <c r="Q198" s="450">
        <v>2</v>
      </c>
      <c r="R198" s="450">
        <v>0.501</v>
      </c>
      <c r="S198" s="450">
        <v>0.2</v>
      </c>
      <c r="T198" s="443">
        <v>1.5</v>
      </c>
    </row>
    <row r="199" spans="16:20" s="497" customFormat="1" ht="15">
      <c r="P199" s="447"/>
      <c r="Q199" s="450">
        <v>2</v>
      </c>
      <c r="R199" s="450">
        <v>0.501</v>
      </c>
      <c r="S199" s="450">
        <v>0.25</v>
      </c>
      <c r="T199" s="443">
        <v>1.5</v>
      </c>
    </row>
    <row r="200" spans="16:20" s="497" customFormat="1" ht="15">
      <c r="P200" s="447"/>
      <c r="Q200" s="450">
        <v>2</v>
      </c>
      <c r="R200" s="450">
        <v>0.501</v>
      </c>
      <c r="S200" s="450">
        <v>1</v>
      </c>
      <c r="T200" s="443">
        <v>1.5</v>
      </c>
    </row>
    <row r="201" spans="16:20" s="497" customFormat="1" ht="15">
      <c r="P201" s="447"/>
      <c r="Q201" s="450">
        <v>2</v>
      </c>
      <c r="R201" s="450">
        <v>0.8</v>
      </c>
      <c r="S201" s="450">
        <v>0</v>
      </c>
      <c r="T201" s="443">
        <v>1.5</v>
      </c>
    </row>
    <row r="202" spans="16:20" s="497" customFormat="1" ht="15">
      <c r="P202" s="447"/>
      <c r="Q202" s="450">
        <v>2</v>
      </c>
      <c r="R202" s="450">
        <v>0.8</v>
      </c>
      <c r="S202" s="450">
        <v>0.02</v>
      </c>
      <c r="T202" s="443">
        <v>1.5</v>
      </c>
    </row>
    <row r="203" spans="16:20" s="497" customFormat="1" ht="15">
      <c r="P203" s="447"/>
      <c r="Q203" s="450">
        <v>2</v>
      </c>
      <c r="R203" s="450">
        <v>0.8</v>
      </c>
      <c r="S203" s="450">
        <v>0.04</v>
      </c>
      <c r="T203" s="443">
        <v>1.5</v>
      </c>
    </row>
    <row r="204" spans="16:20" s="497" customFormat="1" ht="15">
      <c r="P204" s="447"/>
      <c r="Q204" s="450">
        <v>2</v>
      </c>
      <c r="R204" s="450">
        <v>0.8</v>
      </c>
      <c r="S204" s="450">
        <v>0.05</v>
      </c>
      <c r="T204" s="443">
        <v>1.5</v>
      </c>
    </row>
    <row r="205" spans="16:20" s="497" customFormat="1" ht="15">
      <c r="P205" s="447"/>
      <c r="Q205" s="450">
        <v>2</v>
      </c>
      <c r="R205" s="450">
        <v>0.8</v>
      </c>
      <c r="S205" s="450">
        <v>0.06</v>
      </c>
      <c r="T205" s="443">
        <v>1.5</v>
      </c>
    </row>
    <row r="206" spans="16:20" s="497" customFormat="1" ht="15">
      <c r="P206" s="447"/>
      <c r="Q206" s="450">
        <v>2</v>
      </c>
      <c r="R206" s="450">
        <v>0.8</v>
      </c>
      <c r="S206" s="450">
        <v>0.08</v>
      </c>
      <c r="T206" s="443">
        <v>1.5</v>
      </c>
    </row>
    <row r="207" spans="16:20" s="497" customFormat="1" ht="15">
      <c r="P207" s="447"/>
      <c r="Q207" s="450">
        <v>2</v>
      </c>
      <c r="R207" s="450">
        <v>0.8</v>
      </c>
      <c r="S207" s="450">
        <v>0.1</v>
      </c>
      <c r="T207" s="443">
        <v>1.5</v>
      </c>
    </row>
    <row r="208" spans="16:20" s="497" customFormat="1" ht="15">
      <c r="P208" s="447"/>
      <c r="Q208" s="450">
        <v>2</v>
      </c>
      <c r="R208" s="450">
        <v>0.8</v>
      </c>
      <c r="S208" s="450">
        <v>0.15</v>
      </c>
      <c r="T208" s="443">
        <v>1.5</v>
      </c>
    </row>
    <row r="209" spans="16:20" s="497" customFormat="1" ht="15">
      <c r="P209" s="447"/>
      <c r="Q209" s="450">
        <v>2</v>
      </c>
      <c r="R209" s="450">
        <v>0.8</v>
      </c>
      <c r="S209" s="450">
        <v>0.2</v>
      </c>
      <c r="T209" s="443">
        <v>1.5</v>
      </c>
    </row>
    <row r="210" spans="16:20" s="497" customFormat="1" ht="15">
      <c r="P210" s="447"/>
      <c r="Q210" s="450">
        <v>2</v>
      </c>
      <c r="R210" s="450">
        <v>0.8</v>
      </c>
      <c r="S210" s="450">
        <v>0.25</v>
      </c>
      <c r="T210" s="443">
        <v>1.5</v>
      </c>
    </row>
    <row r="211" spans="16:20" s="497" customFormat="1" ht="15">
      <c r="P211" s="447"/>
      <c r="Q211" s="450">
        <v>2</v>
      </c>
      <c r="R211" s="450">
        <v>0.8</v>
      </c>
      <c r="S211" s="450">
        <v>1</v>
      </c>
      <c r="T211" s="443">
        <v>1.5</v>
      </c>
    </row>
    <row r="212" spans="16:20" s="497" customFormat="1" ht="15">
      <c r="P212" s="447"/>
      <c r="Q212" s="450">
        <v>2</v>
      </c>
      <c r="R212" s="450">
        <v>0.80100000000000005</v>
      </c>
      <c r="S212" s="450">
        <v>0</v>
      </c>
      <c r="T212" s="443">
        <v>1.5</v>
      </c>
    </row>
    <row r="213" spans="16:20" s="497" customFormat="1" ht="15">
      <c r="P213" s="447"/>
      <c r="Q213" s="450">
        <v>2</v>
      </c>
      <c r="R213" s="450">
        <v>0.80100000000000005</v>
      </c>
      <c r="S213" s="450">
        <v>0.02</v>
      </c>
      <c r="T213" s="443">
        <v>1.5</v>
      </c>
    </row>
    <row r="214" spans="16:20" s="497" customFormat="1" ht="15">
      <c r="P214" s="447"/>
      <c r="Q214" s="450">
        <v>2</v>
      </c>
      <c r="R214" s="450">
        <v>0.80100000000000005</v>
      </c>
      <c r="S214" s="450">
        <v>0.04</v>
      </c>
      <c r="T214" s="443">
        <v>1.5</v>
      </c>
    </row>
    <row r="215" spans="16:20" s="497" customFormat="1" ht="15">
      <c r="P215" s="447"/>
      <c r="Q215" s="450">
        <v>2</v>
      </c>
      <c r="R215" s="450">
        <v>0.80100000000000005</v>
      </c>
      <c r="S215" s="450">
        <v>0.05</v>
      </c>
      <c r="T215" s="443">
        <v>1.5</v>
      </c>
    </row>
    <row r="216" spans="16:20" s="497" customFormat="1" ht="15">
      <c r="P216" s="447"/>
      <c r="Q216" s="450">
        <v>2</v>
      </c>
      <c r="R216" s="450">
        <v>0.80100000000000005</v>
      </c>
      <c r="S216" s="450">
        <v>0.06</v>
      </c>
      <c r="T216" s="443">
        <v>1.5</v>
      </c>
    </row>
    <row r="217" spans="16:20" s="497" customFormat="1" ht="15">
      <c r="P217" s="447"/>
      <c r="Q217" s="450">
        <v>2</v>
      </c>
      <c r="R217" s="450">
        <v>0.80100000000000005</v>
      </c>
      <c r="S217" s="450">
        <v>0.08</v>
      </c>
      <c r="T217" s="443">
        <v>1.5</v>
      </c>
    </row>
    <row r="218" spans="16:20" s="497" customFormat="1" ht="15">
      <c r="P218" s="447"/>
      <c r="Q218" s="450">
        <v>2</v>
      </c>
      <c r="R218" s="450">
        <v>0.80100000000000005</v>
      </c>
      <c r="S218" s="450">
        <v>0.1</v>
      </c>
      <c r="T218" s="443">
        <v>1.5</v>
      </c>
    </row>
    <row r="219" spans="16:20" s="497" customFormat="1" ht="15">
      <c r="P219" s="447"/>
      <c r="Q219" s="450">
        <v>2</v>
      </c>
      <c r="R219" s="450">
        <v>0.80100000000000005</v>
      </c>
      <c r="S219" s="450">
        <v>0.15</v>
      </c>
      <c r="T219" s="443">
        <v>1.5</v>
      </c>
    </row>
    <row r="220" spans="16:20" s="497" customFormat="1" ht="15">
      <c r="P220" s="447"/>
      <c r="Q220" s="450">
        <v>2</v>
      </c>
      <c r="R220" s="450">
        <v>0.80100000000000005</v>
      </c>
      <c r="S220" s="450">
        <v>0.2</v>
      </c>
      <c r="T220" s="443">
        <v>1.5</v>
      </c>
    </row>
    <row r="221" spans="16:20" s="497" customFormat="1" ht="15">
      <c r="P221" s="447"/>
      <c r="Q221" s="450">
        <v>2</v>
      </c>
      <c r="R221" s="450">
        <v>0.80100000000000005</v>
      </c>
      <c r="S221" s="450">
        <v>0.25</v>
      </c>
      <c r="T221" s="443">
        <v>1.5</v>
      </c>
    </row>
    <row r="222" spans="16:20" s="497" customFormat="1" ht="15">
      <c r="P222" s="447"/>
      <c r="Q222" s="450">
        <v>2</v>
      </c>
      <c r="R222" s="450">
        <v>0.80100000000000005</v>
      </c>
      <c r="S222" s="450">
        <v>1</v>
      </c>
      <c r="T222" s="443">
        <v>1.5</v>
      </c>
    </row>
    <row r="223" spans="16:20" s="497" customFormat="1" ht="15">
      <c r="P223" s="447"/>
      <c r="Q223" s="450">
        <v>2</v>
      </c>
      <c r="R223" s="450">
        <v>1.2</v>
      </c>
      <c r="S223" s="450">
        <v>0</v>
      </c>
      <c r="T223" s="443">
        <v>1.5</v>
      </c>
    </row>
    <row r="224" spans="16:20" s="497" customFormat="1" ht="15">
      <c r="P224" s="447"/>
      <c r="Q224" s="450">
        <v>2</v>
      </c>
      <c r="R224" s="450">
        <v>1.2</v>
      </c>
      <c r="S224" s="450">
        <v>0.02</v>
      </c>
      <c r="T224" s="443">
        <v>1.5</v>
      </c>
    </row>
    <row r="225" spans="16:20" s="497" customFormat="1" ht="15">
      <c r="P225" s="447"/>
      <c r="Q225" s="450">
        <v>2</v>
      </c>
      <c r="R225" s="450">
        <v>1.2</v>
      </c>
      <c r="S225" s="450">
        <v>0.04</v>
      </c>
      <c r="T225" s="443">
        <v>1.5</v>
      </c>
    </row>
    <row r="226" spans="16:20" s="497" customFormat="1" ht="15">
      <c r="P226" s="447"/>
      <c r="Q226" s="450">
        <v>2</v>
      </c>
      <c r="R226" s="450">
        <v>1.2</v>
      </c>
      <c r="S226" s="450">
        <v>0.05</v>
      </c>
      <c r="T226" s="443">
        <v>1.5</v>
      </c>
    </row>
    <row r="227" spans="16:20" s="497" customFormat="1" ht="15">
      <c r="P227" s="447"/>
      <c r="Q227" s="450">
        <v>2</v>
      </c>
      <c r="R227" s="450">
        <v>1.2</v>
      </c>
      <c r="S227" s="450">
        <v>0.06</v>
      </c>
      <c r="T227" s="443">
        <v>1.5</v>
      </c>
    </row>
    <row r="228" spans="16:20" s="497" customFormat="1" ht="15">
      <c r="P228" s="447"/>
      <c r="Q228" s="450">
        <v>2</v>
      </c>
      <c r="R228" s="450">
        <v>1.2</v>
      </c>
      <c r="S228" s="450">
        <v>0.08</v>
      </c>
      <c r="T228" s="443">
        <v>1.5</v>
      </c>
    </row>
    <row r="229" spans="16:20" s="497" customFormat="1" ht="15">
      <c r="P229" s="447"/>
      <c r="Q229" s="450">
        <v>2</v>
      </c>
      <c r="R229" s="450">
        <v>1.2</v>
      </c>
      <c r="S229" s="450">
        <v>0.1</v>
      </c>
      <c r="T229" s="443">
        <v>1.5</v>
      </c>
    </row>
    <row r="230" spans="16:20" s="497" customFormat="1" ht="15">
      <c r="P230" s="447"/>
      <c r="Q230" s="450">
        <v>2</v>
      </c>
      <c r="R230" s="450">
        <v>1.2</v>
      </c>
      <c r="S230" s="450">
        <v>0.15</v>
      </c>
      <c r="T230" s="443">
        <v>1.5</v>
      </c>
    </row>
    <row r="231" spans="16:20" s="497" customFormat="1" ht="15">
      <c r="P231" s="447"/>
      <c r="Q231" s="450">
        <v>2</v>
      </c>
      <c r="R231" s="450">
        <v>1.2</v>
      </c>
      <c r="S231" s="450">
        <v>0.2</v>
      </c>
      <c r="T231" s="443">
        <v>1.5</v>
      </c>
    </row>
    <row r="232" spans="16:20" s="497" customFormat="1" ht="15">
      <c r="P232" s="447"/>
      <c r="Q232" s="450">
        <v>2</v>
      </c>
      <c r="R232" s="450">
        <v>1.2</v>
      </c>
      <c r="S232" s="450">
        <v>0.25</v>
      </c>
      <c r="T232" s="443">
        <v>1.5</v>
      </c>
    </row>
    <row r="233" spans="16:20" s="497" customFormat="1" ht="15">
      <c r="P233" s="447"/>
      <c r="Q233" s="450">
        <v>2</v>
      </c>
      <c r="R233" s="450">
        <v>1.2</v>
      </c>
      <c r="S233" s="450">
        <v>1</v>
      </c>
      <c r="T233" s="443">
        <v>1.5</v>
      </c>
    </row>
    <row r="234" spans="16:20" s="497" customFormat="1" ht="15">
      <c r="P234" s="447"/>
      <c r="Q234" s="450">
        <v>2</v>
      </c>
      <c r="R234" s="450">
        <v>1.2010000000000001</v>
      </c>
      <c r="S234" s="450">
        <v>0</v>
      </c>
      <c r="T234" s="443">
        <v>1.5</v>
      </c>
    </row>
    <row r="235" spans="16:20" s="497" customFormat="1" ht="15">
      <c r="P235" s="447"/>
      <c r="Q235" s="450">
        <v>2</v>
      </c>
      <c r="R235" s="450">
        <v>1.2010000000000001</v>
      </c>
      <c r="S235" s="450">
        <v>0.02</v>
      </c>
      <c r="T235" s="443">
        <v>1.5</v>
      </c>
    </row>
    <row r="236" spans="16:20" s="497" customFormat="1" ht="15">
      <c r="P236" s="447"/>
      <c r="Q236" s="450">
        <v>2</v>
      </c>
      <c r="R236" s="450">
        <v>1.2010000000000001</v>
      </c>
      <c r="S236" s="450">
        <v>0.04</v>
      </c>
      <c r="T236" s="443">
        <v>1.5</v>
      </c>
    </row>
    <row r="237" spans="16:20" s="497" customFormat="1" ht="15">
      <c r="P237" s="447"/>
      <c r="Q237" s="450">
        <v>2</v>
      </c>
      <c r="R237" s="450">
        <v>1.2010000000000001</v>
      </c>
      <c r="S237" s="450">
        <v>0.05</v>
      </c>
      <c r="T237" s="443">
        <v>1.5</v>
      </c>
    </row>
    <row r="238" spans="16:20" s="497" customFormat="1" ht="15">
      <c r="P238" s="447"/>
      <c r="Q238" s="450">
        <v>2</v>
      </c>
      <c r="R238" s="450">
        <v>1.2010000000000001</v>
      </c>
      <c r="S238" s="450">
        <v>0.06</v>
      </c>
      <c r="T238" s="443">
        <v>1.5</v>
      </c>
    </row>
    <row r="239" spans="16:20" s="497" customFormat="1" ht="15">
      <c r="P239" s="447"/>
      <c r="Q239" s="450">
        <v>2</v>
      </c>
      <c r="R239" s="450">
        <v>1.2010000000000001</v>
      </c>
      <c r="S239" s="450">
        <v>0.08</v>
      </c>
      <c r="T239" s="443">
        <v>1.5</v>
      </c>
    </row>
    <row r="240" spans="16:20" s="497" customFormat="1" ht="15">
      <c r="P240" s="447"/>
      <c r="Q240" s="450">
        <v>2</v>
      </c>
      <c r="R240" s="450">
        <v>1.2010000000000001</v>
      </c>
      <c r="S240" s="450">
        <v>0.1</v>
      </c>
      <c r="T240" s="443">
        <v>1.5</v>
      </c>
    </row>
    <row r="241" spans="16:20" s="497" customFormat="1" ht="15">
      <c r="P241" s="447"/>
      <c r="Q241" s="450">
        <v>2</v>
      </c>
      <c r="R241" s="450">
        <v>1.2010000000000001</v>
      </c>
      <c r="S241" s="450">
        <v>0.15</v>
      </c>
      <c r="T241" s="443">
        <v>1.5</v>
      </c>
    </row>
    <row r="242" spans="16:20" s="497" customFormat="1" ht="15">
      <c r="P242" s="447"/>
      <c r="Q242" s="450">
        <v>2</v>
      </c>
      <c r="R242" s="450">
        <v>1.2010000000000001</v>
      </c>
      <c r="S242" s="450">
        <v>0.2</v>
      </c>
      <c r="T242" s="443">
        <v>1.5</v>
      </c>
    </row>
    <row r="243" spans="16:20" s="497" customFormat="1" ht="15">
      <c r="P243" s="447"/>
      <c r="Q243" s="450">
        <v>2</v>
      </c>
      <c r="R243" s="450">
        <v>1.2010000000000001</v>
      </c>
      <c r="S243" s="450">
        <v>0.25</v>
      </c>
      <c r="T243" s="443">
        <v>1.5</v>
      </c>
    </row>
    <row r="244" spans="16:20" s="497" customFormat="1" ht="15">
      <c r="P244" s="447"/>
      <c r="Q244" s="450">
        <v>2</v>
      </c>
      <c r="R244" s="450">
        <v>1.2010000000000001</v>
      </c>
      <c r="S244" s="450">
        <v>1</v>
      </c>
      <c r="T244" s="443">
        <v>1.5</v>
      </c>
    </row>
    <row r="245" spans="16:20" s="497" customFormat="1" ht="15">
      <c r="P245" s="447"/>
      <c r="Q245" s="450">
        <v>2</v>
      </c>
      <c r="R245" s="450">
        <v>1.6</v>
      </c>
      <c r="S245" s="450">
        <v>0</v>
      </c>
      <c r="T245" s="443">
        <v>1.5</v>
      </c>
    </row>
    <row r="246" spans="16:20" s="497" customFormat="1" ht="15">
      <c r="P246" s="447"/>
      <c r="Q246" s="450">
        <v>2</v>
      </c>
      <c r="R246" s="450">
        <v>1.6</v>
      </c>
      <c r="S246" s="450">
        <v>0.02</v>
      </c>
      <c r="T246" s="443">
        <v>1.5</v>
      </c>
    </row>
    <row r="247" spans="16:20" s="497" customFormat="1" ht="15">
      <c r="P247" s="447"/>
      <c r="Q247" s="450">
        <v>2</v>
      </c>
      <c r="R247" s="450">
        <v>1.6</v>
      </c>
      <c r="S247" s="450">
        <v>0.04</v>
      </c>
      <c r="T247" s="443">
        <v>1.5</v>
      </c>
    </row>
    <row r="248" spans="16:20" s="497" customFormat="1" ht="15">
      <c r="P248" s="447"/>
      <c r="Q248" s="450">
        <v>2</v>
      </c>
      <c r="R248" s="450">
        <v>1.6</v>
      </c>
      <c r="S248" s="450">
        <v>0.05</v>
      </c>
      <c r="T248" s="443">
        <v>1.5</v>
      </c>
    </row>
    <row r="249" spans="16:20" s="497" customFormat="1" ht="15">
      <c r="P249" s="447"/>
      <c r="Q249" s="450">
        <v>2</v>
      </c>
      <c r="R249" s="450">
        <v>1.6</v>
      </c>
      <c r="S249" s="450">
        <v>0.06</v>
      </c>
      <c r="T249" s="443">
        <v>1.5</v>
      </c>
    </row>
    <row r="250" spans="16:20" s="497" customFormat="1" ht="15">
      <c r="P250" s="447"/>
      <c r="Q250" s="450">
        <v>2</v>
      </c>
      <c r="R250" s="450">
        <v>1.6</v>
      </c>
      <c r="S250" s="450">
        <v>0.08</v>
      </c>
      <c r="T250" s="443">
        <v>1.5</v>
      </c>
    </row>
    <row r="251" spans="16:20" s="497" customFormat="1" ht="15">
      <c r="P251" s="447"/>
      <c r="Q251" s="450">
        <v>2</v>
      </c>
      <c r="R251" s="450">
        <v>1.6</v>
      </c>
      <c r="S251" s="450">
        <v>0.1</v>
      </c>
      <c r="T251" s="443">
        <v>1.5</v>
      </c>
    </row>
    <row r="252" spans="16:20" s="497" customFormat="1" ht="15">
      <c r="P252" s="447"/>
      <c r="Q252" s="450">
        <v>2</v>
      </c>
      <c r="R252" s="450">
        <v>1.6</v>
      </c>
      <c r="S252" s="450">
        <v>0.15</v>
      </c>
      <c r="T252" s="443">
        <v>1.5</v>
      </c>
    </row>
    <row r="253" spans="16:20" s="497" customFormat="1" ht="15">
      <c r="P253" s="447"/>
      <c r="Q253" s="450">
        <v>2</v>
      </c>
      <c r="R253" s="450">
        <v>1.6</v>
      </c>
      <c r="S253" s="450">
        <v>0.2</v>
      </c>
      <c r="T253" s="443">
        <v>1.5</v>
      </c>
    </row>
    <row r="254" spans="16:20" s="497" customFormat="1" ht="15">
      <c r="P254" s="447"/>
      <c r="Q254" s="450">
        <v>2</v>
      </c>
      <c r="R254" s="450">
        <v>1.6</v>
      </c>
      <c r="S254" s="450">
        <v>0.25</v>
      </c>
      <c r="T254" s="443">
        <v>1.5</v>
      </c>
    </row>
    <row r="255" spans="16:20" s="497" customFormat="1" ht="15">
      <c r="P255" s="447"/>
      <c r="Q255" s="450">
        <v>2</v>
      </c>
      <c r="R255" s="450">
        <v>1.6</v>
      </c>
      <c r="S255" s="450">
        <v>1</v>
      </c>
      <c r="T255" s="443">
        <v>1.5</v>
      </c>
    </row>
    <row r="256" spans="16:20" s="497" customFormat="1" ht="15">
      <c r="P256" s="447"/>
      <c r="Q256" s="450">
        <v>2</v>
      </c>
      <c r="R256" s="450">
        <v>1.601</v>
      </c>
      <c r="S256" s="450">
        <v>0</v>
      </c>
      <c r="T256" s="443">
        <v>1.5</v>
      </c>
    </row>
    <row r="257" spans="16:20" s="497" customFormat="1" ht="15">
      <c r="P257" s="447"/>
      <c r="Q257" s="450">
        <v>2</v>
      </c>
      <c r="R257" s="450">
        <v>1.601</v>
      </c>
      <c r="S257" s="450">
        <v>0.02</v>
      </c>
      <c r="T257" s="443">
        <v>1.5</v>
      </c>
    </row>
    <row r="258" spans="16:20" s="497" customFormat="1" ht="15">
      <c r="P258" s="447"/>
      <c r="Q258" s="450">
        <v>2</v>
      </c>
      <c r="R258" s="450">
        <v>1.601</v>
      </c>
      <c r="S258" s="450">
        <v>0.04</v>
      </c>
      <c r="T258" s="443">
        <v>1.5</v>
      </c>
    </row>
    <row r="259" spans="16:20" s="497" customFormat="1" ht="15">
      <c r="P259" s="447"/>
      <c r="Q259" s="450">
        <v>2</v>
      </c>
      <c r="R259" s="450">
        <v>1.601</v>
      </c>
      <c r="S259" s="450">
        <v>0.05</v>
      </c>
      <c r="T259" s="443">
        <v>1.5</v>
      </c>
    </row>
    <row r="260" spans="16:20" s="497" customFormat="1" ht="15">
      <c r="P260" s="447"/>
      <c r="Q260" s="450">
        <v>2</v>
      </c>
      <c r="R260" s="450">
        <v>1.601</v>
      </c>
      <c r="S260" s="450">
        <v>0.06</v>
      </c>
      <c r="T260" s="443">
        <v>1.5</v>
      </c>
    </row>
    <row r="261" spans="16:20" s="497" customFormat="1" ht="15">
      <c r="P261" s="447"/>
      <c r="Q261" s="450">
        <v>2</v>
      </c>
      <c r="R261" s="450">
        <v>1.601</v>
      </c>
      <c r="S261" s="450">
        <v>0.08</v>
      </c>
      <c r="T261" s="443">
        <v>1.5</v>
      </c>
    </row>
    <row r="262" spans="16:20" s="497" customFormat="1" ht="15">
      <c r="P262" s="447"/>
      <c r="Q262" s="450">
        <v>2</v>
      </c>
      <c r="R262" s="450">
        <v>1.601</v>
      </c>
      <c r="S262" s="450">
        <v>0.1</v>
      </c>
      <c r="T262" s="443">
        <v>1.5</v>
      </c>
    </row>
    <row r="263" spans="16:20" s="497" customFormat="1" ht="15">
      <c r="P263" s="447"/>
      <c r="Q263" s="450">
        <v>2</v>
      </c>
      <c r="R263" s="450">
        <v>1.601</v>
      </c>
      <c r="S263" s="450">
        <v>0.15</v>
      </c>
      <c r="T263" s="443">
        <v>1.5</v>
      </c>
    </row>
    <row r="264" spans="16:20" s="497" customFormat="1" ht="15">
      <c r="P264" s="447"/>
      <c r="Q264" s="450">
        <v>2</v>
      </c>
      <c r="R264" s="450">
        <v>1.601</v>
      </c>
      <c r="S264" s="450">
        <v>0.2</v>
      </c>
      <c r="T264" s="443">
        <v>1.5</v>
      </c>
    </row>
    <row r="265" spans="16:20" s="497" customFormat="1" ht="15">
      <c r="P265" s="447"/>
      <c r="Q265" s="450">
        <v>2</v>
      </c>
      <c r="R265" s="450">
        <v>1.601</v>
      </c>
      <c r="S265" s="450">
        <v>0.25</v>
      </c>
      <c r="T265" s="443">
        <v>1.5</v>
      </c>
    </row>
    <row r="266" spans="16:20" s="497" customFormat="1" ht="15">
      <c r="P266" s="447"/>
      <c r="Q266" s="450">
        <v>2</v>
      </c>
      <c r="R266" s="450">
        <v>1.601</v>
      </c>
      <c r="S266" s="450">
        <v>1</v>
      </c>
      <c r="T266" s="443">
        <v>1.5</v>
      </c>
    </row>
    <row r="267" spans="16:20" s="497" customFormat="1" ht="15">
      <c r="P267" s="447"/>
      <c r="Q267" s="450">
        <v>2</v>
      </c>
      <c r="R267" s="450">
        <v>2.4</v>
      </c>
      <c r="S267" s="450">
        <v>0</v>
      </c>
      <c r="T267" s="443">
        <v>1.5</v>
      </c>
    </row>
    <row r="268" spans="16:20" s="497" customFormat="1" ht="15">
      <c r="P268" s="447"/>
      <c r="Q268" s="450">
        <v>2</v>
      </c>
      <c r="R268" s="450">
        <v>2.4</v>
      </c>
      <c r="S268" s="450">
        <v>0.02</v>
      </c>
      <c r="T268" s="443">
        <v>1.5</v>
      </c>
    </row>
    <row r="269" spans="16:20" s="497" customFormat="1" ht="15">
      <c r="P269" s="447"/>
      <c r="Q269" s="450">
        <v>2</v>
      </c>
      <c r="R269" s="450">
        <v>2.4</v>
      </c>
      <c r="S269" s="450">
        <v>0.04</v>
      </c>
      <c r="T269" s="443">
        <v>1.5</v>
      </c>
    </row>
    <row r="270" spans="16:20" s="497" customFormat="1" ht="15">
      <c r="P270" s="447"/>
      <c r="Q270" s="450">
        <v>2</v>
      </c>
      <c r="R270" s="450">
        <v>2.4</v>
      </c>
      <c r="S270" s="450">
        <v>0.05</v>
      </c>
      <c r="T270" s="443">
        <v>1.5</v>
      </c>
    </row>
    <row r="271" spans="16:20" s="497" customFormat="1" ht="15">
      <c r="P271" s="447"/>
      <c r="Q271" s="450">
        <v>2</v>
      </c>
      <c r="R271" s="450">
        <v>2.4</v>
      </c>
      <c r="S271" s="450">
        <v>0.06</v>
      </c>
      <c r="T271" s="443">
        <v>1.5</v>
      </c>
    </row>
    <row r="272" spans="16:20" s="497" customFormat="1" ht="15">
      <c r="P272" s="447"/>
      <c r="Q272" s="450">
        <v>2</v>
      </c>
      <c r="R272" s="450">
        <v>2.4</v>
      </c>
      <c r="S272" s="450">
        <v>0.08</v>
      </c>
      <c r="T272" s="443">
        <v>1.5</v>
      </c>
    </row>
    <row r="273" spans="16:20" s="497" customFormat="1" ht="15">
      <c r="P273" s="447"/>
      <c r="Q273" s="450">
        <v>2</v>
      </c>
      <c r="R273" s="450">
        <v>2.4</v>
      </c>
      <c r="S273" s="450">
        <v>0.1</v>
      </c>
      <c r="T273" s="443">
        <v>1.5</v>
      </c>
    </row>
    <row r="274" spans="16:20" s="497" customFormat="1" ht="15">
      <c r="P274" s="447"/>
      <c r="Q274" s="450">
        <v>2</v>
      </c>
      <c r="R274" s="450">
        <v>2.4</v>
      </c>
      <c r="S274" s="450">
        <v>0.15</v>
      </c>
      <c r="T274" s="443">
        <v>1.5</v>
      </c>
    </row>
    <row r="275" spans="16:20" s="497" customFormat="1" ht="15">
      <c r="P275" s="447"/>
      <c r="Q275" s="450">
        <v>2</v>
      </c>
      <c r="R275" s="450">
        <v>2.4</v>
      </c>
      <c r="S275" s="450">
        <v>0.2</v>
      </c>
      <c r="T275" s="443">
        <v>1.5</v>
      </c>
    </row>
    <row r="276" spans="16:20" s="497" customFormat="1" ht="15">
      <c r="P276" s="447"/>
      <c r="Q276" s="450">
        <v>2</v>
      </c>
      <c r="R276" s="450">
        <v>2.4</v>
      </c>
      <c r="S276" s="450">
        <v>0.25</v>
      </c>
      <c r="T276" s="443">
        <v>1.5</v>
      </c>
    </row>
    <row r="277" spans="16:20" s="497" customFormat="1" ht="15">
      <c r="P277" s="447"/>
      <c r="Q277" s="450">
        <v>2</v>
      </c>
      <c r="R277" s="450">
        <v>2.4</v>
      </c>
      <c r="S277" s="450">
        <v>1</v>
      </c>
      <c r="T277" s="443">
        <v>1.5</v>
      </c>
    </row>
    <row r="278" spans="16:20" s="497" customFormat="1" ht="15">
      <c r="P278" s="447"/>
      <c r="Q278" s="474">
        <v>2</v>
      </c>
      <c r="R278" s="474">
        <v>100</v>
      </c>
      <c r="S278" s="474">
        <v>0</v>
      </c>
      <c r="T278" s="474">
        <v>1.5</v>
      </c>
    </row>
    <row r="279" spans="16:20" s="497" customFormat="1" ht="15">
      <c r="P279" s="447"/>
      <c r="Q279" s="474">
        <v>2</v>
      </c>
      <c r="R279" s="474">
        <v>100</v>
      </c>
      <c r="S279" s="474">
        <v>0.02</v>
      </c>
      <c r="T279" s="474">
        <v>1.5</v>
      </c>
    </row>
    <row r="280" spans="16:20" s="497" customFormat="1" ht="15">
      <c r="P280" s="447"/>
      <c r="Q280" s="474">
        <v>2</v>
      </c>
      <c r="R280" s="474">
        <v>100</v>
      </c>
      <c r="S280" s="474">
        <v>0.04</v>
      </c>
      <c r="T280" s="474">
        <v>1.5</v>
      </c>
    </row>
    <row r="281" spans="16:20" s="497" customFormat="1" ht="15">
      <c r="P281" s="447"/>
      <c r="Q281" s="474">
        <v>2</v>
      </c>
      <c r="R281" s="474">
        <v>100</v>
      </c>
      <c r="S281" s="474">
        <v>0.05</v>
      </c>
      <c r="T281" s="474">
        <v>1.5</v>
      </c>
    </row>
    <row r="282" spans="16:20" s="497" customFormat="1" ht="15">
      <c r="P282" s="447"/>
      <c r="Q282" s="474">
        <v>2</v>
      </c>
      <c r="R282" s="474">
        <v>100</v>
      </c>
      <c r="S282" s="474">
        <v>0.06</v>
      </c>
      <c r="T282" s="474">
        <v>1.5</v>
      </c>
    </row>
    <row r="283" spans="16:20" s="497" customFormat="1" ht="15">
      <c r="P283" s="447"/>
      <c r="Q283" s="474">
        <v>2</v>
      </c>
      <c r="R283" s="474">
        <v>100</v>
      </c>
      <c r="S283" s="474">
        <v>0.08</v>
      </c>
      <c r="T283" s="474">
        <v>1.5</v>
      </c>
    </row>
    <row r="284" spans="16:20" s="497" customFormat="1" ht="15">
      <c r="P284" s="447"/>
      <c r="Q284" s="474">
        <v>2</v>
      </c>
      <c r="R284" s="474">
        <v>100</v>
      </c>
      <c r="S284" s="474">
        <v>0.1</v>
      </c>
      <c r="T284" s="474">
        <v>1.5</v>
      </c>
    </row>
    <row r="285" spans="16:20" s="497" customFormat="1" ht="15">
      <c r="P285" s="447"/>
      <c r="Q285" s="474">
        <v>2</v>
      </c>
      <c r="R285" s="474">
        <v>100</v>
      </c>
      <c r="S285" s="474">
        <v>0.15</v>
      </c>
      <c r="T285" s="474">
        <v>1.5</v>
      </c>
    </row>
    <row r="286" spans="16:20" s="497" customFormat="1" ht="15">
      <c r="P286" s="447"/>
      <c r="Q286" s="474">
        <v>2</v>
      </c>
      <c r="R286" s="474">
        <v>100</v>
      </c>
      <c r="S286" s="474">
        <v>0.2</v>
      </c>
      <c r="T286" s="474">
        <v>1.5</v>
      </c>
    </row>
    <row r="287" spans="16:20" s="497" customFormat="1" ht="15">
      <c r="P287" s="447"/>
      <c r="Q287" s="474">
        <v>2</v>
      </c>
      <c r="R287" s="474">
        <v>100</v>
      </c>
      <c r="S287" s="474">
        <v>0.25</v>
      </c>
      <c r="T287" s="474">
        <v>1.5</v>
      </c>
    </row>
    <row r="288" spans="16:20" s="497" customFormat="1" ht="15">
      <c r="P288" s="447"/>
      <c r="Q288" s="474">
        <v>2</v>
      </c>
      <c r="R288" s="474">
        <v>100</v>
      </c>
      <c r="S288" s="474">
        <v>1</v>
      </c>
      <c r="T288" s="474">
        <v>1.5</v>
      </c>
    </row>
    <row r="289" spans="16:20" s="497" customFormat="1" ht="15">
      <c r="P289" s="447"/>
      <c r="Q289" s="474">
        <v>2.0099999999999998</v>
      </c>
      <c r="R289" s="474">
        <v>0</v>
      </c>
      <c r="S289" s="474">
        <v>0</v>
      </c>
      <c r="T289" s="474">
        <v>1.5</v>
      </c>
    </row>
    <row r="290" spans="16:20" s="497" customFormat="1" ht="15">
      <c r="P290" s="447"/>
      <c r="Q290" s="474">
        <v>2.0099999999999998</v>
      </c>
      <c r="R290" s="474">
        <v>0</v>
      </c>
      <c r="S290" s="474">
        <v>0.02</v>
      </c>
      <c r="T290" s="474">
        <v>1.5</v>
      </c>
    </row>
    <row r="291" spans="16:20" s="497" customFormat="1" ht="15">
      <c r="P291" s="447"/>
      <c r="Q291" s="474">
        <v>2.0099999999999998</v>
      </c>
      <c r="R291" s="474">
        <v>0</v>
      </c>
      <c r="S291" s="474">
        <v>0.04</v>
      </c>
      <c r="T291" s="474">
        <v>1.5</v>
      </c>
    </row>
    <row r="292" spans="16:20" s="497" customFormat="1" ht="15">
      <c r="P292" s="447"/>
      <c r="Q292" s="474">
        <v>2.0099999999999998</v>
      </c>
      <c r="R292" s="474">
        <v>0</v>
      </c>
      <c r="S292" s="474">
        <v>0.05</v>
      </c>
      <c r="T292" s="474">
        <v>1.5</v>
      </c>
    </row>
    <row r="293" spans="16:20" s="497" customFormat="1" ht="15">
      <c r="P293" s="447"/>
      <c r="Q293" s="474">
        <v>2.0099999999999998</v>
      </c>
      <c r="R293" s="474">
        <v>0</v>
      </c>
      <c r="S293" s="474">
        <v>0.06</v>
      </c>
      <c r="T293" s="474">
        <v>1.5</v>
      </c>
    </row>
    <row r="294" spans="16:20" s="497" customFormat="1" ht="15">
      <c r="P294" s="447"/>
      <c r="Q294" s="474">
        <v>2.0099999999999998</v>
      </c>
      <c r="R294" s="474">
        <v>0</v>
      </c>
      <c r="S294" s="474">
        <v>0.08</v>
      </c>
      <c r="T294" s="474">
        <v>1.5</v>
      </c>
    </row>
    <row r="295" spans="16:20" s="497" customFormat="1" ht="15">
      <c r="P295" s="447"/>
      <c r="Q295" s="474">
        <v>2.0099999999999998</v>
      </c>
      <c r="R295" s="474">
        <v>0</v>
      </c>
      <c r="S295" s="474">
        <v>0.1</v>
      </c>
      <c r="T295" s="474">
        <v>1.5</v>
      </c>
    </row>
    <row r="296" spans="16:20" s="497" customFormat="1" ht="15">
      <c r="P296" s="447"/>
      <c r="Q296" s="474">
        <v>2.0099999999999998</v>
      </c>
      <c r="R296" s="474">
        <v>0</v>
      </c>
      <c r="S296" s="474">
        <v>0.15</v>
      </c>
      <c r="T296" s="474">
        <v>1.5</v>
      </c>
    </row>
    <row r="297" spans="16:20" s="497" customFormat="1" ht="15">
      <c r="P297" s="447"/>
      <c r="Q297" s="474">
        <v>2.0099999999999998</v>
      </c>
      <c r="R297" s="474">
        <v>0</v>
      </c>
      <c r="S297" s="474">
        <v>0.2</v>
      </c>
      <c r="T297" s="474">
        <v>1.5</v>
      </c>
    </row>
    <row r="298" spans="16:20" s="497" customFormat="1" ht="15">
      <c r="P298" s="447"/>
      <c r="Q298" s="474">
        <v>2.0099999999999998</v>
      </c>
      <c r="R298" s="474">
        <v>0</v>
      </c>
      <c r="S298" s="474">
        <v>0.25</v>
      </c>
      <c r="T298" s="474">
        <v>1.5</v>
      </c>
    </row>
    <row r="299" spans="16:20" s="497" customFormat="1" ht="15">
      <c r="P299" s="447"/>
      <c r="Q299" s="474">
        <v>2.0099999999999998</v>
      </c>
      <c r="R299" s="474">
        <v>0</v>
      </c>
      <c r="S299" s="474">
        <v>1</v>
      </c>
      <c r="T299" s="474">
        <v>1.5</v>
      </c>
    </row>
    <row r="300" spans="16:20" s="497" customFormat="1" ht="15">
      <c r="P300" s="447"/>
      <c r="Q300" s="474">
        <v>2.0099999999999998</v>
      </c>
      <c r="R300" s="474">
        <v>0.4</v>
      </c>
      <c r="S300" s="474">
        <v>0</v>
      </c>
      <c r="T300" s="474">
        <v>1.5</v>
      </c>
    </row>
    <row r="301" spans="16:20" s="497" customFormat="1" ht="15">
      <c r="P301" s="447"/>
      <c r="Q301" s="474">
        <v>2.0099999999999998</v>
      </c>
      <c r="R301" s="474">
        <v>0.4</v>
      </c>
      <c r="S301" s="474">
        <v>0.02</v>
      </c>
      <c r="T301" s="474">
        <v>1.5</v>
      </c>
    </row>
    <row r="302" spans="16:20" s="497" customFormat="1" ht="15">
      <c r="P302" s="447"/>
      <c r="Q302" s="474">
        <v>2.0099999999999998</v>
      </c>
      <c r="R302" s="474">
        <v>0.4</v>
      </c>
      <c r="S302" s="474">
        <v>0.04</v>
      </c>
      <c r="T302" s="474">
        <v>1.5</v>
      </c>
    </row>
    <row r="303" spans="16:20" s="497" customFormat="1" ht="15">
      <c r="P303" s="447"/>
      <c r="Q303" s="474">
        <v>2.0099999999999998</v>
      </c>
      <c r="R303" s="474">
        <v>0.4</v>
      </c>
      <c r="S303" s="474">
        <v>0.05</v>
      </c>
      <c r="T303" s="474">
        <v>1.5</v>
      </c>
    </row>
    <row r="304" spans="16:20" s="497" customFormat="1" ht="15">
      <c r="P304" s="447"/>
      <c r="Q304" s="474">
        <v>2.0099999999999998</v>
      </c>
      <c r="R304" s="474">
        <v>0.4</v>
      </c>
      <c r="S304" s="474">
        <v>0.06</v>
      </c>
      <c r="T304" s="474">
        <v>1.5</v>
      </c>
    </row>
    <row r="305" spans="16:20" s="497" customFormat="1" ht="15">
      <c r="P305" s="447"/>
      <c r="Q305" s="474">
        <v>2.0099999999999998</v>
      </c>
      <c r="R305" s="474">
        <v>0.4</v>
      </c>
      <c r="S305" s="474">
        <v>0.08</v>
      </c>
      <c r="T305" s="474">
        <v>1.5</v>
      </c>
    </row>
    <row r="306" spans="16:20" s="497" customFormat="1" ht="15">
      <c r="P306" s="447"/>
      <c r="Q306" s="474">
        <v>2.0099999999999998</v>
      </c>
      <c r="R306" s="474">
        <v>0.4</v>
      </c>
      <c r="S306" s="474">
        <v>0.1</v>
      </c>
      <c r="T306" s="474">
        <v>1.5</v>
      </c>
    </row>
    <row r="307" spans="16:20" s="497" customFormat="1" ht="15">
      <c r="P307" s="447"/>
      <c r="Q307" s="474">
        <v>2.0099999999999998</v>
      </c>
      <c r="R307" s="474">
        <v>0.4</v>
      </c>
      <c r="S307" s="474">
        <v>0.15</v>
      </c>
      <c r="T307" s="474">
        <v>1.5</v>
      </c>
    </row>
    <row r="308" spans="16:20" s="497" customFormat="1" ht="15">
      <c r="P308" s="447"/>
      <c r="Q308" s="474">
        <v>2.0099999999999998</v>
      </c>
      <c r="R308" s="474">
        <v>0.4</v>
      </c>
      <c r="S308" s="474">
        <v>0.2</v>
      </c>
      <c r="T308" s="474">
        <v>1.5</v>
      </c>
    </row>
    <row r="309" spans="16:20" s="497" customFormat="1" ht="15">
      <c r="P309" s="447"/>
      <c r="Q309" s="497">
        <v>2.0099999999999998</v>
      </c>
      <c r="R309" s="497">
        <v>0.4</v>
      </c>
      <c r="S309" s="497">
        <v>0.25</v>
      </c>
      <c r="T309" s="497">
        <v>1.5</v>
      </c>
    </row>
    <row r="310" spans="16:20" s="497" customFormat="1" ht="15">
      <c r="P310" s="447"/>
      <c r="Q310" s="497">
        <v>2.0099999999999998</v>
      </c>
      <c r="R310" s="497">
        <v>0.4</v>
      </c>
      <c r="S310" s="497">
        <v>1</v>
      </c>
      <c r="T310" s="497">
        <v>1.5</v>
      </c>
    </row>
    <row r="311" spans="16:20" s="497" customFormat="1" ht="15">
      <c r="P311" s="447"/>
      <c r="Q311" s="497">
        <v>2.0099999999999998</v>
      </c>
      <c r="R311" s="497">
        <v>0.40100000000000002</v>
      </c>
      <c r="S311" s="497">
        <v>0</v>
      </c>
      <c r="T311" s="497">
        <v>1.5</v>
      </c>
    </row>
    <row r="312" spans="16:20" s="497" customFormat="1" ht="15">
      <c r="P312" s="447"/>
      <c r="Q312" s="497">
        <v>2.0099999999999998</v>
      </c>
      <c r="R312" s="497">
        <v>0.40100000000000002</v>
      </c>
      <c r="S312" s="497">
        <v>0.02</v>
      </c>
      <c r="T312" s="497">
        <v>1.5</v>
      </c>
    </row>
    <row r="313" spans="16:20" s="497" customFormat="1" ht="15">
      <c r="P313" s="447"/>
      <c r="Q313" s="497">
        <v>2.0099999999999998</v>
      </c>
      <c r="R313" s="497">
        <v>0.40100000000000002</v>
      </c>
      <c r="S313" s="497">
        <v>0.04</v>
      </c>
      <c r="T313" s="497">
        <v>1.5</v>
      </c>
    </row>
    <row r="314" spans="16:20" s="497" customFormat="1" ht="15">
      <c r="P314" s="447"/>
      <c r="Q314" s="497">
        <v>2.0099999999999998</v>
      </c>
      <c r="R314" s="497">
        <v>0.40100000000000002</v>
      </c>
      <c r="S314" s="497">
        <v>0.05</v>
      </c>
      <c r="T314" s="497">
        <v>1.5</v>
      </c>
    </row>
    <row r="315" spans="16:20" s="497" customFormat="1" ht="15">
      <c r="P315" s="447"/>
      <c r="Q315" s="497">
        <v>2.0099999999999998</v>
      </c>
      <c r="R315" s="497">
        <v>0.40100000000000002</v>
      </c>
      <c r="S315" s="497">
        <v>0.06</v>
      </c>
      <c r="T315" s="497">
        <v>1.5</v>
      </c>
    </row>
    <row r="316" spans="16:20" s="497" customFormat="1" ht="15">
      <c r="P316" s="447"/>
      <c r="Q316" s="497">
        <v>2.0099999999999998</v>
      </c>
      <c r="R316" s="497">
        <v>0.40100000000000002</v>
      </c>
      <c r="S316" s="497">
        <v>0.08</v>
      </c>
      <c r="T316" s="497">
        <v>1.5</v>
      </c>
    </row>
    <row r="317" spans="16:20" s="497" customFormat="1" ht="15">
      <c r="P317" s="447"/>
      <c r="Q317" s="497">
        <v>2.0099999999999998</v>
      </c>
      <c r="R317" s="497">
        <v>0.40100000000000002</v>
      </c>
      <c r="S317" s="497">
        <v>0.1</v>
      </c>
      <c r="T317" s="497">
        <v>1.5</v>
      </c>
    </row>
    <row r="318" spans="16:20" s="497" customFormat="1" ht="15">
      <c r="P318" s="447"/>
      <c r="Q318" s="497">
        <v>2.0099999999999998</v>
      </c>
      <c r="R318" s="497">
        <v>0.40100000000000002</v>
      </c>
      <c r="S318" s="497">
        <v>0.15</v>
      </c>
      <c r="T318" s="497">
        <v>1.5</v>
      </c>
    </row>
    <row r="319" spans="16:20" s="497" customFormat="1" ht="15">
      <c r="P319" s="447"/>
      <c r="Q319" s="497">
        <v>2.0099999999999998</v>
      </c>
      <c r="R319" s="497">
        <v>0.40100000000000002</v>
      </c>
      <c r="S319" s="497">
        <v>0.2</v>
      </c>
      <c r="T319" s="497">
        <v>1.5</v>
      </c>
    </row>
    <row r="320" spans="16:20" s="497" customFormat="1" ht="15">
      <c r="P320" s="447"/>
      <c r="Q320" s="497">
        <v>2.0099999999999998</v>
      </c>
      <c r="R320" s="497">
        <v>0.40100000000000002</v>
      </c>
      <c r="S320" s="497">
        <v>0.25</v>
      </c>
      <c r="T320" s="497">
        <v>1.5</v>
      </c>
    </row>
    <row r="321" spans="16:20" ht="15">
      <c r="P321" s="447"/>
      <c r="Q321" s="497">
        <v>2.0099999999999998</v>
      </c>
      <c r="R321" s="497">
        <v>0.40100000000000002</v>
      </c>
      <c r="S321" s="497">
        <v>1</v>
      </c>
      <c r="T321" s="497">
        <v>1.5</v>
      </c>
    </row>
    <row r="322" spans="16:20" ht="15">
      <c r="P322" s="447"/>
      <c r="Q322" s="497">
        <v>2.0099999999999998</v>
      </c>
      <c r="R322" s="497">
        <v>0.5</v>
      </c>
      <c r="S322" s="497">
        <v>0</v>
      </c>
      <c r="T322" s="497">
        <v>1.5</v>
      </c>
    </row>
    <row r="323" spans="16:20" ht="15">
      <c r="P323" s="447"/>
      <c r="Q323" s="497">
        <v>2.0099999999999998</v>
      </c>
      <c r="R323" s="497">
        <v>0.5</v>
      </c>
      <c r="S323" s="497">
        <v>0.02</v>
      </c>
      <c r="T323" s="497">
        <v>1.5</v>
      </c>
    </row>
    <row r="324" spans="16:20" ht="15">
      <c r="P324" s="447"/>
      <c r="Q324" s="497">
        <v>2.0099999999999998</v>
      </c>
      <c r="R324" s="497">
        <v>0.5</v>
      </c>
      <c r="S324" s="497">
        <v>0.04</v>
      </c>
      <c r="T324" s="497">
        <v>1.5</v>
      </c>
    </row>
    <row r="325" spans="16:20" ht="15">
      <c r="P325" s="447"/>
      <c r="Q325" s="497">
        <v>2.0099999999999998</v>
      </c>
      <c r="R325" s="497">
        <v>0.5</v>
      </c>
      <c r="S325" s="497">
        <v>0.05</v>
      </c>
      <c r="T325" s="497">
        <v>1.5</v>
      </c>
    </row>
    <row r="326" spans="16:20" ht="15">
      <c r="P326" s="447"/>
      <c r="Q326" s="497">
        <v>2.0099999999999998</v>
      </c>
      <c r="R326" s="497">
        <v>0.5</v>
      </c>
      <c r="S326" s="497">
        <v>0.06</v>
      </c>
      <c r="T326" s="497">
        <v>1.5</v>
      </c>
    </row>
    <row r="327" spans="16:20" ht="15">
      <c r="P327" s="447"/>
      <c r="Q327" s="497">
        <v>2.0099999999999998</v>
      </c>
      <c r="R327" s="497">
        <v>0.5</v>
      </c>
      <c r="S327" s="497">
        <v>0.08</v>
      </c>
      <c r="T327" s="497">
        <v>1.5</v>
      </c>
    </row>
    <row r="328" spans="16:20" ht="15">
      <c r="P328" s="447"/>
      <c r="Q328" s="497">
        <v>2.0099999999999998</v>
      </c>
      <c r="R328" s="497">
        <v>0.5</v>
      </c>
      <c r="S328" s="497">
        <v>0.1</v>
      </c>
      <c r="T328" s="497">
        <v>1.5</v>
      </c>
    </row>
    <row r="329" spans="16:20" ht="15">
      <c r="P329" s="447"/>
      <c r="Q329" s="497">
        <v>2.0099999999999998</v>
      </c>
      <c r="R329" s="497">
        <v>0.5</v>
      </c>
      <c r="S329" s="497">
        <v>0.15</v>
      </c>
      <c r="T329" s="497">
        <v>1.5</v>
      </c>
    </row>
    <row r="330" spans="16:20" ht="15">
      <c r="P330" s="447"/>
      <c r="Q330" s="497">
        <v>2.0099999999999998</v>
      </c>
      <c r="R330" s="497">
        <v>0.5</v>
      </c>
      <c r="S330" s="497">
        <v>0.2</v>
      </c>
      <c r="T330" s="497">
        <v>1.5</v>
      </c>
    </row>
    <row r="331" spans="16:20" ht="15">
      <c r="P331" s="447"/>
      <c r="Q331" s="497">
        <v>2.0099999999999998</v>
      </c>
      <c r="R331" s="497">
        <v>0.5</v>
      </c>
      <c r="S331" s="497">
        <v>0.25</v>
      </c>
      <c r="T331" s="497">
        <v>1.5</v>
      </c>
    </row>
    <row r="332" spans="16:20" ht="15">
      <c r="P332" s="447"/>
      <c r="Q332" s="497">
        <v>2.0099999999999998</v>
      </c>
      <c r="R332" s="497">
        <v>0.5</v>
      </c>
      <c r="S332" s="497">
        <v>1</v>
      </c>
      <c r="T332" s="497">
        <v>1.5</v>
      </c>
    </row>
    <row r="333" spans="16:20" ht="15">
      <c r="P333" s="447"/>
      <c r="Q333" s="497">
        <v>2.0099999999999998</v>
      </c>
      <c r="R333" s="497">
        <v>0.501</v>
      </c>
      <c r="S333" s="497">
        <v>0</v>
      </c>
      <c r="T333" s="497">
        <v>1.5</v>
      </c>
    </row>
    <row r="334" spans="16:20" ht="15">
      <c r="P334" s="447"/>
      <c r="Q334" s="497">
        <v>2.0099999999999998</v>
      </c>
      <c r="R334" s="497">
        <v>0.501</v>
      </c>
      <c r="S334" s="497">
        <v>0.02</v>
      </c>
      <c r="T334" s="497">
        <v>1.5</v>
      </c>
    </row>
    <row r="335" spans="16:20" ht="15">
      <c r="P335" s="447"/>
      <c r="Q335" s="497">
        <v>2.0099999999999998</v>
      </c>
      <c r="R335" s="497">
        <v>0.501</v>
      </c>
      <c r="S335" s="497">
        <v>0.04</v>
      </c>
      <c r="T335" s="497">
        <v>1.5</v>
      </c>
    </row>
    <row r="336" spans="16:20" ht="15">
      <c r="P336" s="447"/>
      <c r="Q336" s="497">
        <v>2.0099999999999998</v>
      </c>
      <c r="R336" s="497">
        <v>0.501</v>
      </c>
      <c r="S336" s="497">
        <v>0.05</v>
      </c>
      <c r="T336" s="497">
        <v>1.5</v>
      </c>
    </row>
    <row r="337" spans="16:20" ht="15">
      <c r="P337" s="447"/>
      <c r="Q337" s="497">
        <v>2.0099999999999998</v>
      </c>
      <c r="R337" s="497">
        <v>0.501</v>
      </c>
      <c r="S337" s="497">
        <v>0.06</v>
      </c>
      <c r="T337" s="497">
        <v>1.5</v>
      </c>
    </row>
    <row r="338" spans="16:20" ht="15">
      <c r="P338" s="447"/>
      <c r="Q338" s="497">
        <v>2.0099999999999998</v>
      </c>
      <c r="R338" s="497">
        <v>0.501</v>
      </c>
      <c r="S338" s="497">
        <v>0.08</v>
      </c>
      <c r="T338" s="497">
        <v>1.5</v>
      </c>
    </row>
    <row r="339" spans="16:20" ht="15">
      <c r="P339" s="447"/>
      <c r="Q339" s="497">
        <v>2.0099999999999998</v>
      </c>
      <c r="R339" s="497">
        <v>0.501</v>
      </c>
      <c r="S339" s="497">
        <v>0.1</v>
      </c>
      <c r="T339" s="497">
        <v>1.5</v>
      </c>
    </row>
    <row r="340" spans="16:20" ht="15">
      <c r="P340" s="447"/>
      <c r="Q340" s="497">
        <v>2.0099999999999998</v>
      </c>
      <c r="R340" s="497">
        <v>0.501</v>
      </c>
      <c r="S340" s="497">
        <v>0.15</v>
      </c>
      <c r="T340" s="497">
        <v>1.5</v>
      </c>
    </row>
    <row r="341" spans="16:20" ht="15">
      <c r="P341" s="447"/>
      <c r="Q341" s="497">
        <v>2.0099999999999998</v>
      </c>
      <c r="R341" s="497">
        <v>0.501</v>
      </c>
      <c r="S341" s="497">
        <v>0.2</v>
      </c>
      <c r="T341" s="497">
        <v>1.5</v>
      </c>
    </row>
    <row r="342" spans="16:20" ht="15">
      <c r="P342" s="447"/>
      <c r="Q342" s="497">
        <v>2.0099999999999998</v>
      </c>
      <c r="R342" s="497">
        <v>0.501</v>
      </c>
      <c r="S342" s="497">
        <v>0.25</v>
      </c>
      <c r="T342" s="497">
        <v>1.5</v>
      </c>
    </row>
    <row r="343" spans="16:20" ht="15">
      <c r="P343" s="447"/>
      <c r="Q343" s="497">
        <v>2.0099999999999998</v>
      </c>
      <c r="R343" s="497">
        <v>0.501</v>
      </c>
      <c r="S343" s="497">
        <v>1</v>
      </c>
      <c r="T343" s="497">
        <v>1.5</v>
      </c>
    </row>
    <row r="344" spans="16:20" ht="15">
      <c r="P344" s="447"/>
      <c r="Q344" s="497">
        <v>2.0099999999999998</v>
      </c>
      <c r="R344" s="497">
        <v>0.8</v>
      </c>
      <c r="S344" s="497">
        <v>0</v>
      </c>
      <c r="T344" s="497">
        <v>1.5</v>
      </c>
    </row>
    <row r="345" spans="16:20" ht="15">
      <c r="P345" s="447"/>
      <c r="Q345" s="497">
        <v>2.0099999999999998</v>
      </c>
      <c r="R345" s="497">
        <v>0.8</v>
      </c>
      <c r="S345" s="497">
        <v>0.02</v>
      </c>
      <c r="T345" s="497">
        <v>1.5</v>
      </c>
    </row>
    <row r="346" spans="16:20" ht="15">
      <c r="P346" s="447"/>
      <c r="Q346" s="497">
        <v>2.0099999999999998</v>
      </c>
      <c r="R346" s="497">
        <v>0.8</v>
      </c>
      <c r="S346" s="497">
        <v>0.04</v>
      </c>
      <c r="T346" s="497">
        <v>1.5</v>
      </c>
    </row>
    <row r="347" spans="16:20" ht="15">
      <c r="P347" s="447"/>
      <c r="Q347" s="497">
        <v>2.0099999999999998</v>
      </c>
      <c r="R347" s="497">
        <v>0.8</v>
      </c>
      <c r="S347" s="497">
        <v>0.05</v>
      </c>
      <c r="T347" s="497">
        <v>1.5</v>
      </c>
    </row>
    <row r="348" spans="16:20" ht="15">
      <c r="P348" s="447"/>
      <c r="Q348" s="497">
        <v>2.0099999999999998</v>
      </c>
      <c r="R348" s="497">
        <v>0.8</v>
      </c>
      <c r="S348" s="497">
        <v>0.06</v>
      </c>
      <c r="T348" s="497">
        <v>1.5</v>
      </c>
    </row>
    <row r="349" spans="16:20" ht="15">
      <c r="P349" s="447"/>
      <c r="Q349" s="497">
        <v>2.0099999999999998</v>
      </c>
      <c r="R349" s="497">
        <v>0.8</v>
      </c>
      <c r="S349" s="497">
        <v>0.08</v>
      </c>
      <c r="T349" s="497">
        <v>1.5</v>
      </c>
    </row>
    <row r="350" spans="16:20" ht="15">
      <c r="P350" s="447"/>
      <c r="Q350" s="497">
        <v>2.0099999999999998</v>
      </c>
      <c r="R350" s="497">
        <v>0.8</v>
      </c>
      <c r="S350" s="497">
        <v>0.1</v>
      </c>
      <c r="T350" s="497">
        <v>1.5</v>
      </c>
    </row>
    <row r="351" spans="16:20" ht="15">
      <c r="P351" s="447"/>
      <c r="Q351" s="497">
        <v>2.0099999999999998</v>
      </c>
      <c r="R351" s="497">
        <v>0.8</v>
      </c>
      <c r="S351" s="497">
        <v>0.15</v>
      </c>
      <c r="T351" s="497">
        <v>1.5</v>
      </c>
    </row>
    <row r="352" spans="16:20" ht="15">
      <c r="P352" s="447"/>
      <c r="Q352" s="497">
        <v>2.0099999999999998</v>
      </c>
      <c r="R352" s="497">
        <v>0.8</v>
      </c>
      <c r="S352" s="497">
        <v>0.2</v>
      </c>
      <c r="T352" s="497">
        <v>1.5</v>
      </c>
    </row>
    <row r="353" spans="16:20" ht="15">
      <c r="P353" s="447"/>
      <c r="Q353" s="497">
        <v>2.0099999999999998</v>
      </c>
      <c r="R353" s="497">
        <v>0.8</v>
      </c>
      <c r="S353" s="497">
        <v>0.25</v>
      </c>
      <c r="T353" s="497">
        <v>1.5</v>
      </c>
    </row>
    <row r="354" spans="16:20" ht="15">
      <c r="P354" s="447"/>
      <c r="Q354" s="497">
        <v>2.0099999999999998</v>
      </c>
      <c r="R354" s="497">
        <v>0.8</v>
      </c>
      <c r="S354" s="497">
        <v>1</v>
      </c>
      <c r="T354" s="497">
        <v>1.5</v>
      </c>
    </row>
    <row r="355" spans="16:20" ht="15">
      <c r="P355" s="447"/>
      <c r="Q355" s="497">
        <v>2.0099999999999998</v>
      </c>
      <c r="R355" s="497">
        <v>0.80100000000000005</v>
      </c>
      <c r="S355" s="497">
        <v>0</v>
      </c>
      <c r="T355" s="497">
        <v>1.5</v>
      </c>
    </row>
    <row r="356" spans="16:20" ht="15">
      <c r="P356" s="447"/>
      <c r="Q356" s="497">
        <v>2.0099999999999998</v>
      </c>
      <c r="R356" s="497">
        <v>0.80100000000000005</v>
      </c>
      <c r="S356" s="497">
        <v>0.02</v>
      </c>
      <c r="T356" s="497">
        <v>1.5</v>
      </c>
    </row>
    <row r="357" spans="16:20" ht="15">
      <c r="P357" s="447"/>
      <c r="Q357" s="497">
        <v>2.0099999999999998</v>
      </c>
      <c r="R357" s="497">
        <v>0.80100000000000005</v>
      </c>
      <c r="S357" s="497">
        <v>0.04</v>
      </c>
      <c r="T357" s="497">
        <v>1.5</v>
      </c>
    </row>
    <row r="358" spans="16:20" ht="15">
      <c r="P358" s="447"/>
      <c r="Q358" s="497">
        <v>2.0099999999999998</v>
      </c>
      <c r="R358" s="497">
        <v>0.80100000000000005</v>
      </c>
      <c r="S358" s="497">
        <v>0.05</v>
      </c>
      <c r="T358" s="497">
        <v>1.5</v>
      </c>
    </row>
    <row r="359" spans="16:20" ht="15">
      <c r="P359" s="447"/>
      <c r="Q359" s="497">
        <v>2.0099999999999998</v>
      </c>
      <c r="R359" s="497">
        <v>0.80100000000000005</v>
      </c>
      <c r="S359" s="497">
        <v>0.06</v>
      </c>
      <c r="T359" s="497">
        <v>1.5</v>
      </c>
    </row>
    <row r="360" spans="16:20" ht="15">
      <c r="P360" s="447"/>
      <c r="Q360" s="497">
        <v>2.0099999999999998</v>
      </c>
      <c r="R360" s="497">
        <v>0.80100000000000005</v>
      </c>
      <c r="S360" s="497">
        <v>0.08</v>
      </c>
      <c r="T360" s="497">
        <v>1.5</v>
      </c>
    </row>
    <row r="361" spans="16:20" ht="15">
      <c r="P361" s="447"/>
      <c r="Q361" s="497">
        <v>2.0099999999999998</v>
      </c>
      <c r="R361" s="497">
        <v>0.80100000000000005</v>
      </c>
      <c r="S361" s="497">
        <v>0.1</v>
      </c>
      <c r="T361" s="497">
        <v>1.5</v>
      </c>
    </row>
    <row r="362" spans="16:20" ht="15">
      <c r="P362" s="447"/>
      <c r="Q362" s="497">
        <v>2.0099999999999998</v>
      </c>
      <c r="R362" s="497">
        <v>0.80100000000000005</v>
      </c>
      <c r="S362" s="497">
        <v>0.15</v>
      </c>
      <c r="T362" s="497">
        <v>1.5</v>
      </c>
    </row>
    <row r="363" spans="16:20" ht="15">
      <c r="P363" s="447"/>
      <c r="Q363" s="497">
        <v>2.0099999999999998</v>
      </c>
      <c r="R363" s="497">
        <v>0.80100000000000005</v>
      </c>
      <c r="S363" s="497">
        <v>0.2</v>
      </c>
      <c r="T363" s="497">
        <v>1.5</v>
      </c>
    </row>
    <row r="364" spans="16:20" ht="15">
      <c r="P364" s="447"/>
      <c r="Q364" s="497">
        <v>2.0099999999999998</v>
      </c>
      <c r="R364" s="497">
        <v>0.80100000000000005</v>
      </c>
      <c r="S364" s="497">
        <v>0.25</v>
      </c>
      <c r="T364" s="497">
        <v>1.5</v>
      </c>
    </row>
    <row r="365" spans="16:20" ht="15">
      <c r="P365" s="447"/>
      <c r="Q365" s="497">
        <v>2.0099999999999998</v>
      </c>
      <c r="R365" s="497">
        <v>0.80100000000000005</v>
      </c>
      <c r="S365" s="497">
        <v>1</v>
      </c>
      <c r="T365" s="497">
        <v>1.5</v>
      </c>
    </row>
    <row r="366" spans="16:20" ht="15">
      <c r="P366" s="447"/>
      <c r="Q366" s="497">
        <v>2.0099999999999998</v>
      </c>
      <c r="R366" s="497">
        <v>1.2</v>
      </c>
      <c r="S366" s="497">
        <v>0</v>
      </c>
      <c r="T366" s="497">
        <v>1.5</v>
      </c>
    </row>
    <row r="367" spans="16:20" ht="15">
      <c r="P367" s="447"/>
      <c r="Q367" s="497">
        <v>2.0099999999999998</v>
      </c>
      <c r="R367" s="497">
        <v>1.2</v>
      </c>
      <c r="S367" s="497">
        <v>0.02</v>
      </c>
      <c r="T367" s="497">
        <v>1.5</v>
      </c>
    </row>
    <row r="368" spans="16:20" ht="15">
      <c r="P368" s="447"/>
      <c r="Q368" s="497">
        <v>2.0099999999999998</v>
      </c>
      <c r="R368" s="497">
        <v>1.2</v>
      </c>
      <c r="S368" s="497">
        <v>0.04</v>
      </c>
      <c r="T368" s="497">
        <v>1.5</v>
      </c>
    </row>
    <row r="369" spans="16:20" ht="15">
      <c r="P369" s="447"/>
      <c r="Q369" s="497">
        <v>2.0099999999999998</v>
      </c>
      <c r="R369" s="497">
        <v>1.2</v>
      </c>
      <c r="S369" s="497">
        <v>0.05</v>
      </c>
      <c r="T369" s="497">
        <v>1.5</v>
      </c>
    </row>
    <row r="370" spans="16:20" ht="15">
      <c r="P370" s="447"/>
      <c r="Q370" s="497">
        <v>2.0099999999999998</v>
      </c>
      <c r="R370" s="497">
        <v>1.2</v>
      </c>
      <c r="S370" s="497">
        <v>0.06</v>
      </c>
      <c r="T370" s="497">
        <v>1.5</v>
      </c>
    </row>
    <row r="371" spans="16:20" ht="15">
      <c r="P371" s="447"/>
      <c r="Q371" s="497">
        <v>2.0099999999999998</v>
      </c>
      <c r="R371" s="497">
        <v>1.2</v>
      </c>
      <c r="S371" s="497">
        <v>0.08</v>
      </c>
      <c r="T371" s="497">
        <v>1.5</v>
      </c>
    </row>
    <row r="372" spans="16:20" ht="15">
      <c r="P372" s="447"/>
      <c r="Q372" s="497">
        <v>2.0099999999999998</v>
      </c>
      <c r="R372" s="497">
        <v>1.2</v>
      </c>
      <c r="S372" s="497">
        <v>0.1</v>
      </c>
      <c r="T372" s="497">
        <v>1.5</v>
      </c>
    </row>
    <row r="373" spans="16:20" ht="15">
      <c r="P373" s="447"/>
      <c r="Q373" s="497">
        <v>2.0099999999999998</v>
      </c>
      <c r="R373" s="497">
        <v>1.2</v>
      </c>
      <c r="S373" s="497">
        <v>0.15</v>
      </c>
      <c r="T373" s="497">
        <v>1.5</v>
      </c>
    </row>
    <row r="374" spans="16:20" ht="15">
      <c r="P374" s="447"/>
      <c r="Q374" s="497">
        <v>2.0099999999999998</v>
      </c>
      <c r="R374" s="497">
        <v>1.2</v>
      </c>
      <c r="S374" s="497">
        <v>0.2</v>
      </c>
      <c r="T374" s="497">
        <v>1.5</v>
      </c>
    </row>
    <row r="375" spans="16:20" ht="15">
      <c r="P375" s="447"/>
      <c r="Q375" s="497">
        <v>2.0099999999999998</v>
      </c>
      <c r="R375" s="497">
        <v>1.2</v>
      </c>
      <c r="S375" s="497">
        <v>0.25</v>
      </c>
      <c r="T375" s="497">
        <v>1.5</v>
      </c>
    </row>
    <row r="376" spans="16:20" ht="15">
      <c r="P376" s="447"/>
      <c r="Q376" s="497">
        <v>2.0099999999999998</v>
      </c>
      <c r="R376" s="497">
        <v>1.2</v>
      </c>
      <c r="S376" s="497">
        <v>1</v>
      </c>
      <c r="T376" s="497">
        <v>1.5</v>
      </c>
    </row>
    <row r="377" spans="16:20" ht="15">
      <c r="P377" s="447"/>
      <c r="Q377" s="497">
        <v>2.0099999999999998</v>
      </c>
      <c r="R377" s="497">
        <v>1.2010000000000001</v>
      </c>
      <c r="S377" s="497">
        <v>0</v>
      </c>
      <c r="T377" s="497">
        <v>2</v>
      </c>
    </row>
    <row r="378" spans="16:20" ht="15">
      <c r="P378" s="447"/>
      <c r="Q378" s="497">
        <v>2.0099999999999998</v>
      </c>
      <c r="R378" s="497">
        <v>1.2010000000000001</v>
      </c>
      <c r="S378" s="497">
        <v>0.02</v>
      </c>
      <c r="T378" s="497">
        <v>2</v>
      </c>
    </row>
    <row r="379" spans="16:20" ht="15">
      <c r="P379" s="447"/>
      <c r="Q379" s="497">
        <v>2.0099999999999998</v>
      </c>
      <c r="R379" s="497">
        <v>1.2010000000000001</v>
      </c>
      <c r="S379" s="497">
        <v>0.04</v>
      </c>
      <c r="T379" s="497">
        <v>2</v>
      </c>
    </row>
    <row r="380" spans="16:20" ht="15">
      <c r="P380" s="447"/>
      <c r="Q380" s="497">
        <v>2.0099999999999998</v>
      </c>
      <c r="R380" s="497">
        <v>1.2010000000000001</v>
      </c>
      <c r="S380" s="497">
        <v>0.05</v>
      </c>
      <c r="T380" s="497">
        <v>2</v>
      </c>
    </row>
    <row r="381" spans="16:20" ht="15">
      <c r="P381" s="447"/>
      <c r="Q381" s="497">
        <v>2.0099999999999998</v>
      </c>
      <c r="R381" s="497">
        <v>1.2010000000000001</v>
      </c>
      <c r="S381" s="497">
        <v>0.06</v>
      </c>
      <c r="T381" s="497">
        <v>2</v>
      </c>
    </row>
    <row r="382" spans="16:20" ht="15">
      <c r="P382" s="447"/>
      <c r="Q382" s="497">
        <v>2.0099999999999998</v>
      </c>
      <c r="R382" s="497">
        <v>1.2010000000000001</v>
      </c>
      <c r="S382" s="497">
        <v>0.08</v>
      </c>
      <c r="T382" s="497">
        <v>1.5</v>
      </c>
    </row>
    <row r="383" spans="16:20" ht="15">
      <c r="P383" s="447"/>
      <c r="Q383" s="497">
        <v>2.0099999999999998</v>
      </c>
      <c r="R383" s="497">
        <v>1.2010000000000001</v>
      </c>
      <c r="S383" s="497">
        <v>0.1</v>
      </c>
      <c r="T383" s="497">
        <v>1.5</v>
      </c>
    </row>
    <row r="384" spans="16:20" ht="15">
      <c r="P384" s="447"/>
      <c r="Q384" s="497">
        <v>2.0099999999999998</v>
      </c>
      <c r="R384" s="497">
        <v>1.2010000000000001</v>
      </c>
      <c r="S384" s="497">
        <v>0.15</v>
      </c>
      <c r="T384" s="497">
        <v>1.5</v>
      </c>
    </row>
    <row r="385" spans="16:20" ht="15">
      <c r="P385" s="447"/>
      <c r="Q385" s="497">
        <v>2.0099999999999998</v>
      </c>
      <c r="R385" s="497">
        <v>1.2010000000000001</v>
      </c>
      <c r="S385" s="497">
        <v>0.2</v>
      </c>
      <c r="T385" s="497">
        <v>1.5</v>
      </c>
    </row>
    <row r="386" spans="16:20" ht="15">
      <c r="P386" s="447"/>
      <c r="Q386" s="497">
        <v>2.0099999999999998</v>
      </c>
      <c r="R386" s="497">
        <v>1.2010000000000001</v>
      </c>
      <c r="S386" s="497">
        <v>0.25</v>
      </c>
      <c r="T386" s="497">
        <v>1.5</v>
      </c>
    </row>
    <row r="387" spans="16:20" ht="15">
      <c r="P387" s="447"/>
      <c r="Q387" s="497">
        <v>2.0099999999999998</v>
      </c>
      <c r="R387" s="497">
        <v>1.2010000000000001</v>
      </c>
      <c r="S387" s="497">
        <v>1</v>
      </c>
      <c r="T387" s="497">
        <v>1.5</v>
      </c>
    </row>
    <row r="388" spans="16:20" ht="15">
      <c r="P388" s="447"/>
      <c r="Q388" s="497">
        <v>2.0099999999999998</v>
      </c>
      <c r="R388" s="497">
        <v>1.6</v>
      </c>
      <c r="S388" s="497">
        <v>0</v>
      </c>
      <c r="T388" s="497">
        <v>2</v>
      </c>
    </row>
    <row r="389" spans="16:20" ht="15">
      <c r="P389" s="447"/>
      <c r="Q389" s="497">
        <v>2.0099999999999998</v>
      </c>
      <c r="R389" s="497">
        <v>1.6</v>
      </c>
      <c r="S389" s="497">
        <v>0.02</v>
      </c>
      <c r="T389" s="497">
        <v>2</v>
      </c>
    </row>
    <row r="390" spans="16:20" ht="15">
      <c r="P390" s="447"/>
      <c r="Q390" s="497">
        <v>2.0099999999999998</v>
      </c>
      <c r="R390" s="497">
        <v>1.6</v>
      </c>
      <c r="S390" s="497">
        <v>0.04</v>
      </c>
      <c r="T390" s="497">
        <v>2</v>
      </c>
    </row>
    <row r="391" spans="16:20" ht="15">
      <c r="P391" s="447"/>
      <c r="Q391" s="497">
        <v>2.0099999999999998</v>
      </c>
      <c r="R391" s="497">
        <v>1.6</v>
      </c>
      <c r="S391" s="497">
        <v>0.05</v>
      </c>
      <c r="T391" s="497">
        <v>2</v>
      </c>
    </row>
    <row r="392" spans="16:20" ht="15">
      <c r="P392" s="447"/>
      <c r="Q392" s="497">
        <v>2.0099999999999998</v>
      </c>
      <c r="R392" s="497">
        <v>1.6</v>
      </c>
      <c r="S392" s="497">
        <v>0.06</v>
      </c>
      <c r="T392" s="497">
        <v>2</v>
      </c>
    </row>
    <row r="393" spans="16:20" ht="15">
      <c r="P393" s="447"/>
      <c r="Q393" s="497">
        <v>2.0099999999999998</v>
      </c>
      <c r="R393" s="497">
        <v>1.6</v>
      </c>
      <c r="S393" s="497">
        <v>0.08</v>
      </c>
      <c r="T393" s="497">
        <v>1.5</v>
      </c>
    </row>
    <row r="394" spans="16:20" ht="15">
      <c r="P394" s="447"/>
      <c r="Q394" s="497">
        <v>2.0099999999999998</v>
      </c>
      <c r="R394" s="497">
        <v>1.6</v>
      </c>
      <c r="S394" s="497">
        <v>0.1</v>
      </c>
      <c r="T394" s="497">
        <v>1.5</v>
      </c>
    </row>
    <row r="395" spans="16:20" ht="15">
      <c r="P395" s="447"/>
      <c r="Q395" s="497">
        <v>2.0099999999999998</v>
      </c>
      <c r="R395" s="497">
        <v>1.6</v>
      </c>
      <c r="S395" s="497">
        <v>0.15</v>
      </c>
      <c r="T395" s="497">
        <v>1.5</v>
      </c>
    </row>
    <row r="396" spans="16:20" ht="15">
      <c r="P396" s="447"/>
      <c r="Q396" s="497">
        <v>2.0099999999999998</v>
      </c>
      <c r="R396" s="497">
        <v>1.6</v>
      </c>
      <c r="S396" s="497">
        <v>0.2</v>
      </c>
      <c r="T396" s="497">
        <v>1.5</v>
      </c>
    </row>
    <row r="397" spans="16:20" ht="15">
      <c r="P397" s="447"/>
      <c r="Q397" s="497">
        <v>2.0099999999999998</v>
      </c>
      <c r="R397" s="497">
        <v>1.6</v>
      </c>
      <c r="S397" s="497">
        <v>0.25</v>
      </c>
      <c r="T397" s="497">
        <v>1.5</v>
      </c>
    </row>
    <row r="398" spans="16:20" ht="15">
      <c r="P398" s="447"/>
      <c r="Q398" s="497">
        <v>2.0099999999999998</v>
      </c>
      <c r="R398" s="497">
        <v>1.6</v>
      </c>
      <c r="S398" s="497">
        <v>1</v>
      </c>
      <c r="T398" s="497">
        <v>1.5</v>
      </c>
    </row>
    <row r="399" spans="16:20" ht="15">
      <c r="P399" s="447"/>
      <c r="Q399" s="497">
        <v>2.0099999999999998</v>
      </c>
      <c r="R399" s="497">
        <v>1.601</v>
      </c>
      <c r="S399" s="497">
        <v>0</v>
      </c>
      <c r="T399" s="497">
        <v>2.5</v>
      </c>
    </row>
    <row r="400" spans="16:20" ht="15">
      <c r="P400" s="447"/>
      <c r="Q400" s="497">
        <v>2.0099999999999998</v>
      </c>
      <c r="R400" s="497">
        <v>1.601</v>
      </c>
      <c r="S400" s="497">
        <v>0.02</v>
      </c>
      <c r="T400" s="497">
        <v>2.5</v>
      </c>
    </row>
    <row r="401" spans="16:20" ht="15">
      <c r="P401" s="447"/>
      <c r="Q401" s="497">
        <v>2.0099999999999998</v>
      </c>
      <c r="R401" s="497">
        <v>1.601</v>
      </c>
      <c r="S401" s="497">
        <v>0.04</v>
      </c>
      <c r="T401" s="497">
        <v>2.5</v>
      </c>
    </row>
    <row r="402" spans="16:20" ht="15">
      <c r="P402" s="447"/>
      <c r="Q402" s="497">
        <v>2.0099999999999998</v>
      </c>
      <c r="R402" s="497">
        <v>1.601</v>
      </c>
      <c r="S402" s="497">
        <v>0.05</v>
      </c>
      <c r="T402" s="497">
        <v>2.5</v>
      </c>
    </row>
    <row r="403" spans="16:20" ht="15">
      <c r="P403" s="447"/>
      <c r="Q403" s="497">
        <v>2.0099999999999998</v>
      </c>
      <c r="R403" s="497">
        <v>1.601</v>
      </c>
      <c r="S403" s="497">
        <v>0.06</v>
      </c>
      <c r="T403" s="497">
        <v>2.5</v>
      </c>
    </row>
    <row r="404" spans="16:20" ht="15">
      <c r="P404" s="447"/>
      <c r="Q404" s="497">
        <v>2.0099999999999998</v>
      </c>
      <c r="R404" s="497">
        <v>1.601</v>
      </c>
      <c r="S404" s="497">
        <v>0.08</v>
      </c>
      <c r="T404" s="497">
        <v>2</v>
      </c>
    </row>
    <row r="405" spans="16:20" ht="15">
      <c r="P405" s="447"/>
      <c r="Q405" s="497">
        <v>2.0099999999999998</v>
      </c>
      <c r="R405" s="497">
        <v>1.601</v>
      </c>
      <c r="S405" s="497">
        <v>0.1</v>
      </c>
      <c r="T405" s="497">
        <v>2</v>
      </c>
    </row>
    <row r="406" spans="16:20" ht="15">
      <c r="P406" s="447"/>
      <c r="Q406" s="497">
        <v>2.0099999999999998</v>
      </c>
      <c r="R406" s="497">
        <v>1.601</v>
      </c>
      <c r="S406" s="497">
        <v>0.15</v>
      </c>
      <c r="T406" s="497">
        <v>2</v>
      </c>
    </row>
    <row r="407" spans="16:20" ht="15">
      <c r="P407" s="447"/>
      <c r="Q407" s="497">
        <v>2.0099999999999998</v>
      </c>
      <c r="R407" s="497">
        <v>1.601</v>
      </c>
      <c r="S407" s="497">
        <v>0.2</v>
      </c>
      <c r="T407" s="497">
        <v>2</v>
      </c>
    </row>
    <row r="408" spans="16:20" ht="15">
      <c r="P408" s="447"/>
      <c r="Q408" s="497">
        <v>2.0099999999999998</v>
      </c>
      <c r="R408" s="497">
        <v>1.601</v>
      </c>
      <c r="S408" s="497">
        <v>0.25</v>
      </c>
      <c r="T408" s="497">
        <v>2</v>
      </c>
    </row>
    <row r="409" spans="16:20" ht="15">
      <c r="P409" s="447"/>
      <c r="Q409" s="497">
        <v>2.0099999999999998</v>
      </c>
      <c r="R409" s="497">
        <v>1.601</v>
      </c>
      <c r="S409" s="497">
        <v>1</v>
      </c>
      <c r="T409" s="497">
        <v>2</v>
      </c>
    </row>
    <row r="410" spans="16:20" ht="15">
      <c r="P410" s="447"/>
      <c r="Q410" s="497">
        <v>2.0099999999999998</v>
      </c>
      <c r="R410" s="497">
        <v>2.4</v>
      </c>
      <c r="S410" s="497">
        <v>0</v>
      </c>
      <c r="T410" s="497">
        <v>3</v>
      </c>
    </row>
    <row r="411" spans="16:20" ht="15">
      <c r="P411" s="447"/>
      <c r="Q411" s="497">
        <v>2.0099999999999998</v>
      </c>
      <c r="R411" s="497">
        <v>2.4</v>
      </c>
      <c r="S411" s="497">
        <v>0.02</v>
      </c>
      <c r="T411" s="497">
        <v>3</v>
      </c>
    </row>
    <row r="412" spans="16:20" ht="15">
      <c r="P412" s="447"/>
      <c r="Q412" s="497">
        <v>2.0099999999999998</v>
      </c>
      <c r="R412" s="497">
        <v>2.4</v>
      </c>
      <c r="S412" s="497">
        <v>0.04</v>
      </c>
      <c r="T412" s="497">
        <v>3</v>
      </c>
    </row>
    <row r="413" spans="16:20" ht="15">
      <c r="P413" s="447"/>
      <c r="Q413" s="497">
        <v>2.0099999999999998</v>
      </c>
      <c r="R413" s="497">
        <v>2.4</v>
      </c>
      <c r="S413" s="497">
        <v>0.05</v>
      </c>
      <c r="T413" s="497">
        <v>2.5</v>
      </c>
    </row>
    <row r="414" spans="16:20" ht="15">
      <c r="P414" s="447"/>
      <c r="Q414" s="497">
        <v>2.0099999999999998</v>
      </c>
      <c r="R414" s="497">
        <v>2.4</v>
      </c>
      <c r="S414" s="497">
        <v>0.06</v>
      </c>
      <c r="T414" s="497">
        <v>2.5</v>
      </c>
    </row>
    <row r="415" spans="16:20" ht="15">
      <c r="P415" s="447"/>
      <c r="Q415" s="497">
        <v>2.0099999999999998</v>
      </c>
      <c r="R415" s="497">
        <v>2.4</v>
      </c>
      <c r="S415" s="497">
        <v>0.08</v>
      </c>
      <c r="T415" s="497">
        <v>2</v>
      </c>
    </row>
    <row r="416" spans="16:20" ht="15">
      <c r="P416" s="447"/>
      <c r="Q416" s="497">
        <v>2.0099999999999998</v>
      </c>
      <c r="R416" s="497">
        <v>2.4</v>
      </c>
      <c r="S416" s="497">
        <v>0.1</v>
      </c>
      <c r="T416" s="497">
        <v>2</v>
      </c>
    </row>
    <row r="417" spans="16:20" ht="15">
      <c r="P417" s="447"/>
      <c r="Q417" s="497">
        <v>2.0099999999999998</v>
      </c>
      <c r="R417" s="497">
        <v>2.4</v>
      </c>
      <c r="S417" s="497">
        <v>0.15</v>
      </c>
      <c r="T417" s="497">
        <v>2</v>
      </c>
    </row>
    <row r="418" spans="16:20" ht="15">
      <c r="P418" s="447"/>
      <c r="Q418" s="497">
        <v>2.0099999999999998</v>
      </c>
      <c r="R418" s="497">
        <v>2.4</v>
      </c>
      <c r="S418" s="497">
        <v>0.2</v>
      </c>
      <c r="T418" s="497">
        <v>2</v>
      </c>
    </row>
    <row r="419" spans="16:20" ht="15">
      <c r="P419" s="447"/>
      <c r="Q419" s="497">
        <v>2.0099999999999998</v>
      </c>
      <c r="R419" s="497">
        <v>2.4</v>
      </c>
      <c r="S419" s="497">
        <v>0.25</v>
      </c>
      <c r="T419" s="497">
        <v>2</v>
      </c>
    </row>
    <row r="420" spans="16:20" ht="15">
      <c r="P420" s="447"/>
      <c r="Q420" s="497">
        <v>2.0099999999999998</v>
      </c>
      <c r="R420" s="497">
        <v>2.4</v>
      </c>
      <c r="S420" s="497">
        <v>1</v>
      </c>
      <c r="T420" s="497">
        <v>2</v>
      </c>
    </row>
    <row r="421" spans="16:20" ht="15">
      <c r="P421" s="447"/>
      <c r="Q421" s="497">
        <v>2.0099999999999998</v>
      </c>
      <c r="R421" s="497">
        <v>100</v>
      </c>
      <c r="S421" s="497">
        <v>0</v>
      </c>
      <c r="T421" s="497">
        <v>3</v>
      </c>
    </row>
    <row r="422" spans="16:20" ht="15">
      <c r="P422" s="447"/>
      <c r="Q422" s="497">
        <v>2.0099999999999998</v>
      </c>
      <c r="R422" s="497">
        <v>100</v>
      </c>
      <c r="S422" s="497">
        <v>0.02</v>
      </c>
      <c r="T422" s="497">
        <v>3</v>
      </c>
    </row>
    <row r="423" spans="16:20" ht="15">
      <c r="P423" s="447"/>
      <c r="Q423" s="497">
        <v>2.0099999999999998</v>
      </c>
      <c r="R423" s="497">
        <v>100</v>
      </c>
      <c r="S423" s="497">
        <v>0.04</v>
      </c>
      <c r="T423" s="497">
        <v>3</v>
      </c>
    </row>
    <row r="424" spans="16:20" ht="15">
      <c r="P424" s="447"/>
      <c r="Q424" s="497">
        <v>2.0099999999999998</v>
      </c>
      <c r="R424" s="497">
        <v>100</v>
      </c>
      <c r="S424" s="497">
        <v>0.05</v>
      </c>
      <c r="T424" s="497">
        <v>2.5</v>
      </c>
    </row>
    <row r="425" spans="16:20" ht="15">
      <c r="P425" s="447"/>
      <c r="Q425" s="497">
        <v>2.0099999999999998</v>
      </c>
      <c r="R425" s="497">
        <v>100</v>
      </c>
      <c r="S425" s="497">
        <v>0.06</v>
      </c>
      <c r="T425" s="497">
        <v>2.5</v>
      </c>
    </row>
    <row r="426" spans="16:20" ht="15">
      <c r="P426" s="447"/>
      <c r="Q426" s="497">
        <v>2.0099999999999998</v>
      </c>
      <c r="R426" s="497">
        <v>100</v>
      </c>
      <c r="S426" s="497">
        <v>0.08</v>
      </c>
      <c r="T426" s="497">
        <v>2</v>
      </c>
    </row>
    <row r="427" spans="16:20" ht="15">
      <c r="P427" s="447"/>
      <c r="Q427" s="497">
        <v>2.0099999999999998</v>
      </c>
      <c r="R427" s="497">
        <v>100</v>
      </c>
      <c r="S427" s="497">
        <v>0.1</v>
      </c>
      <c r="T427" s="497">
        <v>2</v>
      </c>
    </row>
    <row r="428" spans="16:20" ht="15">
      <c r="P428" s="447"/>
      <c r="Q428" s="497">
        <v>2.0099999999999998</v>
      </c>
      <c r="R428" s="497">
        <v>100</v>
      </c>
      <c r="S428" s="497">
        <v>0.15</v>
      </c>
      <c r="T428" s="497">
        <v>2</v>
      </c>
    </row>
    <row r="429" spans="16:20" ht="15">
      <c r="P429" s="447"/>
      <c r="Q429" s="497">
        <v>2.0099999999999998</v>
      </c>
      <c r="R429" s="497">
        <v>100</v>
      </c>
      <c r="S429" s="497">
        <v>0.2</v>
      </c>
      <c r="T429" s="497">
        <v>2</v>
      </c>
    </row>
    <row r="430" spans="16:20" ht="15">
      <c r="P430" s="447"/>
      <c r="Q430" s="497">
        <v>2.0099999999999998</v>
      </c>
      <c r="R430" s="497">
        <v>100</v>
      </c>
      <c r="S430" s="497">
        <v>0.25</v>
      </c>
      <c r="T430" s="497">
        <v>2</v>
      </c>
    </row>
    <row r="431" spans="16:20" ht="15">
      <c r="P431" s="447"/>
      <c r="Q431" s="497">
        <v>2.0099999999999998</v>
      </c>
      <c r="R431" s="497">
        <v>100</v>
      </c>
      <c r="S431" s="497">
        <v>1</v>
      </c>
      <c r="T431" s="497">
        <v>2</v>
      </c>
    </row>
    <row r="432" spans="16:20" ht="15">
      <c r="P432" s="447"/>
      <c r="Q432" s="497">
        <v>3</v>
      </c>
      <c r="R432" s="497">
        <v>0</v>
      </c>
      <c r="S432" s="497">
        <v>0</v>
      </c>
      <c r="T432" s="497">
        <v>1.5</v>
      </c>
    </row>
    <row r="433" spans="16:20" ht="15">
      <c r="P433" s="447"/>
      <c r="Q433" s="497">
        <v>3</v>
      </c>
      <c r="R433" s="497">
        <v>0</v>
      </c>
      <c r="S433" s="497">
        <v>0.02</v>
      </c>
      <c r="T433" s="497">
        <v>1.5</v>
      </c>
    </row>
    <row r="434" spans="16:20" ht="15">
      <c r="P434" s="447"/>
      <c r="Q434" s="497">
        <v>3</v>
      </c>
      <c r="R434" s="497">
        <v>0</v>
      </c>
      <c r="S434" s="497">
        <v>0.04</v>
      </c>
      <c r="T434" s="497">
        <v>1.5</v>
      </c>
    </row>
    <row r="435" spans="16:20" ht="15">
      <c r="P435" s="447"/>
      <c r="Q435" s="497">
        <v>3</v>
      </c>
      <c r="R435" s="497">
        <v>0</v>
      </c>
      <c r="S435" s="497">
        <v>0.05</v>
      </c>
      <c r="T435" s="497">
        <v>1.5</v>
      </c>
    </row>
    <row r="436" spans="16:20" ht="15">
      <c r="P436" s="447"/>
      <c r="Q436" s="497">
        <v>3</v>
      </c>
      <c r="R436" s="497">
        <v>0</v>
      </c>
      <c r="S436" s="497">
        <v>0.06</v>
      </c>
      <c r="T436" s="497">
        <v>1.5</v>
      </c>
    </row>
    <row r="437" spans="16:20" ht="15">
      <c r="P437" s="447"/>
      <c r="Q437" s="497">
        <v>3</v>
      </c>
      <c r="R437" s="497">
        <v>0</v>
      </c>
      <c r="S437" s="497">
        <v>0.08</v>
      </c>
      <c r="T437" s="497">
        <v>1.5</v>
      </c>
    </row>
    <row r="438" spans="16:20" ht="15">
      <c r="P438" s="447"/>
      <c r="Q438" s="497">
        <v>3</v>
      </c>
      <c r="R438" s="497">
        <v>0</v>
      </c>
      <c r="S438" s="497">
        <v>0.1</v>
      </c>
      <c r="T438" s="497">
        <v>1.5</v>
      </c>
    </row>
    <row r="439" spans="16:20" ht="15">
      <c r="P439" s="447"/>
      <c r="Q439" s="497">
        <v>3</v>
      </c>
      <c r="R439" s="497">
        <v>0</v>
      </c>
      <c r="S439" s="497">
        <v>0.15</v>
      </c>
      <c r="T439" s="497">
        <v>1.5</v>
      </c>
    </row>
    <row r="440" spans="16:20" ht="15">
      <c r="P440" s="447"/>
      <c r="Q440" s="497">
        <v>3</v>
      </c>
      <c r="R440" s="497">
        <v>0</v>
      </c>
      <c r="S440" s="497">
        <v>0.2</v>
      </c>
      <c r="T440" s="497">
        <v>1.5</v>
      </c>
    </row>
    <row r="441" spans="16:20" ht="15">
      <c r="P441" s="447"/>
      <c r="Q441" s="497">
        <v>3</v>
      </c>
      <c r="R441" s="497">
        <v>0</v>
      </c>
      <c r="S441" s="497">
        <v>0.25</v>
      </c>
      <c r="T441" s="497">
        <v>1.5</v>
      </c>
    </row>
    <row r="442" spans="16:20" ht="15">
      <c r="P442" s="447"/>
      <c r="Q442" s="497">
        <v>3</v>
      </c>
      <c r="R442" s="497">
        <v>0</v>
      </c>
      <c r="S442" s="497">
        <v>1</v>
      </c>
      <c r="T442" s="497">
        <v>1.5</v>
      </c>
    </row>
    <row r="443" spans="16:20" ht="15">
      <c r="P443" s="447"/>
      <c r="Q443" s="497">
        <v>3</v>
      </c>
      <c r="R443" s="497">
        <v>0.4</v>
      </c>
      <c r="S443" s="497">
        <v>0</v>
      </c>
      <c r="T443" s="497">
        <v>1.5</v>
      </c>
    </row>
    <row r="444" spans="16:20" ht="15">
      <c r="P444" s="447"/>
      <c r="Q444" s="497">
        <v>3</v>
      </c>
      <c r="R444" s="497">
        <v>0.4</v>
      </c>
      <c r="S444" s="497">
        <v>0.02</v>
      </c>
      <c r="T444" s="497">
        <v>1.5</v>
      </c>
    </row>
    <row r="445" spans="16:20" ht="15">
      <c r="P445" s="447"/>
      <c r="Q445" s="497">
        <v>3</v>
      </c>
      <c r="R445" s="497">
        <v>0.4</v>
      </c>
      <c r="S445" s="497">
        <v>0.04</v>
      </c>
      <c r="T445" s="497">
        <v>1.5</v>
      </c>
    </row>
    <row r="446" spans="16:20" ht="15">
      <c r="P446" s="447"/>
      <c r="Q446" s="497">
        <v>3</v>
      </c>
      <c r="R446" s="497">
        <v>0.4</v>
      </c>
      <c r="S446" s="497">
        <v>0.05</v>
      </c>
      <c r="T446" s="497">
        <v>1.5</v>
      </c>
    </row>
    <row r="447" spans="16:20" ht="15">
      <c r="P447" s="447"/>
      <c r="Q447" s="497">
        <v>3</v>
      </c>
      <c r="R447" s="497">
        <v>0.4</v>
      </c>
      <c r="S447" s="497">
        <v>0.06</v>
      </c>
      <c r="T447" s="497">
        <v>1.5</v>
      </c>
    </row>
    <row r="448" spans="16:20" ht="15">
      <c r="P448" s="447"/>
      <c r="Q448" s="497">
        <v>3</v>
      </c>
      <c r="R448" s="497">
        <v>0.4</v>
      </c>
      <c r="S448" s="497">
        <v>0.08</v>
      </c>
      <c r="T448" s="497">
        <v>1.5</v>
      </c>
    </row>
    <row r="449" spans="16:20" ht="15">
      <c r="P449" s="447"/>
      <c r="Q449" s="497">
        <v>3</v>
      </c>
      <c r="R449" s="497">
        <v>0.4</v>
      </c>
      <c r="S449" s="497">
        <v>0.1</v>
      </c>
      <c r="T449" s="497">
        <v>1.5</v>
      </c>
    </row>
    <row r="450" spans="16:20" ht="15">
      <c r="P450" s="447"/>
      <c r="Q450" s="497">
        <v>3</v>
      </c>
      <c r="R450" s="497">
        <v>0.4</v>
      </c>
      <c r="S450" s="497">
        <v>0.15</v>
      </c>
      <c r="T450" s="497">
        <v>1.5</v>
      </c>
    </row>
    <row r="451" spans="16:20" ht="15">
      <c r="P451" s="447"/>
      <c r="Q451" s="497">
        <v>3</v>
      </c>
      <c r="R451" s="497">
        <v>0.4</v>
      </c>
      <c r="S451" s="497">
        <v>0.2</v>
      </c>
      <c r="T451" s="497">
        <v>1.5</v>
      </c>
    </row>
    <row r="452" spans="16:20" ht="15">
      <c r="P452" s="447"/>
      <c r="Q452" s="497">
        <v>3</v>
      </c>
      <c r="R452" s="497">
        <v>0.4</v>
      </c>
      <c r="S452" s="497">
        <v>0.25</v>
      </c>
      <c r="T452" s="497">
        <v>1.5</v>
      </c>
    </row>
    <row r="453" spans="16:20" ht="15">
      <c r="P453" s="447"/>
      <c r="Q453" s="497">
        <v>3</v>
      </c>
      <c r="R453" s="497">
        <v>0.4</v>
      </c>
      <c r="S453" s="497">
        <v>1</v>
      </c>
      <c r="T453" s="497">
        <v>1.5</v>
      </c>
    </row>
    <row r="454" spans="16:20" ht="15">
      <c r="P454" s="447"/>
      <c r="Q454" s="497">
        <v>3</v>
      </c>
      <c r="R454" s="497">
        <v>0.40100000000000002</v>
      </c>
      <c r="S454" s="497">
        <v>0</v>
      </c>
      <c r="T454" s="497">
        <v>1.5</v>
      </c>
    </row>
    <row r="455" spans="16:20" ht="15">
      <c r="P455" s="447"/>
      <c r="Q455" s="497">
        <v>3</v>
      </c>
      <c r="R455" s="497">
        <v>0.40100000000000002</v>
      </c>
      <c r="S455" s="497">
        <v>0.02</v>
      </c>
      <c r="T455" s="497">
        <v>1.5</v>
      </c>
    </row>
    <row r="456" spans="16:20" ht="15">
      <c r="P456" s="447"/>
      <c r="Q456" s="497">
        <v>3</v>
      </c>
      <c r="R456" s="497">
        <v>0.40100000000000002</v>
      </c>
      <c r="S456" s="497">
        <v>0.04</v>
      </c>
      <c r="T456" s="497">
        <v>1.5</v>
      </c>
    </row>
    <row r="457" spans="16:20" ht="15">
      <c r="P457" s="447"/>
      <c r="Q457" s="497">
        <v>3</v>
      </c>
      <c r="R457" s="497">
        <v>0.40100000000000002</v>
      </c>
      <c r="S457" s="497">
        <v>0.05</v>
      </c>
      <c r="T457" s="497">
        <v>1.5</v>
      </c>
    </row>
    <row r="458" spans="16:20" ht="15">
      <c r="P458" s="447"/>
      <c r="Q458" s="497">
        <v>3</v>
      </c>
      <c r="R458" s="497">
        <v>0.40100000000000002</v>
      </c>
      <c r="S458" s="497">
        <v>0.06</v>
      </c>
      <c r="T458" s="497">
        <v>1.5</v>
      </c>
    </row>
    <row r="459" spans="16:20" ht="15">
      <c r="P459" s="447"/>
      <c r="Q459" s="497">
        <v>3</v>
      </c>
      <c r="R459" s="497">
        <v>0.40100000000000002</v>
      </c>
      <c r="S459" s="497">
        <v>0.08</v>
      </c>
      <c r="T459" s="497">
        <v>1.5</v>
      </c>
    </row>
    <row r="460" spans="16:20" ht="15">
      <c r="P460" s="447"/>
      <c r="Q460" s="497">
        <v>3</v>
      </c>
      <c r="R460" s="497">
        <v>0.40100000000000002</v>
      </c>
      <c r="S460" s="497">
        <v>0.1</v>
      </c>
      <c r="T460" s="497">
        <v>1.5</v>
      </c>
    </row>
    <row r="461" spans="16:20" ht="15">
      <c r="P461" s="447"/>
      <c r="Q461" s="497">
        <v>3</v>
      </c>
      <c r="R461" s="497">
        <v>0.40100000000000002</v>
      </c>
      <c r="S461" s="497">
        <v>0.15</v>
      </c>
      <c r="T461" s="497">
        <v>1.5</v>
      </c>
    </row>
    <row r="462" spans="16:20" ht="15">
      <c r="P462" s="447"/>
      <c r="Q462" s="497">
        <v>3</v>
      </c>
      <c r="R462" s="497">
        <v>0.40100000000000002</v>
      </c>
      <c r="S462" s="497">
        <v>0.2</v>
      </c>
      <c r="T462" s="497">
        <v>1.5</v>
      </c>
    </row>
    <row r="463" spans="16:20" ht="15">
      <c r="P463" s="447"/>
      <c r="Q463" s="497">
        <v>3</v>
      </c>
      <c r="R463" s="497">
        <v>0.40100000000000002</v>
      </c>
      <c r="S463" s="497">
        <v>0.25</v>
      </c>
      <c r="T463" s="497">
        <v>1.5</v>
      </c>
    </row>
    <row r="464" spans="16:20" ht="15">
      <c r="P464" s="447"/>
      <c r="Q464" s="497">
        <v>3</v>
      </c>
      <c r="R464" s="497">
        <v>0.40100000000000002</v>
      </c>
      <c r="S464" s="497">
        <v>1</v>
      </c>
      <c r="T464" s="497">
        <v>1.5</v>
      </c>
    </row>
    <row r="465" spans="16:20" ht="15">
      <c r="P465" s="447"/>
      <c r="Q465" s="497">
        <v>3</v>
      </c>
      <c r="R465" s="497">
        <v>0.5</v>
      </c>
      <c r="S465" s="497">
        <v>0</v>
      </c>
      <c r="T465" s="497">
        <v>1.5</v>
      </c>
    </row>
    <row r="466" spans="16:20" ht="15">
      <c r="P466" s="447"/>
      <c r="Q466" s="497">
        <v>3</v>
      </c>
      <c r="R466" s="497">
        <v>0.5</v>
      </c>
      <c r="S466" s="497">
        <v>0.02</v>
      </c>
      <c r="T466" s="497">
        <v>1.5</v>
      </c>
    </row>
    <row r="467" spans="16:20" ht="15">
      <c r="P467" s="447"/>
      <c r="Q467" s="497">
        <v>3</v>
      </c>
      <c r="R467" s="497">
        <v>0.5</v>
      </c>
      <c r="S467" s="497">
        <v>0.04</v>
      </c>
      <c r="T467" s="497">
        <v>1.5</v>
      </c>
    </row>
    <row r="468" spans="16:20" ht="15">
      <c r="P468" s="447"/>
      <c r="Q468" s="497">
        <v>3</v>
      </c>
      <c r="R468" s="497">
        <v>0.5</v>
      </c>
      <c r="S468" s="497">
        <v>0.05</v>
      </c>
      <c r="T468" s="497">
        <v>1.5</v>
      </c>
    </row>
    <row r="469" spans="16:20" ht="15">
      <c r="P469" s="447"/>
      <c r="Q469" s="497">
        <v>3</v>
      </c>
      <c r="R469" s="497">
        <v>0.5</v>
      </c>
      <c r="S469" s="497">
        <v>0.06</v>
      </c>
      <c r="T469" s="497">
        <v>1.5</v>
      </c>
    </row>
    <row r="470" spans="16:20" ht="15">
      <c r="P470" s="447"/>
      <c r="Q470" s="497">
        <v>3</v>
      </c>
      <c r="R470" s="497">
        <v>0.5</v>
      </c>
      <c r="S470" s="497">
        <v>0.08</v>
      </c>
      <c r="T470" s="497">
        <v>1.5</v>
      </c>
    </row>
    <row r="471" spans="16:20" ht="15">
      <c r="P471" s="447"/>
      <c r="Q471" s="497">
        <v>3</v>
      </c>
      <c r="R471" s="497">
        <v>0.5</v>
      </c>
      <c r="S471" s="497">
        <v>0.1</v>
      </c>
      <c r="T471" s="497">
        <v>1.5</v>
      </c>
    </row>
    <row r="472" spans="16:20" ht="15">
      <c r="P472" s="447"/>
      <c r="Q472" s="497">
        <v>3</v>
      </c>
      <c r="R472" s="497">
        <v>0.5</v>
      </c>
      <c r="S472" s="497">
        <v>0.15</v>
      </c>
      <c r="T472" s="497">
        <v>1.5</v>
      </c>
    </row>
    <row r="473" spans="16:20" ht="15">
      <c r="P473" s="447"/>
      <c r="Q473" s="497">
        <v>3</v>
      </c>
      <c r="R473" s="497">
        <v>0.5</v>
      </c>
      <c r="S473" s="497">
        <v>0.2</v>
      </c>
      <c r="T473" s="497">
        <v>1.5</v>
      </c>
    </row>
    <row r="474" spans="16:20" ht="15">
      <c r="P474" s="447"/>
      <c r="Q474" s="497">
        <v>3</v>
      </c>
      <c r="R474" s="497">
        <v>0.5</v>
      </c>
      <c r="S474" s="497">
        <v>0.25</v>
      </c>
      <c r="T474" s="497">
        <v>1.5</v>
      </c>
    </row>
    <row r="475" spans="16:20" ht="15">
      <c r="P475" s="447"/>
      <c r="Q475" s="497">
        <v>3</v>
      </c>
      <c r="R475" s="497">
        <v>0.5</v>
      </c>
      <c r="S475" s="497">
        <v>1</v>
      </c>
      <c r="T475" s="497">
        <v>1.5</v>
      </c>
    </row>
    <row r="476" spans="16:20" ht="15">
      <c r="P476" s="447"/>
      <c r="Q476" s="497">
        <v>3</v>
      </c>
      <c r="R476" s="497">
        <v>0.501</v>
      </c>
      <c r="S476" s="497">
        <v>0</v>
      </c>
      <c r="T476" s="497">
        <v>1.5</v>
      </c>
    </row>
    <row r="477" spans="16:20" ht="15">
      <c r="P477" s="447"/>
      <c r="Q477" s="497">
        <v>3</v>
      </c>
      <c r="R477" s="497">
        <v>0.501</v>
      </c>
      <c r="S477" s="497">
        <v>0.02</v>
      </c>
      <c r="T477" s="497">
        <v>1.5</v>
      </c>
    </row>
    <row r="478" spans="16:20" ht="15">
      <c r="P478" s="447"/>
      <c r="Q478" s="497">
        <v>3</v>
      </c>
      <c r="R478" s="497">
        <v>0.501</v>
      </c>
      <c r="S478" s="497">
        <v>0.04</v>
      </c>
      <c r="T478" s="497">
        <v>1.5</v>
      </c>
    </row>
    <row r="479" spans="16:20" ht="15">
      <c r="P479" s="447"/>
      <c r="Q479" s="497">
        <v>3</v>
      </c>
      <c r="R479" s="497">
        <v>0.501</v>
      </c>
      <c r="S479" s="497">
        <v>0.05</v>
      </c>
      <c r="T479" s="497">
        <v>1.5</v>
      </c>
    </row>
    <row r="480" spans="16:20" ht="15">
      <c r="P480" s="447"/>
      <c r="Q480" s="497">
        <v>3</v>
      </c>
      <c r="R480" s="497">
        <v>0.501</v>
      </c>
      <c r="S480" s="497">
        <v>0.06</v>
      </c>
      <c r="T480" s="497">
        <v>1.5</v>
      </c>
    </row>
    <row r="481" spans="16:20" ht="15">
      <c r="P481" s="447"/>
      <c r="Q481" s="497">
        <v>3</v>
      </c>
      <c r="R481" s="497">
        <v>0.501</v>
      </c>
      <c r="S481" s="497">
        <v>0.08</v>
      </c>
      <c r="T481" s="497">
        <v>1.5</v>
      </c>
    </row>
    <row r="482" spans="16:20" ht="15">
      <c r="P482" s="447"/>
      <c r="Q482" s="497">
        <v>3</v>
      </c>
      <c r="R482" s="497">
        <v>0.501</v>
      </c>
      <c r="S482" s="497">
        <v>0.1</v>
      </c>
      <c r="T482" s="497">
        <v>1.5</v>
      </c>
    </row>
    <row r="483" spans="16:20" ht="15">
      <c r="P483" s="447"/>
      <c r="Q483" s="497">
        <v>3</v>
      </c>
      <c r="R483" s="497">
        <v>0.501</v>
      </c>
      <c r="S483" s="497">
        <v>0.15</v>
      </c>
      <c r="T483" s="497">
        <v>1.5</v>
      </c>
    </row>
    <row r="484" spans="16:20" ht="15">
      <c r="P484" s="447"/>
      <c r="Q484" s="497">
        <v>3</v>
      </c>
      <c r="R484" s="497">
        <v>0.501</v>
      </c>
      <c r="S484" s="497">
        <v>0.2</v>
      </c>
      <c r="T484" s="497">
        <v>1.5</v>
      </c>
    </row>
    <row r="485" spans="16:20" ht="15">
      <c r="P485" s="447"/>
      <c r="Q485" s="497">
        <v>3</v>
      </c>
      <c r="R485" s="497">
        <v>0.501</v>
      </c>
      <c r="S485" s="497">
        <v>0.25</v>
      </c>
      <c r="T485" s="497">
        <v>1.5</v>
      </c>
    </row>
    <row r="486" spans="16:20" ht="15">
      <c r="P486" s="447"/>
      <c r="Q486" s="497">
        <v>3</v>
      </c>
      <c r="R486" s="497">
        <v>0.501</v>
      </c>
      <c r="S486" s="497">
        <v>1</v>
      </c>
      <c r="T486" s="497">
        <v>1.5</v>
      </c>
    </row>
    <row r="487" spans="16:20" ht="15">
      <c r="P487" s="447"/>
      <c r="Q487" s="497">
        <v>3</v>
      </c>
      <c r="R487" s="497">
        <v>0.8</v>
      </c>
      <c r="S487" s="497">
        <v>0</v>
      </c>
      <c r="T487" s="497">
        <v>1.5</v>
      </c>
    </row>
    <row r="488" spans="16:20" ht="15">
      <c r="P488" s="447"/>
      <c r="Q488" s="497">
        <v>3</v>
      </c>
      <c r="R488" s="497">
        <v>0.8</v>
      </c>
      <c r="S488" s="497">
        <v>0.02</v>
      </c>
      <c r="T488" s="497">
        <v>1.5</v>
      </c>
    </row>
    <row r="489" spans="16:20" ht="15">
      <c r="P489" s="447"/>
      <c r="Q489" s="497">
        <v>3</v>
      </c>
      <c r="R489" s="497">
        <v>0.8</v>
      </c>
      <c r="S489" s="497">
        <v>0.04</v>
      </c>
      <c r="T489" s="497">
        <v>1.5</v>
      </c>
    </row>
    <row r="490" spans="16:20" ht="15">
      <c r="P490" s="447"/>
      <c r="Q490" s="497">
        <v>3</v>
      </c>
      <c r="R490" s="497">
        <v>0.8</v>
      </c>
      <c r="S490" s="497">
        <v>0.05</v>
      </c>
      <c r="T490" s="497">
        <v>1.5</v>
      </c>
    </row>
    <row r="491" spans="16:20" ht="15">
      <c r="P491" s="447"/>
      <c r="Q491" s="497">
        <v>3</v>
      </c>
      <c r="R491" s="497">
        <v>0.8</v>
      </c>
      <c r="S491" s="497">
        <v>0.06</v>
      </c>
      <c r="T491" s="497">
        <v>1.5</v>
      </c>
    </row>
    <row r="492" spans="16:20" ht="15">
      <c r="P492" s="447"/>
      <c r="Q492" s="497">
        <v>3</v>
      </c>
      <c r="R492" s="497">
        <v>0.8</v>
      </c>
      <c r="S492" s="497">
        <v>0.08</v>
      </c>
      <c r="T492" s="497">
        <v>1.5</v>
      </c>
    </row>
    <row r="493" spans="16:20" ht="15">
      <c r="P493" s="447"/>
      <c r="Q493" s="497">
        <v>3</v>
      </c>
      <c r="R493" s="497">
        <v>0.8</v>
      </c>
      <c r="S493" s="497">
        <v>0.1</v>
      </c>
      <c r="T493" s="497">
        <v>1.5</v>
      </c>
    </row>
    <row r="494" spans="16:20" ht="15">
      <c r="P494" s="447"/>
      <c r="Q494" s="497">
        <v>3</v>
      </c>
      <c r="R494" s="497">
        <v>0.8</v>
      </c>
      <c r="S494" s="497">
        <v>0.15</v>
      </c>
      <c r="T494" s="497">
        <v>1.5</v>
      </c>
    </row>
    <row r="495" spans="16:20" ht="15">
      <c r="P495" s="447"/>
      <c r="Q495" s="497">
        <v>3</v>
      </c>
      <c r="R495" s="497">
        <v>0.8</v>
      </c>
      <c r="S495" s="497">
        <v>0.2</v>
      </c>
      <c r="T495" s="497">
        <v>1.5</v>
      </c>
    </row>
    <row r="496" spans="16:20" ht="15">
      <c r="P496" s="447"/>
      <c r="Q496" s="497">
        <v>3</v>
      </c>
      <c r="R496" s="497">
        <v>0.8</v>
      </c>
      <c r="S496" s="497">
        <v>0.25</v>
      </c>
      <c r="T496" s="497">
        <v>1.5</v>
      </c>
    </row>
    <row r="497" spans="16:20" ht="15">
      <c r="P497" s="447"/>
      <c r="Q497" s="497">
        <v>3</v>
      </c>
      <c r="R497" s="497">
        <v>0.8</v>
      </c>
      <c r="S497" s="497">
        <v>1</v>
      </c>
      <c r="T497" s="497">
        <v>1.5</v>
      </c>
    </row>
    <row r="498" spans="16:20" ht="15">
      <c r="P498" s="447"/>
      <c r="Q498" s="497">
        <v>3</v>
      </c>
      <c r="R498" s="497">
        <v>0.80100000000000005</v>
      </c>
      <c r="S498" s="497">
        <v>0</v>
      </c>
      <c r="T498" s="497">
        <v>1.5</v>
      </c>
    </row>
    <row r="499" spans="16:20" ht="15">
      <c r="P499" s="447"/>
      <c r="Q499" s="497">
        <v>3</v>
      </c>
      <c r="R499" s="497">
        <v>0.80100000000000005</v>
      </c>
      <c r="S499" s="497">
        <v>0.02</v>
      </c>
      <c r="T499" s="497">
        <v>1.5</v>
      </c>
    </row>
    <row r="500" spans="16:20" ht="15">
      <c r="P500" s="447"/>
      <c r="Q500" s="497">
        <v>3</v>
      </c>
      <c r="R500" s="497">
        <v>0.80100000000000005</v>
      </c>
      <c r="S500" s="497">
        <v>0.04</v>
      </c>
      <c r="T500" s="497">
        <v>1.5</v>
      </c>
    </row>
    <row r="501" spans="16:20" ht="15">
      <c r="P501" s="447"/>
      <c r="Q501" s="497">
        <v>3</v>
      </c>
      <c r="R501" s="497">
        <v>0.80100000000000005</v>
      </c>
      <c r="S501" s="497">
        <v>0.05</v>
      </c>
      <c r="T501" s="497">
        <v>1.5</v>
      </c>
    </row>
    <row r="502" spans="16:20" ht="15">
      <c r="P502" s="447"/>
      <c r="Q502" s="497">
        <v>3</v>
      </c>
      <c r="R502" s="497">
        <v>0.80100000000000005</v>
      </c>
      <c r="S502" s="497">
        <v>0.06</v>
      </c>
      <c r="T502" s="497">
        <v>1.5</v>
      </c>
    </row>
    <row r="503" spans="16:20" ht="15">
      <c r="P503" s="447"/>
      <c r="Q503" s="497">
        <v>3</v>
      </c>
      <c r="R503" s="497">
        <v>0.80100000000000005</v>
      </c>
      <c r="S503" s="497">
        <v>0.08</v>
      </c>
      <c r="T503" s="497">
        <v>1.5</v>
      </c>
    </row>
    <row r="504" spans="16:20" ht="15">
      <c r="P504" s="447"/>
      <c r="Q504" s="497">
        <v>3</v>
      </c>
      <c r="R504" s="497">
        <v>0.80100000000000005</v>
      </c>
      <c r="S504" s="497">
        <v>0.1</v>
      </c>
      <c r="T504" s="497">
        <v>1.5</v>
      </c>
    </row>
    <row r="505" spans="16:20" ht="15">
      <c r="P505" s="447"/>
      <c r="Q505" s="497">
        <v>3</v>
      </c>
      <c r="R505" s="497">
        <v>0.80100000000000005</v>
      </c>
      <c r="S505" s="497">
        <v>0.15</v>
      </c>
      <c r="T505" s="497">
        <v>1.5</v>
      </c>
    </row>
    <row r="506" spans="16:20" ht="15">
      <c r="P506" s="447"/>
      <c r="Q506" s="497">
        <v>3</v>
      </c>
      <c r="R506" s="497">
        <v>0.80100000000000005</v>
      </c>
      <c r="S506" s="497">
        <v>0.2</v>
      </c>
      <c r="T506" s="497">
        <v>1.5</v>
      </c>
    </row>
    <row r="507" spans="16:20" ht="15">
      <c r="P507" s="447"/>
      <c r="Q507" s="497">
        <v>3</v>
      </c>
      <c r="R507" s="497">
        <v>0.80100000000000005</v>
      </c>
      <c r="S507" s="497">
        <v>0.25</v>
      </c>
      <c r="T507" s="497">
        <v>1.5</v>
      </c>
    </row>
    <row r="508" spans="16:20" ht="15">
      <c r="P508" s="447"/>
      <c r="Q508" s="497">
        <v>3</v>
      </c>
      <c r="R508" s="497">
        <v>0.80100000000000005</v>
      </c>
      <c r="S508" s="497">
        <v>1</v>
      </c>
      <c r="T508" s="497">
        <v>1.5</v>
      </c>
    </row>
    <row r="509" spans="16:20" ht="15">
      <c r="P509" s="447"/>
      <c r="Q509" s="497">
        <v>3</v>
      </c>
      <c r="R509" s="497">
        <v>1.2</v>
      </c>
      <c r="S509" s="497">
        <v>0</v>
      </c>
      <c r="T509" s="497">
        <v>1.5</v>
      </c>
    </row>
    <row r="510" spans="16:20" ht="15">
      <c r="P510" s="447"/>
      <c r="Q510" s="497">
        <v>3</v>
      </c>
      <c r="R510" s="497">
        <v>1.2</v>
      </c>
      <c r="S510" s="497">
        <v>0.02</v>
      </c>
      <c r="T510" s="497">
        <v>1.5</v>
      </c>
    </row>
    <row r="511" spans="16:20" ht="15">
      <c r="P511" s="447"/>
      <c r="Q511" s="497">
        <v>3</v>
      </c>
      <c r="R511" s="497">
        <v>1.2</v>
      </c>
      <c r="S511" s="497">
        <v>0.04</v>
      </c>
      <c r="T511" s="497">
        <v>1.5</v>
      </c>
    </row>
    <row r="512" spans="16:20" ht="15">
      <c r="P512" s="447"/>
      <c r="Q512" s="497">
        <v>3</v>
      </c>
      <c r="R512" s="497">
        <v>1.2</v>
      </c>
      <c r="S512" s="497">
        <v>0.05</v>
      </c>
      <c r="T512" s="497">
        <v>1.5</v>
      </c>
    </row>
    <row r="513" spans="16:20" ht="15">
      <c r="P513" s="447"/>
      <c r="Q513" s="497">
        <v>3</v>
      </c>
      <c r="R513" s="497">
        <v>1.2</v>
      </c>
      <c r="S513" s="497">
        <v>0.06</v>
      </c>
      <c r="T513" s="497">
        <v>1.5</v>
      </c>
    </row>
    <row r="514" spans="16:20" ht="15">
      <c r="P514" s="447"/>
      <c r="Q514" s="497">
        <v>3</v>
      </c>
      <c r="R514" s="497">
        <v>1.2</v>
      </c>
      <c r="S514" s="497">
        <v>0.08</v>
      </c>
      <c r="T514" s="497">
        <v>1.5</v>
      </c>
    </row>
    <row r="515" spans="16:20" ht="15">
      <c r="P515" s="447"/>
      <c r="Q515" s="497">
        <v>3</v>
      </c>
      <c r="R515" s="497">
        <v>1.2</v>
      </c>
      <c r="S515" s="497">
        <v>0.1</v>
      </c>
      <c r="T515" s="497">
        <v>1.5</v>
      </c>
    </row>
    <row r="516" spans="16:20" ht="15">
      <c r="P516" s="447"/>
      <c r="Q516" s="497">
        <v>3</v>
      </c>
      <c r="R516" s="497">
        <v>1.2</v>
      </c>
      <c r="S516" s="497">
        <v>0.15</v>
      </c>
      <c r="T516" s="497">
        <v>1.5</v>
      </c>
    </row>
    <row r="517" spans="16:20" ht="15">
      <c r="P517" s="447"/>
      <c r="Q517" s="497">
        <v>3</v>
      </c>
      <c r="R517" s="497">
        <v>1.2</v>
      </c>
      <c r="S517" s="497">
        <v>0.2</v>
      </c>
      <c r="T517" s="497">
        <v>1.5</v>
      </c>
    </row>
    <row r="518" spans="16:20" ht="15">
      <c r="P518" s="447"/>
      <c r="Q518" s="497">
        <v>3</v>
      </c>
      <c r="R518" s="497">
        <v>1.2</v>
      </c>
      <c r="S518" s="497">
        <v>0.25</v>
      </c>
      <c r="T518" s="497">
        <v>1.5</v>
      </c>
    </row>
    <row r="519" spans="16:20" ht="15">
      <c r="P519" s="447"/>
      <c r="Q519" s="497">
        <v>3</v>
      </c>
      <c r="R519" s="497">
        <v>1.2</v>
      </c>
      <c r="S519" s="497">
        <v>1</v>
      </c>
      <c r="T519" s="497">
        <v>1.5</v>
      </c>
    </row>
    <row r="520" spans="16:20" ht="15">
      <c r="P520" s="447"/>
      <c r="Q520" s="497">
        <v>3</v>
      </c>
      <c r="R520" s="497">
        <v>1.2010000000000001</v>
      </c>
      <c r="S520" s="497">
        <v>0</v>
      </c>
      <c r="T520" s="497">
        <v>2</v>
      </c>
    </row>
    <row r="521" spans="16:20" ht="15">
      <c r="P521" s="447"/>
      <c r="Q521" s="497">
        <v>3</v>
      </c>
      <c r="R521" s="497">
        <v>1.2010000000000001</v>
      </c>
      <c r="S521" s="497">
        <v>0.02</v>
      </c>
      <c r="T521" s="497">
        <v>2</v>
      </c>
    </row>
    <row r="522" spans="16:20" ht="15">
      <c r="P522" s="447"/>
      <c r="Q522" s="497">
        <v>3</v>
      </c>
      <c r="R522" s="497">
        <v>1.2010000000000001</v>
      </c>
      <c r="S522" s="497">
        <v>0.04</v>
      </c>
      <c r="T522" s="497">
        <v>2</v>
      </c>
    </row>
    <row r="523" spans="16:20" ht="15">
      <c r="P523" s="447"/>
      <c r="Q523" s="497">
        <v>3</v>
      </c>
      <c r="R523" s="497">
        <v>1.2010000000000001</v>
      </c>
      <c r="S523" s="497">
        <v>0.05</v>
      </c>
      <c r="T523" s="497">
        <v>2</v>
      </c>
    </row>
    <row r="524" spans="16:20" ht="15">
      <c r="P524" s="447"/>
      <c r="Q524" s="497">
        <v>3</v>
      </c>
      <c r="R524" s="497">
        <v>1.2010000000000001</v>
      </c>
      <c r="S524" s="497">
        <v>0.06</v>
      </c>
      <c r="T524" s="497">
        <v>2</v>
      </c>
    </row>
    <row r="525" spans="16:20" ht="15">
      <c r="P525" s="447"/>
      <c r="Q525" s="497">
        <v>3</v>
      </c>
      <c r="R525" s="497">
        <v>1.2010000000000001</v>
      </c>
      <c r="S525" s="497">
        <v>0.08</v>
      </c>
      <c r="T525" s="497">
        <v>1.5</v>
      </c>
    </row>
    <row r="526" spans="16:20" ht="15">
      <c r="P526" s="447"/>
      <c r="Q526" s="497">
        <v>3</v>
      </c>
      <c r="R526" s="497">
        <v>1.2010000000000001</v>
      </c>
      <c r="S526" s="497">
        <v>0.1</v>
      </c>
      <c r="T526" s="497">
        <v>1.5</v>
      </c>
    </row>
    <row r="527" spans="16:20" ht="15">
      <c r="P527" s="447"/>
      <c r="Q527" s="497">
        <v>3</v>
      </c>
      <c r="R527" s="497">
        <v>1.2010000000000001</v>
      </c>
      <c r="S527" s="497">
        <v>0.15</v>
      </c>
      <c r="T527" s="497">
        <v>1.5</v>
      </c>
    </row>
    <row r="528" spans="16:20" ht="15">
      <c r="P528" s="447"/>
      <c r="Q528" s="497">
        <v>3</v>
      </c>
      <c r="R528" s="497">
        <v>1.2010000000000001</v>
      </c>
      <c r="S528" s="497">
        <v>0.2</v>
      </c>
      <c r="T528" s="497">
        <v>1.5</v>
      </c>
    </row>
    <row r="529" spans="16:20" ht="15">
      <c r="P529" s="447"/>
      <c r="Q529" s="497">
        <v>3</v>
      </c>
      <c r="R529" s="497">
        <v>1.2010000000000001</v>
      </c>
      <c r="S529" s="497">
        <v>0.25</v>
      </c>
      <c r="T529" s="497">
        <v>1.5</v>
      </c>
    </row>
    <row r="530" spans="16:20" ht="15">
      <c r="P530" s="447"/>
      <c r="Q530" s="497">
        <v>3</v>
      </c>
      <c r="R530" s="497">
        <v>1.2010000000000001</v>
      </c>
      <c r="S530" s="497">
        <v>1</v>
      </c>
      <c r="T530" s="497">
        <v>1.5</v>
      </c>
    </row>
    <row r="531" spans="16:20" ht="15">
      <c r="P531" s="447"/>
      <c r="Q531" s="497">
        <v>3</v>
      </c>
      <c r="R531" s="497">
        <v>1.6</v>
      </c>
      <c r="S531" s="497">
        <v>0</v>
      </c>
      <c r="T531" s="497">
        <v>2</v>
      </c>
    </row>
    <row r="532" spans="16:20" ht="15">
      <c r="P532" s="447"/>
      <c r="Q532" s="497">
        <v>3</v>
      </c>
      <c r="R532" s="497">
        <v>1.6</v>
      </c>
      <c r="S532" s="497">
        <v>0.02</v>
      </c>
      <c r="T532" s="497">
        <v>2</v>
      </c>
    </row>
    <row r="533" spans="16:20" ht="15">
      <c r="P533" s="447"/>
      <c r="Q533" s="497">
        <v>3</v>
      </c>
      <c r="R533" s="497">
        <v>1.6</v>
      </c>
      <c r="S533" s="497">
        <v>0.04</v>
      </c>
      <c r="T533" s="497">
        <v>2</v>
      </c>
    </row>
    <row r="534" spans="16:20" ht="15">
      <c r="P534" s="447"/>
      <c r="Q534" s="497">
        <v>3</v>
      </c>
      <c r="R534" s="497">
        <v>1.6</v>
      </c>
      <c r="S534" s="497">
        <v>0.05</v>
      </c>
      <c r="T534" s="497">
        <v>2</v>
      </c>
    </row>
    <row r="535" spans="16:20" ht="15">
      <c r="P535" s="447"/>
      <c r="Q535" s="497">
        <v>3</v>
      </c>
      <c r="R535" s="497">
        <v>1.6</v>
      </c>
      <c r="S535" s="497">
        <v>0.06</v>
      </c>
      <c r="T535" s="497">
        <v>2</v>
      </c>
    </row>
    <row r="536" spans="16:20" ht="15">
      <c r="P536" s="447"/>
      <c r="Q536" s="497">
        <v>3</v>
      </c>
      <c r="R536" s="497">
        <v>1.6</v>
      </c>
      <c r="S536" s="497">
        <v>0.08</v>
      </c>
      <c r="T536" s="497">
        <v>1.5</v>
      </c>
    </row>
    <row r="537" spans="16:20" ht="15">
      <c r="P537" s="447"/>
      <c r="Q537" s="497">
        <v>3</v>
      </c>
      <c r="R537" s="497">
        <v>1.6</v>
      </c>
      <c r="S537" s="497">
        <v>0.1</v>
      </c>
      <c r="T537" s="497">
        <v>1.5</v>
      </c>
    </row>
    <row r="538" spans="16:20" ht="15">
      <c r="P538" s="447"/>
      <c r="Q538" s="497">
        <v>3</v>
      </c>
      <c r="R538" s="497">
        <v>1.6</v>
      </c>
      <c r="S538" s="497">
        <v>0.15</v>
      </c>
      <c r="T538" s="497">
        <v>1.5</v>
      </c>
    </row>
    <row r="539" spans="16:20" ht="15">
      <c r="P539" s="447"/>
      <c r="Q539" s="497">
        <v>3</v>
      </c>
      <c r="R539" s="497">
        <v>1.6</v>
      </c>
      <c r="S539" s="497">
        <v>0.2</v>
      </c>
      <c r="T539" s="497">
        <v>1.5</v>
      </c>
    </row>
    <row r="540" spans="16:20" ht="15">
      <c r="P540" s="447"/>
      <c r="Q540" s="497">
        <v>3</v>
      </c>
      <c r="R540" s="497">
        <v>1.6</v>
      </c>
      <c r="S540" s="497">
        <v>0.25</v>
      </c>
      <c r="T540" s="497">
        <v>1.5</v>
      </c>
    </row>
    <row r="541" spans="16:20" ht="15">
      <c r="P541" s="447"/>
      <c r="Q541" s="497">
        <v>3</v>
      </c>
      <c r="R541" s="497">
        <v>1.6</v>
      </c>
      <c r="S541" s="497">
        <v>1</v>
      </c>
      <c r="T541" s="497">
        <v>1.5</v>
      </c>
    </row>
    <row r="542" spans="16:20" ht="15">
      <c r="P542" s="447"/>
      <c r="Q542" s="497">
        <v>3</v>
      </c>
      <c r="R542" s="497">
        <v>1.601</v>
      </c>
      <c r="S542" s="497">
        <v>0</v>
      </c>
      <c r="T542" s="497">
        <v>2.5</v>
      </c>
    </row>
    <row r="543" spans="16:20" ht="15">
      <c r="P543" s="447"/>
      <c r="Q543" s="497">
        <v>3</v>
      </c>
      <c r="R543" s="497">
        <v>1.601</v>
      </c>
      <c r="S543" s="497">
        <v>0.02</v>
      </c>
      <c r="T543" s="497">
        <v>2.5</v>
      </c>
    </row>
    <row r="544" spans="16:20" ht="15">
      <c r="P544" s="447"/>
      <c r="Q544" s="497">
        <v>3</v>
      </c>
      <c r="R544" s="497">
        <v>1.601</v>
      </c>
      <c r="S544" s="497">
        <v>0.04</v>
      </c>
      <c r="T544" s="497">
        <v>2.5</v>
      </c>
    </row>
    <row r="545" spans="16:20" ht="15">
      <c r="P545" s="447"/>
      <c r="Q545" s="497">
        <v>3</v>
      </c>
      <c r="R545" s="497">
        <v>1.601</v>
      </c>
      <c r="S545" s="497">
        <v>0.05</v>
      </c>
      <c r="T545" s="497">
        <v>2.5</v>
      </c>
    </row>
    <row r="546" spans="16:20" ht="15">
      <c r="P546" s="447"/>
      <c r="Q546" s="497">
        <v>3</v>
      </c>
      <c r="R546" s="497">
        <v>1.601</v>
      </c>
      <c r="S546" s="497">
        <v>0.06</v>
      </c>
      <c r="T546" s="497">
        <v>2.5</v>
      </c>
    </row>
    <row r="547" spans="16:20" ht="15">
      <c r="P547" s="447"/>
      <c r="Q547" s="497">
        <v>3</v>
      </c>
      <c r="R547" s="497">
        <v>1.601</v>
      </c>
      <c r="S547" s="497">
        <v>0.08</v>
      </c>
      <c r="T547" s="497">
        <v>2</v>
      </c>
    </row>
    <row r="548" spans="16:20" ht="15">
      <c r="P548" s="447"/>
      <c r="Q548" s="497">
        <v>3</v>
      </c>
      <c r="R548" s="497">
        <v>1.601</v>
      </c>
      <c r="S548" s="497">
        <v>0.1</v>
      </c>
      <c r="T548" s="497">
        <v>2</v>
      </c>
    </row>
    <row r="549" spans="16:20" ht="15">
      <c r="P549" s="447"/>
      <c r="Q549" s="497">
        <v>3</v>
      </c>
      <c r="R549" s="497">
        <v>1.601</v>
      </c>
      <c r="S549" s="497">
        <v>0.15</v>
      </c>
      <c r="T549" s="497">
        <v>2</v>
      </c>
    </row>
    <row r="550" spans="16:20" ht="15">
      <c r="P550" s="447"/>
      <c r="Q550" s="497">
        <v>3</v>
      </c>
      <c r="R550" s="497">
        <v>1.601</v>
      </c>
      <c r="S550" s="497">
        <v>0.2</v>
      </c>
      <c r="T550" s="497">
        <v>2</v>
      </c>
    </row>
    <row r="551" spans="16:20" ht="15">
      <c r="P551" s="447"/>
      <c r="Q551" s="497">
        <v>3</v>
      </c>
      <c r="R551" s="497">
        <v>1.601</v>
      </c>
      <c r="S551" s="497">
        <v>0.25</v>
      </c>
      <c r="T551" s="497">
        <v>2</v>
      </c>
    </row>
    <row r="552" spans="16:20" ht="15">
      <c r="P552" s="447"/>
      <c r="Q552" s="497">
        <v>3</v>
      </c>
      <c r="R552" s="497">
        <v>1.601</v>
      </c>
      <c r="S552" s="497">
        <v>1</v>
      </c>
      <c r="T552" s="497">
        <v>2</v>
      </c>
    </row>
    <row r="553" spans="16:20" ht="15">
      <c r="P553" s="447"/>
      <c r="Q553" s="497">
        <v>3</v>
      </c>
      <c r="R553" s="497">
        <v>2.4</v>
      </c>
      <c r="S553" s="497">
        <v>0</v>
      </c>
      <c r="T553" s="497">
        <v>3</v>
      </c>
    </row>
    <row r="554" spans="16:20" ht="15">
      <c r="P554" s="447"/>
      <c r="Q554" s="497">
        <v>3</v>
      </c>
      <c r="R554" s="497">
        <v>2.4</v>
      </c>
      <c r="S554" s="497">
        <v>0.02</v>
      </c>
      <c r="T554" s="497">
        <v>3</v>
      </c>
    </row>
    <row r="555" spans="16:20" ht="15">
      <c r="P555" s="447"/>
      <c r="Q555" s="497">
        <v>3</v>
      </c>
      <c r="R555" s="497">
        <v>2.4</v>
      </c>
      <c r="S555" s="497">
        <v>0.04</v>
      </c>
      <c r="T555" s="497">
        <v>3</v>
      </c>
    </row>
    <row r="556" spans="16:20" ht="15">
      <c r="P556" s="447"/>
      <c r="Q556" s="497">
        <v>3</v>
      </c>
      <c r="R556" s="497">
        <v>2.4</v>
      </c>
      <c r="S556" s="497">
        <v>0.05</v>
      </c>
      <c r="T556" s="497">
        <v>2.5</v>
      </c>
    </row>
    <row r="557" spans="16:20" ht="15">
      <c r="P557" s="447"/>
      <c r="Q557" s="497">
        <v>3</v>
      </c>
      <c r="R557" s="497">
        <v>2.4</v>
      </c>
      <c r="S557" s="497">
        <v>0.06</v>
      </c>
      <c r="T557" s="497">
        <v>2.5</v>
      </c>
    </row>
    <row r="558" spans="16:20" ht="15">
      <c r="P558" s="447"/>
      <c r="Q558" s="497">
        <v>3</v>
      </c>
      <c r="R558" s="497">
        <v>2.4</v>
      </c>
      <c r="S558" s="497">
        <v>0.08</v>
      </c>
      <c r="T558" s="497">
        <v>2</v>
      </c>
    </row>
    <row r="559" spans="16:20" ht="15">
      <c r="P559" s="447"/>
      <c r="Q559" s="497">
        <v>3</v>
      </c>
      <c r="R559" s="497">
        <v>2.4</v>
      </c>
      <c r="S559" s="497">
        <v>0.1</v>
      </c>
      <c r="T559" s="497">
        <v>2</v>
      </c>
    </row>
    <row r="560" spans="16:20" ht="15">
      <c r="P560" s="447"/>
      <c r="Q560" s="497">
        <v>3</v>
      </c>
      <c r="R560" s="497">
        <v>2.4</v>
      </c>
      <c r="S560" s="497">
        <v>0.15</v>
      </c>
      <c r="T560" s="497">
        <v>2</v>
      </c>
    </row>
    <row r="561" spans="16:20" ht="15">
      <c r="P561" s="447"/>
      <c r="Q561" s="497">
        <v>3</v>
      </c>
      <c r="R561" s="497">
        <v>2.4</v>
      </c>
      <c r="S561" s="497">
        <v>0.2</v>
      </c>
      <c r="T561" s="497">
        <v>2</v>
      </c>
    </row>
    <row r="562" spans="16:20" ht="15">
      <c r="P562" s="447"/>
      <c r="Q562" s="497">
        <v>3</v>
      </c>
      <c r="R562" s="497">
        <v>2.4</v>
      </c>
      <c r="S562" s="497">
        <v>0.25</v>
      </c>
      <c r="T562" s="497">
        <v>2</v>
      </c>
    </row>
    <row r="563" spans="16:20" ht="15">
      <c r="P563" s="447"/>
      <c r="Q563" s="497">
        <v>3</v>
      </c>
      <c r="R563" s="497">
        <v>2.4</v>
      </c>
      <c r="S563" s="497">
        <v>1</v>
      </c>
      <c r="T563" s="497">
        <v>2</v>
      </c>
    </row>
    <row r="564" spans="16:20" ht="15">
      <c r="P564" s="447"/>
      <c r="Q564" s="497">
        <v>3</v>
      </c>
      <c r="R564" s="497">
        <v>100</v>
      </c>
      <c r="S564" s="497">
        <v>0</v>
      </c>
      <c r="T564" s="497">
        <v>3</v>
      </c>
    </row>
    <row r="565" spans="16:20" ht="15">
      <c r="P565" s="447"/>
      <c r="Q565" s="497">
        <v>3</v>
      </c>
      <c r="R565" s="497">
        <v>100</v>
      </c>
      <c r="S565" s="497">
        <v>0.02</v>
      </c>
      <c r="T565" s="497">
        <v>3</v>
      </c>
    </row>
    <row r="566" spans="16:20" ht="15">
      <c r="P566" s="447"/>
      <c r="Q566" s="497">
        <v>3</v>
      </c>
      <c r="R566" s="497">
        <v>100</v>
      </c>
      <c r="S566" s="497">
        <v>0.04</v>
      </c>
      <c r="T566" s="497">
        <v>3</v>
      </c>
    </row>
    <row r="567" spans="16:20" ht="15">
      <c r="P567" s="447"/>
      <c r="Q567" s="497">
        <v>3</v>
      </c>
      <c r="R567" s="497">
        <v>100</v>
      </c>
      <c r="S567" s="497">
        <v>0.05</v>
      </c>
      <c r="T567" s="497">
        <v>2.5</v>
      </c>
    </row>
    <row r="568" spans="16:20" ht="15">
      <c r="P568" s="447"/>
      <c r="Q568" s="497">
        <v>3</v>
      </c>
      <c r="R568" s="497">
        <v>100</v>
      </c>
      <c r="S568" s="497">
        <v>0.06</v>
      </c>
      <c r="T568" s="497">
        <v>2.5</v>
      </c>
    </row>
    <row r="569" spans="16:20" ht="15">
      <c r="P569" s="447"/>
      <c r="Q569" s="497">
        <v>3</v>
      </c>
      <c r="R569" s="497">
        <v>100</v>
      </c>
      <c r="S569" s="497">
        <v>0.08</v>
      </c>
      <c r="T569" s="497">
        <v>2</v>
      </c>
    </row>
    <row r="570" spans="16:20" ht="15">
      <c r="P570" s="447"/>
      <c r="Q570" s="497">
        <v>3</v>
      </c>
      <c r="R570" s="497">
        <v>100</v>
      </c>
      <c r="S570" s="497">
        <v>0.1</v>
      </c>
      <c r="T570" s="497">
        <v>2</v>
      </c>
    </row>
    <row r="571" spans="16:20" ht="15">
      <c r="P571" s="447"/>
      <c r="Q571" s="497">
        <v>3</v>
      </c>
      <c r="R571" s="497">
        <v>100</v>
      </c>
      <c r="S571" s="497">
        <v>0.15</v>
      </c>
      <c r="T571" s="497">
        <v>2</v>
      </c>
    </row>
    <row r="572" spans="16:20" ht="15">
      <c r="P572" s="447"/>
      <c r="Q572" s="497">
        <v>3</v>
      </c>
      <c r="R572" s="497">
        <v>100</v>
      </c>
      <c r="S572" s="497">
        <v>0.2</v>
      </c>
      <c r="T572" s="497">
        <v>2</v>
      </c>
    </row>
    <row r="573" spans="16:20" ht="15">
      <c r="P573" s="447"/>
      <c r="Q573" s="497">
        <v>3</v>
      </c>
      <c r="R573" s="497">
        <v>100</v>
      </c>
      <c r="S573" s="497">
        <v>0.25</v>
      </c>
      <c r="T573" s="497">
        <v>2</v>
      </c>
    </row>
    <row r="574" spans="16:20" ht="15">
      <c r="P574" s="447"/>
      <c r="Q574" s="497">
        <v>3</v>
      </c>
      <c r="R574" s="497">
        <v>100</v>
      </c>
      <c r="S574" s="497">
        <v>1</v>
      </c>
      <c r="T574" s="497">
        <v>2</v>
      </c>
    </row>
    <row r="575" spans="16:20" ht="15">
      <c r="P575" s="447"/>
      <c r="Q575" s="497">
        <v>3.01</v>
      </c>
      <c r="R575" s="497">
        <v>0</v>
      </c>
      <c r="S575" s="497">
        <v>0</v>
      </c>
      <c r="T575" s="497">
        <v>1.5</v>
      </c>
    </row>
    <row r="576" spans="16:20" ht="15">
      <c r="P576" s="447"/>
      <c r="Q576" s="497">
        <v>3.01</v>
      </c>
      <c r="R576" s="497">
        <v>0</v>
      </c>
      <c r="S576" s="497">
        <v>0.02</v>
      </c>
      <c r="T576" s="497">
        <v>1.5</v>
      </c>
    </row>
    <row r="577" spans="16:20" ht="15">
      <c r="P577" s="447"/>
      <c r="Q577" s="497">
        <v>3.01</v>
      </c>
      <c r="R577" s="497">
        <v>0</v>
      </c>
      <c r="S577" s="497">
        <v>0.04</v>
      </c>
      <c r="T577" s="497">
        <v>1.5</v>
      </c>
    </row>
    <row r="578" spans="16:20" ht="15">
      <c r="P578" s="447"/>
      <c r="Q578" s="497">
        <v>3.01</v>
      </c>
      <c r="R578" s="497">
        <v>0</v>
      </c>
      <c r="S578" s="497">
        <v>0.05</v>
      </c>
      <c r="T578" s="497">
        <v>1.5</v>
      </c>
    </row>
    <row r="579" spans="16:20" ht="15">
      <c r="P579" s="447"/>
      <c r="Q579" s="497">
        <v>3.01</v>
      </c>
      <c r="R579" s="497">
        <v>0</v>
      </c>
      <c r="S579" s="497">
        <v>0.06</v>
      </c>
      <c r="T579" s="497">
        <v>1.5</v>
      </c>
    </row>
    <row r="580" spans="16:20" ht="15">
      <c r="P580" s="447"/>
      <c r="Q580" s="497">
        <v>3.01</v>
      </c>
      <c r="R580" s="497">
        <v>0</v>
      </c>
      <c r="S580" s="497">
        <v>0.08</v>
      </c>
      <c r="T580" s="497">
        <v>1.5</v>
      </c>
    </row>
    <row r="581" spans="16:20" ht="15">
      <c r="P581" s="447"/>
      <c r="Q581" s="497">
        <v>3.01</v>
      </c>
      <c r="R581" s="497">
        <v>0</v>
      </c>
      <c r="S581" s="497">
        <v>0.1</v>
      </c>
      <c r="T581" s="497">
        <v>1.5</v>
      </c>
    </row>
    <row r="582" spans="16:20" ht="15">
      <c r="P582" s="447"/>
      <c r="Q582" s="497">
        <v>3.01</v>
      </c>
      <c r="R582" s="497">
        <v>0</v>
      </c>
      <c r="S582" s="497">
        <v>0.15</v>
      </c>
      <c r="T582" s="497">
        <v>1.5</v>
      </c>
    </row>
    <row r="583" spans="16:20" ht="15">
      <c r="P583" s="447"/>
      <c r="Q583" s="497">
        <v>3.01</v>
      </c>
      <c r="R583" s="497">
        <v>0</v>
      </c>
      <c r="S583" s="497">
        <v>0.2</v>
      </c>
      <c r="T583" s="497">
        <v>1.5</v>
      </c>
    </row>
    <row r="584" spans="16:20" ht="15">
      <c r="P584" s="447"/>
      <c r="Q584" s="497">
        <v>3.01</v>
      </c>
      <c r="R584" s="497">
        <v>0</v>
      </c>
      <c r="S584" s="497">
        <v>0.25</v>
      </c>
      <c r="T584" s="497">
        <v>1.5</v>
      </c>
    </row>
    <row r="585" spans="16:20" ht="15">
      <c r="P585" s="447"/>
      <c r="Q585" s="497">
        <v>3.01</v>
      </c>
      <c r="R585" s="497">
        <v>0</v>
      </c>
      <c r="S585" s="497">
        <v>1</v>
      </c>
      <c r="T585" s="497">
        <v>1.5</v>
      </c>
    </row>
    <row r="586" spans="16:20" ht="15">
      <c r="P586" s="447"/>
      <c r="Q586" s="497">
        <v>3.01</v>
      </c>
      <c r="R586" s="497">
        <v>0.4</v>
      </c>
      <c r="S586" s="497">
        <v>0</v>
      </c>
      <c r="T586" s="497">
        <v>1.5</v>
      </c>
    </row>
    <row r="587" spans="16:20" ht="15">
      <c r="P587" s="447"/>
      <c r="Q587" s="497">
        <v>3.01</v>
      </c>
      <c r="R587" s="497">
        <v>0.4</v>
      </c>
      <c r="S587" s="497">
        <v>0.02</v>
      </c>
      <c r="T587" s="497">
        <v>1.5</v>
      </c>
    </row>
    <row r="588" spans="16:20" ht="15">
      <c r="P588" s="447"/>
      <c r="Q588" s="497">
        <v>3.01</v>
      </c>
      <c r="R588" s="497">
        <v>0.4</v>
      </c>
      <c r="S588" s="497">
        <v>0.04</v>
      </c>
      <c r="T588" s="497">
        <v>1.5</v>
      </c>
    </row>
    <row r="589" spans="16:20" ht="15">
      <c r="P589" s="447"/>
      <c r="Q589" s="497">
        <v>3.01</v>
      </c>
      <c r="R589" s="497">
        <v>0.4</v>
      </c>
      <c r="S589" s="497">
        <v>0.05</v>
      </c>
      <c r="T589" s="497">
        <v>1.5</v>
      </c>
    </row>
    <row r="590" spans="16:20" ht="15">
      <c r="P590" s="447"/>
      <c r="Q590" s="497">
        <v>3.01</v>
      </c>
      <c r="R590" s="497">
        <v>0.4</v>
      </c>
      <c r="S590" s="497">
        <v>0.06</v>
      </c>
      <c r="T590" s="497">
        <v>1.5</v>
      </c>
    </row>
    <row r="591" spans="16:20" ht="15">
      <c r="P591" s="447"/>
      <c r="Q591" s="497">
        <v>3.01</v>
      </c>
      <c r="R591" s="497">
        <v>0.4</v>
      </c>
      <c r="S591" s="497">
        <v>0.08</v>
      </c>
      <c r="T591" s="497">
        <v>1.5</v>
      </c>
    </row>
    <row r="592" spans="16:20" ht="15">
      <c r="P592" s="447"/>
      <c r="Q592" s="497">
        <v>3.01</v>
      </c>
      <c r="R592" s="497">
        <v>0.4</v>
      </c>
      <c r="S592" s="497">
        <v>0.1</v>
      </c>
      <c r="T592" s="497">
        <v>1.5</v>
      </c>
    </row>
    <row r="593" spans="16:20" ht="15">
      <c r="P593" s="447"/>
      <c r="Q593" s="497">
        <v>3.01</v>
      </c>
      <c r="R593" s="497">
        <v>0.4</v>
      </c>
      <c r="S593" s="497">
        <v>0.15</v>
      </c>
      <c r="T593" s="497">
        <v>1.5</v>
      </c>
    </row>
    <row r="594" spans="16:20" ht="15">
      <c r="P594" s="447"/>
      <c r="Q594" s="497">
        <v>3.01</v>
      </c>
      <c r="R594" s="497">
        <v>0.4</v>
      </c>
      <c r="S594" s="497">
        <v>0.2</v>
      </c>
      <c r="T594" s="497">
        <v>1.5</v>
      </c>
    </row>
    <row r="595" spans="16:20" ht="15">
      <c r="P595" s="447"/>
      <c r="Q595" s="497">
        <v>3.01</v>
      </c>
      <c r="R595" s="497">
        <v>0.4</v>
      </c>
      <c r="S595" s="497">
        <v>0.25</v>
      </c>
      <c r="T595" s="497">
        <v>1.5</v>
      </c>
    </row>
    <row r="596" spans="16:20" ht="15">
      <c r="P596" s="447"/>
      <c r="Q596" s="497">
        <v>3.01</v>
      </c>
      <c r="R596" s="497">
        <v>0.4</v>
      </c>
      <c r="S596" s="497">
        <v>1</v>
      </c>
      <c r="T596" s="497">
        <v>1.5</v>
      </c>
    </row>
    <row r="597" spans="16:20" ht="15">
      <c r="P597" s="447"/>
      <c r="Q597" s="497">
        <v>3.01</v>
      </c>
      <c r="R597" s="497">
        <v>0.40100000000000002</v>
      </c>
      <c r="S597" s="497">
        <v>0</v>
      </c>
      <c r="T597" s="497">
        <v>2</v>
      </c>
    </row>
    <row r="598" spans="16:20" ht="15">
      <c r="P598" s="447"/>
      <c r="Q598" s="497">
        <v>3.01</v>
      </c>
      <c r="R598" s="497">
        <v>0.40100000000000002</v>
      </c>
      <c r="S598" s="497">
        <v>0.02</v>
      </c>
      <c r="T598" s="497">
        <v>2</v>
      </c>
    </row>
    <row r="599" spans="16:20" ht="15">
      <c r="P599" s="447"/>
      <c r="Q599" s="497">
        <v>3.01</v>
      </c>
      <c r="R599" s="497">
        <v>0.40100000000000002</v>
      </c>
      <c r="S599" s="497">
        <v>0.04</v>
      </c>
      <c r="T599" s="497">
        <v>2</v>
      </c>
    </row>
    <row r="600" spans="16:20" ht="15">
      <c r="P600" s="447"/>
      <c r="Q600" s="497">
        <v>3.01</v>
      </c>
      <c r="R600" s="497">
        <v>0.40100000000000002</v>
      </c>
      <c r="S600" s="497">
        <v>0.05</v>
      </c>
      <c r="T600" s="497">
        <v>2</v>
      </c>
    </row>
    <row r="601" spans="16:20" ht="15">
      <c r="P601" s="447"/>
      <c r="Q601" s="497">
        <v>3.01</v>
      </c>
      <c r="R601" s="497">
        <v>0.40100000000000002</v>
      </c>
      <c r="S601" s="497">
        <v>0.06</v>
      </c>
      <c r="T601" s="497">
        <v>2</v>
      </c>
    </row>
    <row r="602" spans="16:20" ht="15">
      <c r="P602" s="447"/>
      <c r="Q602" s="497">
        <v>3.01</v>
      </c>
      <c r="R602" s="497">
        <v>0.40100000000000002</v>
      </c>
      <c r="S602" s="497">
        <v>0.08</v>
      </c>
      <c r="T602" s="497">
        <v>2</v>
      </c>
    </row>
    <row r="603" spans="16:20" ht="15">
      <c r="P603" s="447"/>
      <c r="Q603" s="497">
        <v>3.01</v>
      </c>
      <c r="R603" s="497">
        <v>0.40100000000000002</v>
      </c>
      <c r="S603" s="497">
        <v>0.1</v>
      </c>
      <c r="T603" s="497">
        <v>2</v>
      </c>
    </row>
    <row r="604" spans="16:20" ht="15">
      <c r="P604" s="447"/>
      <c r="Q604" s="497">
        <v>3.01</v>
      </c>
      <c r="R604" s="497">
        <v>0.40100000000000002</v>
      </c>
      <c r="S604" s="497">
        <v>0.15</v>
      </c>
      <c r="T604" s="497">
        <v>1.5</v>
      </c>
    </row>
    <row r="605" spans="16:20" ht="15">
      <c r="P605" s="447"/>
      <c r="Q605" s="497">
        <v>3.01</v>
      </c>
      <c r="R605" s="497">
        <v>0.40100000000000002</v>
      </c>
      <c r="S605" s="497">
        <v>0.2</v>
      </c>
      <c r="T605" s="497">
        <v>1.5</v>
      </c>
    </row>
    <row r="606" spans="16:20" ht="15">
      <c r="P606" s="447"/>
      <c r="Q606" s="497">
        <v>3.01</v>
      </c>
      <c r="R606" s="497">
        <v>0.40100000000000002</v>
      </c>
      <c r="S606" s="497">
        <v>0.25</v>
      </c>
      <c r="T606" s="497">
        <v>1.5</v>
      </c>
    </row>
    <row r="607" spans="16:20" ht="15">
      <c r="P607" s="447"/>
      <c r="Q607" s="497">
        <v>3.01</v>
      </c>
      <c r="R607" s="497">
        <v>0.40100000000000002</v>
      </c>
      <c r="S607" s="497">
        <v>1</v>
      </c>
      <c r="T607" s="497">
        <v>1.5</v>
      </c>
    </row>
    <row r="608" spans="16:20" ht="15">
      <c r="P608" s="447"/>
      <c r="Q608" s="497">
        <v>3.01</v>
      </c>
      <c r="R608" s="497">
        <v>0.5</v>
      </c>
      <c r="S608" s="497">
        <v>0</v>
      </c>
      <c r="T608" s="497">
        <v>2</v>
      </c>
    </row>
    <row r="609" spans="16:20" ht="15">
      <c r="P609" s="447"/>
      <c r="Q609" s="497">
        <v>3.01</v>
      </c>
      <c r="R609" s="497">
        <v>0.5</v>
      </c>
      <c r="S609" s="497">
        <v>0.02</v>
      </c>
      <c r="T609" s="497">
        <v>2</v>
      </c>
    </row>
    <row r="610" spans="16:20" ht="15">
      <c r="P610" s="447"/>
      <c r="Q610" s="497">
        <v>3.01</v>
      </c>
      <c r="R610" s="497">
        <v>0.5</v>
      </c>
      <c r="S610" s="497">
        <v>0.04</v>
      </c>
      <c r="T610" s="497">
        <v>2</v>
      </c>
    </row>
    <row r="611" spans="16:20" ht="15">
      <c r="P611" s="447"/>
      <c r="Q611" s="497">
        <v>3.01</v>
      </c>
      <c r="R611" s="497">
        <v>0.5</v>
      </c>
      <c r="S611" s="497">
        <v>0.05</v>
      </c>
      <c r="T611" s="497">
        <v>2</v>
      </c>
    </row>
    <row r="612" spans="16:20" ht="15">
      <c r="P612" s="447"/>
      <c r="Q612" s="497">
        <v>3.01</v>
      </c>
      <c r="R612" s="497">
        <v>0.5</v>
      </c>
      <c r="S612" s="497">
        <v>0.06</v>
      </c>
      <c r="T612" s="497">
        <v>2</v>
      </c>
    </row>
    <row r="613" spans="16:20" ht="15">
      <c r="P613" s="447"/>
      <c r="Q613" s="497">
        <v>3.01</v>
      </c>
      <c r="R613" s="497">
        <v>0.5</v>
      </c>
      <c r="S613" s="497">
        <v>0.08</v>
      </c>
      <c r="T613" s="497">
        <v>2</v>
      </c>
    </row>
    <row r="614" spans="16:20" ht="15">
      <c r="P614" s="447"/>
      <c r="Q614" s="497">
        <v>3.01</v>
      </c>
      <c r="R614" s="497">
        <v>0.5</v>
      </c>
      <c r="S614" s="497">
        <v>0.1</v>
      </c>
      <c r="T614" s="497">
        <v>2</v>
      </c>
    </row>
    <row r="615" spans="16:20" ht="15">
      <c r="P615" s="447"/>
      <c r="Q615" s="497">
        <v>3.01</v>
      </c>
      <c r="R615" s="497">
        <v>0.5</v>
      </c>
      <c r="S615" s="497">
        <v>0.15</v>
      </c>
      <c r="T615" s="497">
        <v>1.5</v>
      </c>
    </row>
    <row r="616" spans="16:20" ht="15">
      <c r="P616" s="447"/>
      <c r="Q616" s="497">
        <v>3.01</v>
      </c>
      <c r="R616" s="497">
        <v>0.5</v>
      </c>
      <c r="S616" s="497">
        <v>0.2</v>
      </c>
      <c r="T616" s="497">
        <v>1.5</v>
      </c>
    </row>
    <row r="617" spans="16:20" ht="15">
      <c r="P617" s="447"/>
      <c r="Q617" s="497">
        <v>3.01</v>
      </c>
      <c r="R617" s="497">
        <v>0.5</v>
      </c>
      <c r="S617" s="497">
        <v>0.25</v>
      </c>
      <c r="T617" s="497">
        <v>1.5</v>
      </c>
    </row>
    <row r="618" spans="16:20" ht="15">
      <c r="P618" s="447"/>
      <c r="Q618" s="497">
        <v>3.01</v>
      </c>
      <c r="R618" s="497">
        <v>0.5</v>
      </c>
      <c r="S618" s="497">
        <v>1</v>
      </c>
      <c r="T618" s="497">
        <v>1.5</v>
      </c>
    </row>
    <row r="619" spans="16:20" ht="15">
      <c r="P619" s="447"/>
      <c r="Q619" s="497">
        <v>3.01</v>
      </c>
      <c r="R619" s="497">
        <v>0.501</v>
      </c>
      <c r="S619" s="497">
        <v>0</v>
      </c>
      <c r="T619" s="497">
        <v>2</v>
      </c>
    </row>
    <row r="620" spans="16:20" ht="15">
      <c r="P620" s="447"/>
      <c r="Q620" s="497">
        <v>3.01</v>
      </c>
      <c r="R620" s="497">
        <v>0.501</v>
      </c>
      <c r="S620" s="497">
        <v>0.02</v>
      </c>
      <c r="T620" s="497">
        <v>2</v>
      </c>
    </row>
    <row r="621" spans="16:20" ht="15">
      <c r="P621" s="447"/>
      <c r="Q621" s="497">
        <v>3.01</v>
      </c>
      <c r="R621" s="497">
        <v>0.501</v>
      </c>
      <c r="S621" s="497">
        <v>0.04</v>
      </c>
      <c r="T621" s="497">
        <v>2</v>
      </c>
    </row>
    <row r="622" spans="16:20" ht="15">
      <c r="P622" s="447"/>
      <c r="Q622" s="497">
        <v>3.01</v>
      </c>
      <c r="R622" s="497">
        <v>0.501</v>
      </c>
      <c r="S622" s="497">
        <v>0.05</v>
      </c>
      <c r="T622" s="497">
        <v>2</v>
      </c>
    </row>
    <row r="623" spans="16:20" ht="15">
      <c r="P623" s="447"/>
      <c r="Q623" s="497">
        <v>3.01</v>
      </c>
      <c r="R623" s="497">
        <v>0.501</v>
      </c>
      <c r="S623" s="497">
        <v>0.06</v>
      </c>
      <c r="T623" s="497">
        <v>2</v>
      </c>
    </row>
    <row r="624" spans="16:20" ht="15">
      <c r="P624" s="447"/>
      <c r="Q624" s="497">
        <v>3.01</v>
      </c>
      <c r="R624" s="497">
        <v>0.501</v>
      </c>
      <c r="S624" s="497">
        <v>0.08</v>
      </c>
      <c r="T624" s="497">
        <v>2</v>
      </c>
    </row>
    <row r="625" spans="16:20" ht="15">
      <c r="P625" s="447"/>
      <c r="Q625" s="497">
        <v>3.01</v>
      </c>
      <c r="R625" s="497">
        <v>0.501</v>
      </c>
      <c r="S625" s="497">
        <v>0.1</v>
      </c>
      <c r="T625" s="497">
        <v>2</v>
      </c>
    </row>
    <row r="626" spans="16:20" ht="15">
      <c r="P626" s="447"/>
      <c r="Q626" s="497">
        <v>3.01</v>
      </c>
      <c r="R626" s="497">
        <v>0.501</v>
      </c>
      <c r="S626" s="497">
        <v>0.15</v>
      </c>
      <c r="T626" s="497">
        <v>1.5</v>
      </c>
    </row>
    <row r="627" spans="16:20" ht="15">
      <c r="P627" s="447"/>
      <c r="Q627" s="497">
        <v>3.01</v>
      </c>
      <c r="R627" s="497">
        <v>0.501</v>
      </c>
      <c r="S627" s="497">
        <v>0.2</v>
      </c>
      <c r="T627" s="497">
        <v>1.5</v>
      </c>
    </row>
    <row r="628" spans="16:20" ht="15">
      <c r="P628" s="447"/>
      <c r="Q628" s="497">
        <v>3.01</v>
      </c>
      <c r="R628" s="497">
        <v>0.501</v>
      </c>
      <c r="S628" s="497">
        <v>0.25</v>
      </c>
      <c r="T628" s="497">
        <v>1.5</v>
      </c>
    </row>
    <row r="629" spans="16:20" ht="15">
      <c r="P629" s="447"/>
      <c r="Q629" s="497">
        <v>3.01</v>
      </c>
      <c r="R629" s="497">
        <v>0.501</v>
      </c>
      <c r="S629" s="497">
        <v>1</v>
      </c>
      <c r="T629" s="497">
        <v>1.5</v>
      </c>
    </row>
    <row r="630" spans="16:20" ht="15">
      <c r="P630" s="447"/>
      <c r="Q630" s="497">
        <v>3.01</v>
      </c>
      <c r="R630" s="497">
        <v>0.8</v>
      </c>
      <c r="S630" s="497">
        <v>0</v>
      </c>
      <c r="T630" s="497">
        <v>2</v>
      </c>
    </row>
    <row r="631" spans="16:20" ht="15">
      <c r="P631" s="447"/>
      <c r="Q631" s="497">
        <v>3.01</v>
      </c>
      <c r="R631" s="497">
        <v>0.8</v>
      </c>
      <c r="S631" s="497">
        <v>0.02</v>
      </c>
      <c r="T631" s="497">
        <v>2</v>
      </c>
    </row>
    <row r="632" spans="16:20" ht="15">
      <c r="P632" s="447"/>
      <c r="Q632" s="497">
        <v>3.01</v>
      </c>
      <c r="R632" s="497">
        <v>0.8</v>
      </c>
      <c r="S632" s="497">
        <v>0.04</v>
      </c>
      <c r="T632" s="497">
        <v>2</v>
      </c>
    </row>
    <row r="633" spans="16:20" ht="15">
      <c r="P633" s="447"/>
      <c r="Q633" s="497">
        <v>3.01</v>
      </c>
      <c r="R633" s="497">
        <v>0.8</v>
      </c>
      <c r="S633" s="497">
        <v>0.05</v>
      </c>
      <c r="T633" s="497">
        <v>2</v>
      </c>
    </row>
    <row r="634" spans="16:20" ht="15">
      <c r="P634" s="447"/>
      <c r="Q634" s="497">
        <v>3.01</v>
      </c>
      <c r="R634" s="497">
        <v>0.8</v>
      </c>
      <c r="S634" s="497">
        <v>0.06</v>
      </c>
      <c r="T634" s="497">
        <v>2</v>
      </c>
    </row>
    <row r="635" spans="16:20" ht="15">
      <c r="P635" s="447"/>
      <c r="Q635" s="497">
        <v>3.01</v>
      </c>
      <c r="R635" s="497">
        <v>0.8</v>
      </c>
      <c r="S635" s="497">
        <v>0.08</v>
      </c>
      <c r="T635" s="497">
        <v>2</v>
      </c>
    </row>
    <row r="636" spans="16:20" ht="15">
      <c r="P636" s="447"/>
      <c r="Q636" s="497">
        <v>3.01</v>
      </c>
      <c r="R636" s="497">
        <v>0.8</v>
      </c>
      <c r="S636" s="497">
        <v>0.1</v>
      </c>
      <c r="T636" s="497">
        <v>2</v>
      </c>
    </row>
    <row r="637" spans="16:20" ht="15">
      <c r="P637" s="447"/>
      <c r="Q637" s="497">
        <v>3.01</v>
      </c>
      <c r="R637" s="497">
        <v>0.8</v>
      </c>
      <c r="S637" s="497">
        <v>0.15</v>
      </c>
      <c r="T637" s="497">
        <v>1.5</v>
      </c>
    </row>
    <row r="638" spans="16:20" ht="15">
      <c r="P638" s="447"/>
      <c r="Q638" s="497">
        <v>3.01</v>
      </c>
      <c r="R638" s="497">
        <v>0.8</v>
      </c>
      <c r="S638" s="497">
        <v>0.2</v>
      </c>
      <c r="T638" s="497">
        <v>1.5</v>
      </c>
    </row>
    <row r="639" spans="16:20" ht="15">
      <c r="P639" s="447"/>
      <c r="Q639" s="497">
        <v>3.01</v>
      </c>
      <c r="R639" s="497">
        <v>0.8</v>
      </c>
      <c r="S639" s="497">
        <v>0.25</v>
      </c>
      <c r="T639" s="497">
        <v>1.5</v>
      </c>
    </row>
    <row r="640" spans="16:20" ht="15">
      <c r="P640" s="447"/>
      <c r="Q640" s="497">
        <v>3.01</v>
      </c>
      <c r="R640" s="497">
        <v>0.8</v>
      </c>
      <c r="S640" s="497">
        <v>1</v>
      </c>
      <c r="T640" s="497">
        <v>1.5</v>
      </c>
    </row>
    <row r="641" spans="16:20" ht="15">
      <c r="P641" s="447"/>
      <c r="Q641" s="497">
        <v>3.01</v>
      </c>
      <c r="R641" s="497">
        <v>0.80100000000000005</v>
      </c>
      <c r="S641" s="497">
        <v>0</v>
      </c>
      <c r="T641" s="497">
        <v>2.5</v>
      </c>
    </row>
    <row r="642" spans="16:20" ht="15">
      <c r="P642" s="447"/>
      <c r="Q642" s="497">
        <v>3.01</v>
      </c>
      <c r="R642" s="497">
        <v>0.80100000000000005</v>
      </c>
      <c r="S642" s="497">
        <v>0.02</v>
      </c>
      <c r="T642" s="497">
        <v>2.5</v>
      </c>
    </row>
    <row r="643" spans="16:20" ht="15">
      <c r="P643" s="447"/>
      <c r="Q643" s="497">
        <v>3.01</v>
      </c>
      <c r="R643" s="497">
        <v>0.80100000000000005</v>
      </c>
      <c r="S643" s="497">
        <v>0.04</v>
      </c>
      <c r="T643" s="497">
        <v>2.5</v>
      </c>
    </row>
    <row r="644" spans="16:20" ht="15">
      <c r="P644" s="447"/>
      <c r="Q644" s="497">
        <v>3.01</v>
      </c>
      <c r="R644" s="497">
        <v>0.80100000000000005</v>
      </c>
      <c r="S644" s="497">
        <v>0.05</v>
      </c>
      <c r="T644" s="497">
        <v>2</v>
      </c>
    </row>
    <row r="645" spans="16:20" ht="15">
      <c r="P645" s="447"/>
      <c r="Q645" s="497">
        <v>3.01</v>
      </c>
      <c r="R645" s="497">
        <v>0.80100000000000005</v>
      </c>
      <c r="S645" s="497">
        <v>0.06</v>
      </c>
      <c r="T645" s="497">
        <v>2</v>
      </c>
    </row>
    <row r="646" spans="16:20" ht="15">
      <c r="P646" s="447"/>
      <c r="Q646" s="497">
        <v>3.01</v>
      </c>
      <c r="R646" s="497">
        <v>0.80100000000000005</v>
      </c>
      <c r="S646" s="497">
        <v>0.08</v>
      </c>
      <c r="T646" s="497">
        <v>2</v>
      </c>
    </row>
    <row r="647" spans="16:20" ht="15">
      <c r="P647" s="447"/>
      <c r="Q647" s="497">
        <v>3.01</v>
      </c>
      <c r="R647" s="497">
        <v>0.80100000000000005</v>
      </c>
      <c r="S647" s="497">
        <v>0.1</v>
      </c>
      <c r="T647" s="497">
        <v>2</v>
      </c>
    </row>
    <row r="648" spans="16:20" ht="15">
      <c r="P648" s="447"/>
      <c r="Q648" s="497">
        <v>3.01</v>
      </c>
      <c r="R648" s="497">
        <v>0.80100000000000005</v>
      </c>
      <c r="S648" s="497">
        <v>0.15</v>
      </c>
      <c r="T648" s="497">
        <v>2</v>
      </c>
    </row>
    <row r="649" spans="16:20" ht="15">
      <c r="P649" s="447"/>
      <c r="Q649" s="497">
        <v>3.01</v>
      </c>
      <c r="R649" s="497">
        <v>0.80100000000000005</v>
      </c>
      <c r="S649" s="497">
        <v>0.2</v>
      </c>
      <c r="T649" s="497">
        <v>2</v>
      </c>
    </row>
    <row r="650" spans="16:20" ht="15">
      <c r="P650" s="447"/>
      <c r="Q650" s="497">
        <v>3.01</v>
      </c>
      <c r="R650" s="497">
        <v>0.80100000000000005</v>
      </c>
      <c r="S650" s="497">
        <v>0.25</v>
      </c>
      <c r="T650" s="497">
        <v>2</v>
      </c>
    </row>
    <row r="651" spans="16:20" ht="15">
      <c r="P651" s="447"/>
      <c r="Q651" s="497">
        <v>3.01</v>
      </c>
      <c r="R651" s="497">
        <v>0.80100000000000005</v>
      </c>
      <c r="S651" s="497">
        <v>1</v>
      </c>
      <c r="T651" s="497">
        <v>2</v>
      </c>
    </row>
    <row r="652" spans="16:20" ht="15">
      <c r="P652" s="447"/>
      <c r="Q652" s="497">
        <v>3.01</v>
      </c>
      <c r="R652" s="497">
        <v>1.2</v>
      </c>
      <c r="S652" s="497">
        <v>0</v>
      </c>
      <c r="T652" s="497">
        <v>2.5</v>
      </c>
    </row>
    <row r="653" spans="16:20" ht="15">
      <c r="P653" s="447"/>
      <c r="Q653" s="497">
        <v>3.01</v>
      </c>
      <c r="R653" s="497">
        <v>1.2</v>
      </c>
      <c r="S653" s="497">
        <v>0.02</v>
      </c>
      <c r="T653" s="497">
        <v>2.5</v>
      </c>
    </row>
    <row r="654" spans="16:20" ht="15">
      <c r="P654" s="447"/>
      <c r="Q654" s="497">
        <v>3.01</v>
      </c>
      <c r="R654" s="497">
        <v>1.2</v>
      </c>
      <c r="S654" s="497">
        <v>0.04</v>
      </c>
      <c r="T654" s="497">
        <v>2.5</v>
      </c>
    </row>
    <row r="655" spans="16:20" ht="15">
      <c r="P655" s="447"/>
      <c r="Q655" s="497">
        <v>3.01</v>
      </c>
      <c r="R655" s="497">
        <v>1.2</v>
      </c>
      <c r="S655" s="497">
        <v>0.05</v>
      </c>
      <c r="T655" s="497">
        <v>2</v>
      </c>
    </row>
    <row r="656" spans="16:20" ht="15">
      <c r="P656" s="447"/>
      <c r="Q656" s="497">
        <v>3.01</v>
      </c>
      <c r="R656" s="497">
        <v>1.2</v>
      </c>
      <c r="S656" s="497">
        <v>0.06</v>
      </c>
      <c r="T656" s="497">
        <v>2</v>
      </c>
    </row>
    <row r="657" spans="16:20" ht="15">
      <c r="P657" s="447"/>
      <c r="Q657" s="497">
        <v>3.01</v>
      </c>
      <c r="R657" s="497">
        <v>1.2</v>
      </c>
      <c r="S657" s="497">
        <v>0.08</v>
      </c>
      <c r="T657" s="497">
        <v>2</v>
      </c>
    </row>
    <row r="658" spans="16:20" ht="15">
      <c r="P658" s="447"/>
      <c r="Q658" s="497">
        <v>3.01</v>
      </c>
      <c r="R658" s="497">
        <v>1.2</v>
      </c>
      <c r="S658" s="497">
        <v>0.1</v>
      </c>
      <c r="T658" s="497">
        <v>2</v>
      </c>
    </row>
    <row r="659" spans="16:20" ht="15">
      <c r="P659" s="447"/>
      <c r="Q659" s="497">
        <v>3.01</v>
      </c>
      <c r="R659" s="497">
        <v>1.2</v>
      </c>
      <c r="S659" s="497">
        <v>0.15</v>
      </c>
      <c r="T659" s="497">
        <v>2</v>
      </c>
    </row>
    <row r="660" spans="16:20" ht="15">
      <c r="P660" s="447"/>
      <c r="Q660" s="497">
        <v>3.01</v>
      </c>
      <c r="R660" s="497">
        <v>1.2</v>
      </c>
      <c r="S660" s="497">
        <v>0.2</v>
      </c>
      <c r="T660" s="497">
        <v>2</v>
      </c>
    </row>
    <row r="661" spans="16:20" ht="15">
      <c r="P661" s="447"/>
      <c r="Q661" s="497">
        <v>3.01</v>
      </c>
      <c r="R661" s="497">
        <v>1.2</v>
      </c>
      <c r="S661" s="497">
        <v>0.25</v>
      </c>
      <c r="T661" s="497">
        <v>2</v>
      </c>
    </row>
    <row r="662" spans="16:20" ht="15">
      <c r="P662" s="447"/>
      <c r="Q662" s="497">
        <v>3.01</v>
      </c>
      <c r="R662" s="497">
        <v>1.2</v>
      </c>
      <c r="S662" s="497">
        <v>1</v>
      </c>
      <c r="T662" s="497">
        <v>2</v>
      </c>
    </row>
    <row r="663" spans="16:20" ht="15">
      <c r="P663" s="447"/>
      <c r="Q663" s="497">
        <v>3.01</v>
      </c>
      <c r="R663" s="497">
        <v>1.2010000000000001</v>
      </c>
      <c r="S663" s="497">
        <v>0</v>
      </c>
      <c r="T663" s="497">
        <v>3</v>
      </c>
    </row>
    <row r="664" spans="16:20" ht="15">
      <c r="P664" s="447"/>
      <c r="Q664" s="497">
        <v>3.01</v>
      </c>
      <c r="R664" s="497">
        <v>1.2010000000000001</v>
      </c>
      <c r="S664" s="497">
        <v>0.02</v>
      </c>
      <c r="T664" s="497">
        <v>3</v>
      </c>
    </row>
    <row r="665" spans="16:20" ht="15">
      <c r="P665" s="447"/>
      <c r="Q665" s="497">
        <v>3.01</v>
      </c>
      <c r="R665" s="497">
        <v>1.2010000000000001</v>
      </c>
      <c r="S665" s="497">
        <v>0.04</v>
      </c>
      <c r="T665" s="497">
        <v>3</v>
      </c>
    </row>
    <row r="666" spans="16:20" ht="15">
      <c r="P666" s="447"/>
      <c r="Q666" s="497">
        <v>3.01</v>
      </c>
      <c r="R666" s="497">
        <v>1.2010000000000001</v>
      </c>
      <c r="S666" s="497">
        <v>0.05</v>
      </c>
      <c r="T666" s="497">
        <v>2.5</v>
      </c>
    </row>
    <row r="667" spans="16:20" ht="15">
      <c r="P667" s="447"/>
      <c r="Q667" s="497">
        <v>3.01</v>
      </c>
      <c r="R667" s="497">
        <v>1.2010000000000001</v>
      </c>
      <c r="S667" s="497">
        <v>0.06</v>
      </c>
      <c r="T667" s="497">
        <v>2.5</v>
      </c>
    </row>
    <row r="668" spans="16:20" ht="15">
      <c r="P668" s="447"/>
      <c r="Q668" s="497">
        <v>3.01</v>
      </c>
      <c r="R668" s="497">
        <v>1.2010000000000001</v>
      </c>
      <c r="S668" s="497">
        <v>0.08</v>
      </c>
      <c r="T668" s="497">
        <v>2.5</v>
      </c>
    </row>
    <row r="669" spans="16:20" ht="15">
      <c r="P669" s="447"/>
      <c r="Q669" s="497">
        <v>3.01</v>
      </c>
      <c r="R669" s="497">
        <v>1.2010000000000001</v>
      </c>
      <c r="S669" s="497">
        <v>0.1</v>
      </c>
      <c r="T669" s="497">
        <v>2.5</v>
      </c>
    </row>
    <row r="670" spans="16:20" ht="15">
      <c r="P670" s="447"/>
      <c r="Q670" s="497">
        <v>3.01</v>
      </c>
      <c r="R670" s="497">
        <v>1.2010000000000001</v>
      </c>
      <c r="S670" s="497">
        <v>0.15</v>
      </c>
      <c r="T670" s="497">
        <v>2</v>
      </c>
    </row>
    <row r="671" spans="16:20" ht="15">
      <c r="P671" s="447"/>
      <c r="Q671" s="497">
        <v>3.01</v>
      </c>
      <c r="R671" s="497">
        <v>1.2010000000000001</v>
      </c>
      <c r="S671" s="497">
        <v>0.2</v>
      </c>
      <c r="T671" s="497">
        <v>2</v>
      </c>
    </row>
    <row r="672" spans="16:20" ht="15">
      <c r="P672" s="447"/>
      <c r="Q672" s="497">
        <v>3.01</v>
      </c>
      <c r="R672" s="497">
        <v>1.2010000000000001</v>
      </c>
      <c r="S672" s="497">
        <v>0.25</v>
      </c>
      <c r="T672" s="497">
        <v>2</v>
      </c>
    </row>
    <row r="673" spans="16:20" ht="15">
      <c r="P673" s="447"/>
      <c r="Q673" s="497">
        <v>3.01</v>
      </c>
      <c r="R673" s="497">
        <v>1.2010000000000001</v>
      </c>
      <c r="S673" s="497">
        <v>1</v>
      </c>
      <c r="T673" s="497">
        <v>2</v>
      </c>
    </row>
    <row r="674" spans="16:20" ht="15">
      <c r="P674" s="447"/>
      <c r="Q674" s="497">
        <v>3.01</v>
      </c>
      <c r="R674" s="497">
        <v>1.6</v>
      </c>
      <c r="S674" s="497">
        <v>0</v>
      </c>
      <c r="T674" s="497">
        <v>3</v>
      </c>
    </row>
    <row r="675" spans="16:20" ht="15">
      <c r="P675" s="447"/>
      <c r="Q675" s="497">
        <v>3.01</v>
      </c>
      <c r="R675" s="497">
        <v>1.6</v>
      </c>
      <c r="S675" s="497">
        <v>0.02</v>
      </c>
      <c r="T675" s="497">
        <v>3</v>
      </c>
    </row>
    <row r="676" spans="16:20" ht="15">
      <c r="P676" s="447"/>
      <c r="Q676" s="497">
        <v>3.01</v>
      </c>
      <c r="R676" s="497">
        <v>1.6</v>
      </c>
      <c r="S676" s="497">
        <v>0.04</v>
      </c>
      <c r="T676" s="497">
        <v>3</v>
      </c>
    </row>
    <row r="677" spans="16:20" ht="15">
      <c r="P677" s="447"/>
      <c r="Q677" s="497">
        <v>3.01</v>
      </c>
      <c r="R677" s="497">
        <v>1.6</v>
      </c>
      <c r="S677" s="497">
        <v>0.05</v>
      </c>
      <c r="T677" s="497">
        <v>2.5</v>
      </c>
    </row>
    <row r="678" spans="16:20" ht="15">
      <c r="P678" s="447"/>
      <c r="Q678" s="497">
        <v>3.01</v>
      </c>
      <c r="R678" s="497">
        <v>1.6</v>
      </c>
      <c r="S678" s="497">
        <v>0.06</v>
      </c>
      <c r="T678" s="497">
        <v>2.5</v>
      </c>
    </row>
    <row r="679" spans="16:20" ht="15">
      <c r="P679" s="447"/>
      <c r="Q679" s="497">
        <v>3.01</v>
      </c>
      <c r="R679" s="497">
        <v>1.6</v>
      </c>
      <c r="S679" s="497">
        <v>0.08</v>
      </c>
      <c r="T679" s="497">
        <v>2.5</v>
      </c>
    </row>
    <row r="680" spans="16:20" ht="15">
      <c r="P680" s="447"/>
      <c r="Q680" s="497">
        <v>3.01</v>
      </c>
      <c r="R680" s="497">
        <v>1.6</v>
      </c>
      <c r="S680" s="497">
        <v>0.1</v>
      </c>
      <c r="T680" s="497">
        <v>2.5</v>
      </c>
    </row>
    <row r="681" spans="16:20" ht="15">
      <c r="P681" s="447"/>
      <c r="Q681" s="497">
        <v>3.01</v>
      </c>
      <c r="R681" s="497">
        <v>1.6</v>
      </c>
      <c r="S681" s="497">
        <v>0.15</v>
      </c>
      <c r="T681" s="497">
        <v>2</v>
      </c>
    </row>
    <row r="682" spans="16:20" ht="15">
      <c r="P682" s="447"/>
      <c r="Q682" s="497">
        <v>3.01</v>
      </c>
      <c r="R682" s="497">
        <v>1.6</v>
      </c>
      <c r="S682" s="497">
        <v>0.2</v>
      </c>
      <c r="T682" s="497">
        <v>2</v>
      </c>
    </row>
    <row r="683" spans="16:20" ht="15">
      <c r="P683" s="447"/>
      <c r="Q683" s="497">
        <v>3.01</v>
      </c>
      <c r="R683" s="497">
        <v>1.6</v>
      </c>
      <c r="S683" s="497">
        <v>0.25</v>
      </c>
      <c r="T683" s="497">
        <v>2</v>
      </c>
    </row>
    <row r="684" spans="16:20" ht="15">
      <c r="P684" s="447"/>
      <c r="Q684" s="497">
        <v>3.01</v>
      </c>
      <c r="R684" s="497">
        <v>1.6</v>
      </c>
      <c r="S684" s="497">
        <v>1</v>
      </c>
      <c r="T684" s="497">
        <v>2</v>
      </c>
    </row>
    <row r="685" spans="16:20" ht="15">
      <c r="P685" s="447"/>
      <c r="Q685" s="497">
        <v>3.01</v>
      </c>
      <c r="R685" s="497">
        <v>1.601</v>
      </c>
      <c r="S685" s="497">
        <v>0</v>
      </c>
      <c r="T685" s="497">
        <v>3.5</v>
      </c>
    </row>
    <row r="686" spans="16:20" ht="15">
      <c r="P686" s="447"/>
      <c r="Q686" s="497">
        <v>3.01</v>
      </c>
      <c r="R686" s="497">
        <v>1.601</v>
      </c>
      <c r="S686" s="497">
        <v>0.02</v>
      </c>
      <c r="T686" s="497">
        <v>3.5</v>
      </c>
    </row>
    <row r="687" spans="16:20" ht="15">
      <c r="P687" s="447"/>
      <c r="Q687" s="497">
        <v>3.01</v>
      </c>
      <c r="R687" s="497">
        <v>1.601</v>
      </c>
      <c r="S687" s="497">
        <v>0.04</v>
      </c>
      <c r="T687" s="497">
        <v>3.5</v>
      </c>
    </row>
    <row r="688" spans="16:20" ht="15">
      <c r="P688" s="447"/>
      <c r="Q688" s="497">
        <v>3.01</v>
      </c>
      <c r="R688" s="497">
        <v>1.601</v>
      </c>
      <c r="S688" s="497">
        <v>0.05</v>
      </c>
      <c r="T688" s="497">
        <v>3</v>
      </c>
    </row>
    <row r="689" spans="16:20" ht="15">
      <c r="P689" s="447"/>
      <c r="Q689" s="497">
        <v>3.01</v>
      </c>
      <c r="R689" s="497">
        <v>1.601</v>
      </c>
      <c r="S689" s="497">
        <v>0.06</v>
      </c>
      <c r="T689" s="497">
        <v>3</v>
      </c>
    </row>
    <row r="690" spans="16:20" ht="15">
      <c r="P690" s="447"/>
      <c r="Q690" s="497">
        <v>3.01</v>
      </c>
      <c r="R690" s="497">
        <v>1.601</v>
      </c>
      <c r="S690" s="497">
        <v>0.08</v>
      </c>
      <c r="T690" s="497">
        <v>3</v>
      </c>
    </row>
    <row r="691" spans="16:20" ht="15">
      <c r="P691" s="447"/>
      <c r="Q691" s="497">
        <v>3.01</v>
      </c>
      <c r="R691" s="497">
        <v>1.601</v>
      </c>
      <c r="S691" s="497">
        <v>0.1</v>
      </c>
      <c r="T691" s="497">
        <v>3</v>
      </c>
    </row>
    <row r="692" spans="16:20" ht="15">
      <c r="P692" s="447"/>
      <c r="Q692" s="497">
        <v>3.01</v>
      </c>
      <c r="R692" s="497">
        <v>1.601</v>
      </c>
      <c r="S692" s="497">
        <v>0.15</v>
      </c>
      <c r="T692" s="497">
        <v>2.5</v>
      </c>
    </row>
    <row r="693" spans="16:20" ht="15">
      <c r="P693" s="447"/>
      <c r="Q693" s="497">
        <v>3.01</v>
      </c>
      <c r="R693" s="497">
        <v>1.601</v>
      </c>
      <c r="S693" s="497">
        <v>0.2</v>
      </c>
      <c r="T693" s="497">
        <v>2.5</v>
      </c>
    </row>
    <row r="694" spans="16:20" ht="15">
      <c r="P694" s="447"/>
      <c r="Q694" s="497">
        <v>3.01</v>
      </c>
      <c r="R694" s="497">
        <v>1.601</v>
      </c>
      <c r="S694" s="497">
        <v>0.25</v>
      </c>
      <c r="T694" s="497">
        <v>2.5</v>
      </c>
    </row>
    <row r="695" spans="16:20" ht="15">
      <c r="P695" s="447"/>
      <c r="Q695" s="497">
        <v>3.01</v>
      </c>
      <c r="R695" s="497">
        <v>1.601</v>
      </c>
      <c r="S695" s="497">
        <v>1</v>
      </c>
      <c r="T695" s="497">
        <v>2.5</v>
      </c>
    </row>
    <row r="696" spans="16:20" ht="15">
      <c r="P696" s="447"/>
      <c r="Q696" s="497">
        <v>3.01</v>
      </c>
      <c r="R696" s="497">
        <v>2.4</v>
      </c>
      <c r="S696" s="497">
        <v>0</v>
      </c>
      <c r="T696" s="497">
        <v>4</v>
      </c>
    </row>
    <row r="697" spans="16:20" ht="15">
      <c r="P697" s="447"/>
      <c r="Q697" s="497">
        <v>3.01</v>
      </c>
      <c r="R697" s="497">
        <v>2.4</v>
      </c>
      <c r="S697" s="497">
        <v>0.02</v>
      </c>
      <c r="T697" s="497">
        <v>4</v>
      </c>
    </row>
    <row r="698" spans="16:20" ht="15">
      <c r="P698" s="447"/>
      <c r="Q698" s="497">
        <v>3.01</v>
      </c>
      <c r="R698" s="497">
        <v>2.4</v>
      </c>
      <c r="S698" s="497">
        <v>0.04</v>
      </c>
      <c r="T698" s="497">
        <v>3.5</v>
      </c>
    </row>
    <row r="699" spans="16:20" ht="15">
      <c r="P699" s="447"/>
      <c r="Q699" s="497">
        <v>3.01</v>
      </c>
      <c r="R699" s="497">
        <v>2.4</v>
      </c>
      <c r="S699" s="497">
        <v>0.05</v>
      </c>
      <c r="T699" s="497">
        <v>3</v>
      </c>
    </row>
    <row r="700" spans="16:20" ht="15">
      <c r="P700" s="447"/>
      <c r="Q700" s="497">
        <v>3.01</v>
      </c>
      <c r="R700" s="497">
        <v>2.4</v>
      </c>
      <c r="S700" s="497">
        <v>0.06</v>
      </c>
      <c r="T700" s="497">
        <v>3</v>
      </c>
    </row>
    <row r="701" spans="16:20" ht="15">
      <c r="P701" s="447"/>
      <c r="Q701" s="497">
        <v>3.01</v>
      </c>
      <c r="R701" s="497">
        <v>2.4</v>
      </c>
      <c r="S701" s="497">
        <v>0.08</v>
      </c>
      <c r="T701" s="497">
        <v>3</v>
      </c>
    </row>
    <row r="702" spans="16:20" ht="15">
      <c r="P702" s="447"/>
      <c r="Q702" s="497">
        <v>3.01</v>
      </c>
      <c r="R702" s="497">
        <v>2.4</v>
      </c>
      <c r="S702" s="497">
        <v>0.1</v>
      </c>
      <c r="T702" s="497">
        <v>3</v>
      </c>
    </row>
    <row r="703" spans="16:20" ht="15">
      <c r="P703" s="447"/>
      <c r="Q703" s="497">
        <v>3.01</v>
      </c>
      <c r="R703" s="497">
        <v>2.4</v>
      </c>
      <c r="S703" s="497">
        <v>0.15</v>
      </c>
      <c r="T703" s="497">
        <v>2.5</v>
      </c>
    </row>
    <row r="704" spans="16:20" ht="15">
      <c r="P704" s="447"/>
      <c r="Q704" s="497">
        <v>3.01</v>
      </c>
      <c r="R704" s="497">
        <v>2.4</v>
      </c>
      <c r="S704" s="497">
        <v>0.2</v>
      </c>
      <c r="T704" s="497">
        <v>2.5</v>
      </c>
    </row>
    <row r="705" spans="16:20" ht="15">
      <c r="P705" s="447"/>
      <c r="Q705" s="497">
        <v>3.01</v>
      </c>
      <c r="R705" s="497">
        <v>2.4</v>
      </c>
      <c r="S705" s="497">
        <v>0.25</v>
      </c>
      <c r="T705" s="497">
        <v>2.5</v>
      </c>
    </row>
    <row r="706" spans="16:20" ht="15">
      <c r="P706" s="447"/>
      <c r="Q706" s="497">
        <v>3.01</v>
      </c>
      <c r="R706" s="497">
        <v>2.4</v>
      </c>
      <c r="S706" s="497">
        <v>1</v>
      </c>
      <c r="T706" s="497">
        <v>2.5</v>
      </c>
    </row>
    <row r="707" spans="16:20" ht="15">
      <c r="P707" s="447"/>
      <c r="Q707" s="497">
        <v>3.01</v>
      </c>
      <c r="R707" s="497">
        <v>100</v>
      </c>
      <c r="S707" s="497">
        <v>0</v>
      </c>
      <c r="T707" s="497">
        <v>4</v>
      </c>
    </row>
    <row r="708" spans="16:20" ht="15">
      <c r="P708" s="447"/>
      <c r="Q708" s="497">
        <v>3.01</v>
      </c>
      <c r="R708" s="497">
        <v>100</v>
      </c>
      <c r="S708" s="497">
        <v>0.02</v>
      </c>
      <c r="T708" s="497">
        <v>4</v>
      </c>
    </row>
    <row r="709" spans="16:20" ht="15">
      <c r="P709" s="447"/>
      <c r="Q709" s="497">
        <v>3.01</v>
      </c>
      <c r="R709" s="497">
        <v>100</v>
      </c>
      <c r="S709" s="497">
        <v>0.04</v>
      </c>
      <c r="T709" s="497">
        <v>3.5</v>
      </c>
    </row>
    <row r="710" spans="16:20" ht="15">
      <c r="P710" s="447"/>
      <c r="Q710" s="497">
        <v>3.01</v>
      </c>
      <c r="R710" s="497">
        <v>100</v>
      </c>
      <c r="S710" s="497">
        <v>0.05</v>
      </c>
      <c r="T710" s="497">
        <v>3</v>
      </c>
    </row>
    <row r="711" spans="16:20" ht="15">
      <c r="P711" s="447"/>
      <c r="Q711" s="497">
        <v>3.01</v>
      </c>
      <c r="R711" s="497">
        <v>100</v>
      </c>
      <c r="S711" s="497">
        <v>0.06</v>
      </c>
      <c r="T711" s="497">
        <v>3</v>
      </c>
    </row>
    <row r="712" spans="16:20" ht="15">
      <c r="P712" s="447"/>
      <c r="Q712" s="497">
        <v>3.01</v>
      </c>
      <c r="R712" s="497">
        <v>100</v>
      </c>
      <c r="S712" s="497">
        <v>0.08</v>
      </c>
      <c r="T712" s="497">
        <v>3</v>
      </c>
    </row>
    <row r="713" spans="16:20" ht="15">
      <c r="P713" s="447"/>
      <c r="Q713" s="497">
        <v>3.01</v>
      </c>
      <c r="R713" s="497">
        <v>100</v>
      </c>
      <c r="S713" s="497">
        <v>0.1</v>
      </c>
      <c r="T713" s="497">
        <v>3</v>
      </c>
    </row>
    <row r="714" spans="16:20" ht="15">
      <c r="P714" s="447"/>
      <c r="Q714" s="497">
        <v>3.01</v>
      </c>
      <c r="R714" s="497">
        <v>100</v>
      </c>
      <c r="S714" s="497">
        <v>0.15</v>
      </c>
      <c r="T714" s="497">
        <v>2.5</v>
      </c>
    </row>
    <row r="715" spans="16:20" ht="15">
      <c r="P715" s="447"/>
      <c r="Q715" s="497">
        <v>3.01</v>
      </c>
      <c r="R715" s="497">
        <v>100</v>
      </c>
      <c r="S715" s="497">
        <v>0.2</v>
      </c>
      <c r="T715" s="497">
        <v>2.5</v>
      </c>
    </row>
    <row r="716" spans="16:20" ht="15">
      <c r="P716" s="447"/>
      <c r="Q716" s="497">
        <v>3.01</v>
      </c>
      <c r="R716" s="497">
        <v>100</v>
      </c>
      <c r="S716" s="497">
        <v>0.25</v>
      </c>
      <c r="T716" s="497">
        <v>2.5</v>
      </c>
    </row>
    <row r="717" spans="16:20" ht="15">
      <c r="P717" s="447"/>
      <c r="Q717" s="497">
        <v>3.01</v>
      </c>
      <c r="R717" s="497">
        <v>100</v>
      </c>
      <c r="S717" s="497">
        <v>1</v>
      </c>
      <c r="T717" s="497">
        <v>2.5</v>
      </c>
    </row>
    <row r="718" spans="16:20" ht="15">
      <c r="P718" s="447"/>
      <c r="Q718" s="497">
        <v>4</v>
      </c>
      <c r="R718" s="497">
        <v>0</v>
      </c>
      <c r="S718" s="497">
        <v>0</v>
      </c>
      <c r="T718" s="497">
        <v>1.5</v>
      </c>
    </row>
    <row r="719" spans="16:20" ht="15">
      <c r="P719" s="447"/>
      <c r="Q719" s="497">
        <v>4</v>
      </c>
      <c r="R719" s="497">
        <v>0</v>
      </c>
      <c r="S719" s="497">
        <v>0.02</v>
      </c>
      <c r="T719" s="497">
        <v>1.5</v>
      </c>
    </row>
    <row r="720" spans="16:20" ht="15">
      <c r="P720" s="447"/>
      <c r="Q720" s="497">
        <v>4</v>
      </c>
      <c r="R720" s="497">
        <v>0</v>
      </c>
      <c r="S720" s="497">
        <v>0.04</v>
      </c>
      <c r="T720" s="497">
        <v>1.5</v>
      </c>
    </row>
    <row r="721" spans="16:20" ht="15">
      <c r="P721" s="447"/>
      <c r="Q721" s="497">
        <v>4</v>
      </c>
      <c r="R721" s="497">
        <v>0</v>
      </c>
      <c r="S721" s="497">
        <v>0.05</v>
      </c>
      <c r="T721" s="497">
        <v>1.5</v>
      </c>
    </row>
    <row r="722" spans="16:20" ht="15">
      <c r="P722" s="447"/>
      <c r="Q722" s="497">
        <v>4</v>
      </c>
      <c r="R722" s="497">
        <v>0</v>
      </c>
      <c r="S722" s="497">
        <v>0.06</v>
      </c>
      <c r="T722" s="497">
        <v>1.5</v>
      </c>
    </row>
    <row r="723" spans="16:20" ht="15">
      <c r="P723" s="447"/>
      <c r="Q723" s="497">
        <v>4</v>
      </c>
      <c r="R723" s="497">
        <v>0</v>
      </c>
      <c r="S723" s="497">
        <v>0.08</v>
      </c>
      <c r="T723" s="497">
        <v>1.5</v>
      </c>
    </row>
    <row r="724" spans="16:20" ht="15">
      <c r="P724" s="447"/>
      <c r="Q724" s="497">
        <v>4</v>
      </c>
      <c r="R724" s="497">
        <v>0</v>
      </c>
      <c r="S724" s="497">
        <v>0.1</v>
      </c>
      <c r="T724" s="497">
        <v>1.5</v>
      </c>
    </row>
    <row r="725" spans="16:20" ht="15">
      <c r="P725" s="447"/>
      <c r="Q725" s="497">
        <v>4</v>
      </c>
      <c r="R725" s="497">
        <v>0</v>
      </c>
      <c r="S725" s="497">
        <v>0.15</v>
      </c>
      <c r="T725" s="497">
        <v>1.5</v>
      </c>
    </row>
    <row r="726" spans="16:20" ht="15">
      <c r="P726" s="447"/>
      <c r="Q726" s="497">
        <v>4</v>
      </c>
      <c r="R726" s="497">
        <v>0</v>
      </c>
      <c r="S726" s="497">
        <v>0.2</v>
      </c>
      <c r="T726" s="497">
        <v>1.5</v>
      </c>
    </row>
    <row r="727" spans="16:20" ht="15">
      <c r="P727" s="447"/>
      <c r="Q727" s="497">
        <v>4</v>
      </c>
      <c r="R727" s="497">
        <v>0</v>
      </c>
      <c r="S727" s="497">
        <v>0.25</v>
      </c>
      <c r="T727" s="497">
        <v>1.5</v>
      </c>
    </row>
    <row r="728" spans="16:20" ht="15">
      <c r="P728" s="447"/>
      <c r="Q728" s="497">
        <v>4</v>
      </c>
      <c r="R728" s="497">
        <v>0</v>
      </c>
      <c r="S728" s="497">
        <v>1</v>
      </c>
      <c r="T728" s="497">
        <v>1.5</v>
      </c>
    </row>
    <row r="729" spans="16:20" ht="15">
      <c r="P729" s="447"/>
      <c r="Q729" s="497">
        <v>4</v>
      </c>
      <c r="R729" s="497">
        <v>0.4</v>
      </c>
      <c r="S729" s="497">
        <v>0</v>
      </c>
      <c r="T729" s="497">
        <v>1.5</v>
      </c>
    </row>
    <row r="730" spans="16:20" ht="15">
      <c r="P730" s="447"/>
      <c r="Q730" s="497">
        <v>4</v>
      </c>
      <c r="R730" s="497">
        <v>0.4</v>
      </c>
      <c r="S730" s="497">
        <v>0.02</v>
      </c>
      <c r="T730" s="497">
        <v>1.5</v>
      </c>
    </row>
    <row r="731" spans="16:20" ht="15">
      <c r="P731" s="447"/>
      <c r="Q731" s="497">
        <v>4</v>
      </c>
      <c r="R731" s="497">
        <v>0.4</v>
      </c>
      <c r="S731" s="497">
        <v>0.04</v>
      </c>
      <c r="T731" s="497">
        <v>1.5</v>
      </c>
    </row>
    <row r="732" spans="16:20" ht="15">
      <c r="P732" s="447"/>
      <c r="Q732" s="497">
        <v>4</v>
      </c>
      <c r="R732" s="497">
        <v>0.4</v>
      </c>
      <c r="S732" s="497">
        <v>0.05</v>
      </c>
      <c r="T732" s="497">
        <v>1.5</v>
      </c>
    </row>
    <row r="733" spans="16:20" ht="15">
      <c r="P733" s="447"/>
      <c r="Q733" s="497">
        <v>4</v>
      </c>
      <c r="R733" s="497">
        <v>0.4</v>
      </c>
      <c r="S733" s="497">
        <v>0.06</v>
      </c>
      <c r="T733" s="497">
        <v>1.5</v>
      </c>
    </row>
    <row r="734" spans="16:20" ht="15">
      <c r="P734" s="447"/>
      <c r="Q734" s="497">
        <v>4</v>
      </c>
      <c r="R734" s="497">
        <v>0.4</v>
      </c>
      <c r="S734" s="497">
        <v>0.08</v>
      </c>
      <c r="T734" s="497">
        <v>1.5</v>
      </c>
    </row>
    <row r="735" spans="16:20" ht="15">
      <c r="P735" s="447"/>
      <c r="Q735" s="497">
        <v>4</v>
      </c>
      <c r="R735" s="497">
        <v>0.4</v>
      </c>
      <c r="S735" s="497">
        <v>0.1</v>
      </c>
      <c r="T735" s="497">
        <v>1.5</v>
      </c>
    </row>
    <row r="736" spans="16:20" ht="15">
      <c r="P736" s="447"/>
      <c r="Q736" s="497">
        <v>4</v>
      </c>
      <c r="R736" s="497">
        <v>0.4</v>
      </c>
      <c r="S736" s="497">
        <v>0.15</v>
      </c>
      <c r="T736" s="497">
        <v>1.5</v>
      </c>
    </row>
    <row r="737" spans="16:20" s="497" customFormat="1" ht="15">
      <c r="P737" s="447"/>
      <c r="Q737" s="497">
        <v>4</v>
      </c>
      <c r="R737" s="497">
        <v>0.4</v>
      </c>
      <c r="S737" s="497">
        <v>0.2</v>
      </c>
      <c r="T737" s="497">
        <v>1.5</v>
      </c>
    </row>
    <row r="738" spans="16:20" s="497" customFormat="1" ht="15">
      <c r="P738" s="447"/>
      <c r="Q738" s="497">
        <v>4</v>
      </c>
      <c r="R738" s="497">
        <v>0.4</v>
      </c>
      <c r="S738" s="497">
        <v>0.25</v>
      </c>
      <c r="T738" s="497">
        <v>1.5</v>
      </c>
    </row>
    <row r="739" spans="16:20" s="497" customFormat="1" ht="15">
      <c r="P739" s="447"/>
      <c r="Q739" s="497">
        <v>4</v>
      </c>
      <c r="R739" s="497">
        <v>0.4</v>
      </c>
      <c r="S739" s="497">
        <v>1</v>
      </c>
      <c r="T739" s="497">
        <v>1.5</v>
      </c>
    </row>
    <row r="740" spans="16:20" s="497" customFormat="1" ht="15">
      <c r="P740" s="447"/>
      <c r="Q740" s="497">
        <v>4</v>
      </c>
      <c r="R740" s="497">
        <v>0.40100000000000002</v>
      </c>
      <c r="S740" s="497">
        <v>0</v>
      </c>
      <c r="T740" s="497">
        <v>2</v>
      </c>
    </row>
    <row r="741" spans="16:20" s="497" customFormat="1" ht="15">
      <c r="P741" s="447"/>
      <c r="Q741" s="497">
        <v>4</v>
      </c>
      <c r="R741" s="497">
        <v>0.40100000000000002</v>
      </c>
      <c r="S741" s="497">
        <v>0.02</v>
      </c>
      <c r="T741" s="497">
        <v>2</v>
      </c>
    </row>
    <row r="742" spans="16:20" s="497" customFormat="1" ht="15">
      <c r="P742" s="447"/>
      <c r="Q742" s="497">
        <v>4</v>
      </c>
      <c r="R742" s="497">
        <v>0.40100000000000002</v>
      </c>
      <c r="S742" s="497">
        <v>0.04</v>
      </c>
      <c r="T742" s="497">
        <v>2</v>
      </c>
    </row>
    <row r="743" spans="16:20" s="497" customFormat="1" ht="15">
      <c r="P743" s="447"/>
      <c r="Q743" s="497">
        <v>4</v>
      </c>
      <c r="R743" s="497">
        <v>0.40100000000000002</v>
      </c>
      <c r="S743" s="497">
        <v>0.05</v>
      </c>
      <c r="T743" s="497">
        <v>2</v>
      </c>
    </row>
    <row r="744" spans="16:20" s="497" customFormat="1" ht="15">
      <c r="P744" s="447"/>
      <c r="Q744" s="497">
        <v>4</v>
      </c>
      <c r="R744" s="497">
        <v>0.40100000000000002</v>
      </c>
      <c r="S744" s="497">
        <v>0.06</v>
      </c>
      <c r="T744" s="497">
        <v>2</v>
      </c>
    </row>
    <row r="745" spans="16:20" s="497" customFormat="1" ht="15">
      <c r="P745" s="447"/>
      <c r="Q745" s="497">
        <v>4</v>
      </c>
      <c r="R745" s="497">
        <v>0.40100000000000002</v>
      </c>
      <c r="S745" s="497">
        <v>0.08</v>
      </c>
      <c r="T745" s="497">
        <v>2</v>
      </c>
    </row>
    <row r="746" spans="16:20" s="497" customFormat="1" ht="15">
      <c r="P746" s="447"/>
      <c r="Q746" s="497">
        <v>4</v>
      </c>
      <c r="R746" s="497">
        <v>0.40100000000000002</v>
      </c>
      <c r="S746" s="497">
        <v>0.1</v>
      </c>
      <c r="T746" s="497">
        <v>2</v>
      </c>
    </row>
    <row r="747" spans="16:20" s="497" customFormat="1" ht="15">
      <c r="P747" s="447"/>
      <c r="Q747" s="497">
        <v>4</v>
      </c>
      <c r="R747" s="497">
        <v>0.40100000000000002</v>
      </c>
      <c r="S747" s="497">
        <v>0.15</v>
      </c>
      <c r="T747" s="497">
        <v>1.5</v>
      </c>
    </row>
    <row r="748" spans="16:20" s="497" customFormat="1" ht="15">
      <c r="P748" s="447"/>
      <c r="Q748" s="497">
        <v>4</v>
      </c>
      <c r="R748" s="497">
        <v>0.40100000000000002</v>
      </c>
      <c r="S748" s="497">
        <v>0.2</v>
      </c>
      <c r="T748" s="497">
        <v>1.5</v>
      </c>
    </row>
    <row r="749" spans="16:20" s="497" customFormat="1" ht="15">
      <c r="P749" s="447"/>
      <c r="Q749" s="497">
        <v>4</v>
      </c>
      <c r="R749" s="497">
        <v>0.40100000000000002</v>
      </c>
      <c r="S749" s="497">
        <v>0.25</v>
      </c>
      <c r="T749" s="497">
        <v>1.5</v>
      </c>
    </row>
    <row r="750" spans="16:20" s="497" customFormat="1" ht="15">
      <c r="P750" s="447"/>
      <c r="Q750" s="497">
        <v>4</v>
      </c>
      <c r="R750" s="497">
        <v>0.40100000000000002</v>
      </c>
      <c r="S750" s="497">
        <v>1</v>
      </c>
      <c r="T750" s="497">
        <v>1.5</v>
      </c>
    </row>
    <row r="751" spans="16:20" s="497" customFormat="1" ht="15">
      <c r="P751" s="447"/>
      <c r="Q751" s="497">
        <v>4</v>
      </c>
      <c r="R751" s="497">
        <v>0.5</v>
      </c>
      <c r="S751" s="497">
        <v>0</v>
      </c>
      <c r="T751" s="497">
        <v>2</v>
      </c>
    </row>
    <row r="752" spans="16:20" s="497" customFormat="1" ht="15">
      <c r="P752" s="447"/>
      <c r="Q752" s="497">
        <v>4</v>
      </c>
      <c r="R752" s="497">
        <v>0.5</v>
      </c>
      <c r="S752" s="497">
        <v>0.02</v>
      </c>
      <c r="T752" s="497">
        <v>2</v>
      </c>
    </row>
    <row r="753" spans="16:20" s="497" customFormat="1" ht="15">
      <c r="P753" s="447"/>
      <c r="Q753" s="497">
        <v>4</v>
      </c>
      <c r="R753" s="497">
        <v>0.5</v>
      </c>
      <c r="S753" s="497">
        <v>0.04</v>
      </c>
      <c r="T753" s="497">
        <v>2</v>
      </c>
    </row>
    <row r="754" spans="16:20" s="497" customFormat="1" ht="15">
      <c r="P754" s="447"/>
      <c r="Q754" s="497">
        <v>4</v>
      </c>
      <c r="R754" s="497">
        <v>0.5</v>
      </c>
      <c r="S754" s="497">
        <v>0.05</v>
      </c>
      <c r="T754" s="497">
        <v>2</v>
      </c>
    </row>
    <row r="755" spans="16:20" s="497" customFormat="1" ht="15">
      <c r="P755" s="447"/>
      <c r="Q755" s="497">
        <v>4</v>
      </c>
      <c r="R755" s="497">
        <v>0.5</v>
      </c>
      <c r="S755" s="497">
        <v>0.06</v>
      </c>
      <c r="T755" s="497">
        <v>2</v>
      </c>
    </row>
    <row r="756" spans="16:20" s="497" customFormat="1" ht="15">
      <c r="P756" s="447"/>
      <c r="Q756" s="497">
        <v>4</v>
      </c>
      <c r="R756" s="497">
        <v>0.5</v>
      </c>
      <c r="S756" s="497">
        <v>0.08</v>
      </c>
      <c r="T756" s="497">
        <v>2</v>
      </c>
    </row>
    <row r="757" spans="16:20" s="497" customFormat="1" ht="15">
      <c r="P757" s="447"/>
      <c r="Q757" s="497">
        <v>4</v>
      </c>
      <c r="R757" s="497">
        <v>0.5</v>
      </c>
      <c r="S757" s="497">
        <v>0.1</v>
      </c>
      <c r="T757" s="497">
        <v>2</v>
      </c>
    </row>
    <row r="758" spans="16:20" s="497" customFormat="1" ht="15">
      <c r="P758" s="447"/>
      <c r="Q758" s="497">
        <v>4</v>
      </c>
      <c r="R758" s="497">
        <v>0.5</v>
      </c>
      <c r="S758" s="497">
        <v>0.15</v>
      </c>
      <c r="T758" s="497">
        <v>1.5</v>
      </c>
    </row>
    <row r="759" spans="16:20" s="497" customFormat="1" ht="15">
      <c r="P759" s="447"/>
      <c r="Q759" s="497">
        <v>4</v>
      </c>
      <c r="R759" s="497">
        <v>0.5</v>
      </c>
      <c r="S759" s="497">
        <v>0.2</v>
      </c>
      <c r="T759" s="497">
        <v>1.5</v>
      </c>
    </row>
    <row r="760" spans="16:20" s="497" customFormat="1" ht="15">
      <c r="P760" s="447"/>
      <c r="Q760" s="497">
        <v>4</v>
      </c>
      <c r="R760" s="497">
        <v>0.5</v>
      </c>
      <c r="S760" s="497">
        <v>0.25</v>
      </c>
      <c r="T760" s="497">
        <v>1.5</v>
      </c>
    </row>
    <row r="761" spans="16:20" s="497" customFormat="1" ht="15">
      <c r="P761" s="447"/>
      <c r="Q761" s="497">
        <v>4</v>
      </c>
      <c r="R761" s="497">
        <v>0.5</v>
      </c>
      <c r="S761" s="497">
        <v>1</v>
      </c>
      <c r="T761" s="497">
        <v>1.5</v>
      </c>
    </row>
    <row r="762" spans="16:20" s="497" customFormat="1" ht="15">
      <c r="P762" s="447"/>
      <c r="Q762" s="497">
        <v>4</v>
      </c>
      <c r="R762" s="497">
        <v>0.501</v>
      </c>
      <c r="S762" s="497">
        <v>0</v>
      </c>
      <c r="T762" s="497">
        <v>2</v>
      </c>
    </row>
    <row r="763" spans="16:20" s="497" customFormat="1" ht="15">
      <c r="P763" s="447"/>
      <c r="Q763" s="497">
        <v>4</v>
      </c>
      <c r="R763" s="497">
        <v>0.501</v>
      </c>
      <c r="S763" s="497">
        <v>0.02</v>
      </c>
      <c r="T763" s="497">
        <v>2</v>
      </c>
    </row>
    <row r="764" spans="16:20" s="497" customFormat="1" ht="15">
      <c r="P764" s="447"/>
      <c r="Q764" s="497">
        <v>4</v>
      </c>
      <c r="R764" s="497">
        <v>0.501</v>
      </c>
      <c r="S764" s="497">
        <v>0.04</v>
      </c>
      <c r="T764" s="497">
        <v>2</v>
      </c>
    </row>
    <row r="765" spans="16:20" s="497" customFormat="1" ht="15">
      <c r="P765" s="447"/>
      <c r="Q765" s="497">
        <v>4</v>
      </c>
      <c r="R765" s="497">
        <v>0.501</v>
      </c>
      <c r="S765" s="497">
        <v>0.05</v>
      </c>
      <c r="T765" s="497">
        <v>2</v>
      </c>
    </row>
    <row r="766" spans="16:20" s="497" customFormat="1" ht="15">
      <c r="P766" s="447"/>
      <c r="Q766" s="497">
        <v>4</v>
      </c>
      <c r="R766" s="497">
        <v>0.501</v>
      </c>
      <c r="S766" s="497">
        <v>0.06</v>
      </c>
      <c r="T766" s="497">
        <v>2</v>
      </c>
    </row>
    <row r="767" spans="16:20" s="497" customFormat="1" ht="15">
      <c r="P767" s="447"/>
      <c r="Q767" s="497">
        <v>4</v>
      </c>
      <c r="R767" s="497">
        <v>0.501</v>
      </c>
      <c r="S767" s="497">
        <v>0.08</v>
      </c>
      <c r="T767" s="497">
        <v>2</v>
      </c>
    </row>
    <row r="768" spans="16:20" s="497" customFormat="1" ht="15">
      <c r="P768" s="447"/>
      <c r="Q768" s="497">
        <v>4</v>
      </c>
      <c r="R768" s="497">
        <v>0.501</v>
      </c>
      <c r="S768" s="497">
        <v>0.1</v>
      </c>
      <c r="T768" s="497">
        <v>2</v>
      </c>
    </row>
    <row r="769" spans="16:20" s="497" customFormat="1" ht="15">
      <c r="P769" s="447"/>
      <c r="Q769" s="497">
        <v>4</v>
      </c>
      <c r="R769" s="497">
        <v>0.501</v>
      </c>
      <c r="S769" s="497">
        <v>0.15</v>
      </c>
      <c r="T769" s="497">
        <v>1.5</v>
      </c>
    </row>
    <row r="770" spans="16:20" s="497" customFormat="1" ht="15">
      <c r="P770" s="447"/>
      <c r="Q770" s="497">
        <v>4</v>
      </c>
      <c r="R770" s="497">
        <v>0.501</v>
      </c>
      <c r="S770" s="497">
        <v>0.2</v>
      </c>
      <c r="T770" s="497">
        <v>1.5</v>
      </c>
    </row>
    <row r="771" spans="16:20" s="497" customFormat="1" ht="15">
      <c r="P771" s="447"/>
      <c r="Q771" s="497">
        <v>4</v>
      </c>
      <c r="R771" s="497">
        <v>0.501</v>
      </c>
      <c r="S771" s="497">
        <v>0.25</v>
      </c>
      <c r="T771" s="497">
        <v>1.5</v>
      </c>
    </row>
    <row r="772" spans="16:20" s="497" customFormat="1" ht="15">
      <c r="P772" s="447"/>
      <c r="Q772" s="497">
        <v>4</v>
      </c>
      <c r="R772" s="497">
        <v>0.501</v>
      </c>
      <c r="S772" s="497">
        <v>1</v>
      </c>
      <c r="T772" s="497">
        <v>1.5</v>
      </c>
    </row>
    <row r="773" spans="16:20" s="497" customFormat="1" ht="15">
      <c r="P773" s="447"/>
      <c r="Q773" s="497">
        <v>4</v>
      </c>
      <c r="R773" s="497">
        <v>0.8</v>
      </c>
      <c r="S773" s="497">
        <v>0</v>
      </c>
      <c r="T773" s="497">
        <v>2</v>
      </c>
    </row>
    <row r="774" spans="16:20" s="497" customFormat="1" ht="15">
      <c r="P774" s="447"/>
      <c r="Q774" s="497">
        <v>4</v>
      </c>
      <c r="R774" s="497">
        <v>0.8</v>
      </c>
      <c r="S774" s="497">
        <v>0.02</v>
      </c>
      <c r="T774" s="497">
        <v>2</v>
      </c>
    </row>
    <row r="775" spans="16:20" s="497" customFormat="1" ht="15">
      <c r="P775" s="447"/>
      <c r="Q775" s="497">
        <v>4</v>
      </c>
      <c r="R775" s="497">
        <v>0.8</v>
      </c>
      <c r="S775" s="497">
        <v>0.04</v>
      </c>
      <c r="T775" s="497">
        <v>2</v>
      </c>
    </row>
    <row r="776" spans="16:20" s="497" customFormat="1" ht="15">
      <c r="P776" s="447"/>
      <c r="Q776" s="497">
        <v>4</v>
      </c>
      <c r="R776" s="497">
        <v>0.8</v>
      </c>
      <c r="S776" s="497">
        <v>0.05</v>
      </c>
      <c r="T776" s="497">
        <v>2</v>
      </c>
    </row>
    <row r="777" spans="16:20" s="497" customFormat="1" ht="15">
      <c r="P777" s="447"/>
      <c r="Q777" s="497">
        <v>4</v>
      </c>
      <c r="R777" s="497">
        <v>0.8</v>
      </c>
      <c r="S777" s="497">
        <v>0.06</v>
      </c>
      <c r="T777" s="497">
        <v>2</v>
      </c>
    </row>
    <row r="778" spans="16:20" s="497" customFormat="1" ht="15">
      <c r="P778" s="447"/>
      <c r="Q778" s="497">
        <v>4</v>
      </c>
      <c r="R778" s="497">
        <v>0.8</v>
      </c>
      <c r="S778" s="497">
        <v>0.08</v>
      </c>
      <c r="T778" s="497">
        <v>2</v>
      </c>
    </row>
    <row r="779" spans="16:20" s="497" customFormat="1" ht="15">
      <c r="P779" s="447"/>
      <c r="Q779" s="497">
        <v>4</v>
      </c>
      <c r="R779" s="497">
        <v>0.8</v>
      </c>
      <c r="S779" s="497">
        <v>0.1</v>
      </c>
      <c r="T779" s="497">
        <v>2</v>
      </c>
    </row>
    <row r="780" spans="16:20" s="497" customFormat="1" ht="15">
      <c r="P780" s="447"/>
      <c r="Q780" s="497">
        <v>4</v>
      </c>
      <c r="R780" s="497">
        <v>0.8</v>
      </c>
      <c r="S780" s="497">
        <v>0.15</v>
      </c>
      <c r="T780" s="497">
        <v>1.5</v>
      </c>
    </row>
    <row r="781" spans="16:20" s="497" customFormat="1" ht="15">
      <c r="P781" s="447"/>
      <c r="Q781" s="497">
        <v>4</v>
      </c>
      <c r="R781" s="497">
        <v>0.8</v>
      </c>
      <c r="S781" s="497">
        <v>0.2</v>
      </c>
      <c r="T781" s="497">
        <v>1.5</v>
      </c>
    </row>
    <row r="782" spans="16:20" s="497" customFormat="1" ht="15">
      <c r="P782" s="447"/>
      <c r="Q782" s="497">
        <v>4</v>
      </c>
      <c r="R782" s="497">
        <v>0.8</v>
      </c>
      <c r="S782" s="497">
        <v>0.25</v>
      </c>
      <c r="T782" s="497">
        <v>1.5</v>
      </c>
    </row>
    <row r="783" spans="16:20" s="497" customFormat="1" ht="15">
      <c r="P783" s="447"/>
      <c r="Q783" s="497">
        <v>4</v>
      </c>
      <c r="R783" s="497">
        <v>0.8</v>
      </c>
      <c r="S783" s="497">
        <v>1</v>
      </c>
      <c r="T783" s="497">
        <v>1.5</v>
      </c>
    </row>
    <row r="784" spans="16:20" s="497" customFormat="1" ht="15">
      <c r="P784" s="447"/>
      <c r="Q784" s="497">
        <v>4</v>
      </c>
      <c r="R784" s="497">
        <v>0.80100000000000005</v>
      </c>
      <c r="S784" s="497">
        <v>0</v>
      </c>
      <c r="T784" s="497">
        <v>2.5</v>
      </c>
    </row>
    <row r="785" spans="16:20" s="497" customFormat="1" ht="15">
      <c r="P785" s="447"/>
      <c r="Q785" s="497">
        <v>4</v>
      </c>
      <c r="R785" s="497">
        <v>0.80100000000000005</v>
      </c>
      <c r="S785" s="497">
        <v>0.02</v>
      </c>
      <c r="T785" s="497">
        <v>2.5</v>
      </c>
    </row>
    <row r="786" spans="16:20" s="497" customFormat="1" ht="15">
      <c r="P786" s="447"/>
      <c r="Q786" s="497">
        <v>4</v>
      </c>
      <c r="R786" s="497">
        <v>0.80100000000000005</v>
      </c>
      <c r="S786" s="497">
        <v>0.04</v>
      </c>
      <c r="T786" s="497">
        <v>2.5</v>
      </c>
    </row>
    <row r="787" spans="16:20" s="497" customFormat="1" ht="15">
      <c r="P787" s="447"/>
      <c r="Q787" s="497">
        <v>4</v>
      </c>
      <c r="R787" s="497">
        <v>0.80100000000000005</v>
      </c>
      <c r="S787" s="497">
        <v>0.05</v>
      </c>
      <c r="T787" s="497">
        <v>2</v>
      </c>
    </row>
    <row r="788" spans="16:20" s="497" customFormat="1" ht="15">
      <c r="P788" s="447"/>
      <c r="Q788" s="497">
        <v>4</v>
      </c>
      <c r="R788" s="497">
        <v>0.80100000000000005</v>
      </c>
      <c r="S788" s="497">
        <v>0.06</v>
      </c>
      <c r="T788" s="497">
        <v>2</v>
      </c>
    </row>
    <row r="789" spans="16:20" s="497" customFormat="1" ht="15">
      <c r="P789" s="447"/>
      <c r="Q789" s="497">
        <v>4</v>
      </c>
      <c r="R789" s="497">
        <v>0.80100000000000005</v>
      </c>
      <c r="S789" s="497">
        <v>0.08</v>
      </c>
      <c r="T789" s="497">
        <v>2</v>
      </c>
    </row>
    <row r="790" spans="16:20" s="497" customFormat="1" ht="15">
      <c r="P790" s="447"/>
      <c r="Q790" s="497">
        <v>4</v>
      </c>
      <c r="R790" s="497">
        <v>0.80100000000000005</v>
      </c>
      <c r="S790" s="497">
        <v>0.1</v>
      </c>
      <c r="T790" s="497">
        <v>2</v>
      </c>
    </row>
    <row r="791" spans="16:20" s="497" customFormat="1" ht="15">
      <c r="P791" s="447"/>
      <c r="Q791" s="497">
        <v>4</v>
      </c>
      <c r="R791" s="497">
        <v>0.80100000000000005</v>
      </c>
      <c r="S791" s="497">
        <v>0.15</v>
      </c>
      <c r="T791" s="497">
        <v>2</v>
      </c>
    </row>
    <row r="792" spans="16:20" s="497" customFormat="1" ht="15">
      <c r="P792" s="447"/>
      <c r="Q792" s="497">
        <v>4</v>
      </c>
      <c r="R792" s="497">
        <v>0.80100000000000005</v>
      </c>
      <c r="S792" s="497">
        <v>0.2</v>
      </c>
      <c r="T792" s="497">
        <v>2</v>
      </c>
    </row>
    <row r="793" spans="16:20" s="497" customFormat="1" ht="15">
      <c r="P793" s="447"/>
      <c r="Q793" s="497">
        <v>4</v>
      </c>
      <c r="R793" s="497">
        <v>0.80100000000000005</v>
      </c>
      <c r="S793" s="497">
        <v>0.25</v>
      </c>
      <c r="T793" s="497">
        <v>2</v>
      </c>
    </row>
    <row r="794" spans="16:20" s="497" customFormat="1" ht="15">
      <c r="P794" s="447"/>
      <c r="Q794" s="497">
        <v>4</v>
      </c>
      <c r="R794" s="497">
        <v>0.80100000000000005</v>
      </c>
      <c r="S794" s="497">
        <v>1</v>
      </c>
      <c r="T794" s="497">
        <v>2</v>
      </c>
    </row>
    <row r="795" spans="16:20" s="497" customFormat="1" ht="15">
      <c r="P795" s="447"/>
      <c r="Q795" s="497">
        <v>4</v>
      </c>
      <c r="R795" s="497">
        <v>1.2</v>
      </c>
      <c r="S795" s="497">
        <v>0</v>
      </c>
      <c r="T795" s="497">
        <v>2.5</v>
      </c>
    </row>
    <row r="796" spans="16:20" s="497" customFormat="1" ht="15">
      <c r="P796" s="447"/>
      <c r="Q796" s="497">
        <v>4</v>
      </c>
      <c r="R796" s="497">
        <v>1.2</v>
      </c>
      <c r="S796" s="497">
        <v>0.02</v>
      </c>
      <c r="T796" s="497">
        <v>2.5</v>
      </c>
    </row>
    <row r="797" spans="16:20" s="497" customFormat="1" ht="15">
      <c r="P797" s="447"/>
      <c r="Q797" s="497">
        <v>4</v>
      </c>
      <c r="R797" s="497">
        <v>1.2</v>
      </c>
      <c r="S797" s="497">
        <v>0.04</v>
      </c>
      <c r="T797" s="497">
        <v>2.5</v>
      </c>
    </row>
    <row r="798" spans="16:20" s="497" customFormat="1" ht="15">
      <c r="P798" s="447"/>
      <c r="Q798" s="497">
        <v>4</v>
      </c>
      <c r="R798" s="497">
        <v>1.2</v>
      </c>
      <c r="S798" s="497">
        <v>0.05</v>
      </c>
      <c r="T798" s="497">
        <v>2</v>
      </c>
    </row>
    <row r="799" spans="16:20" s="497" customFormat="1" ht="15">
      <c r="P799" s="447"/>
      <c r="Q799" s="497">
        <v>4</v>
      </c>
      <c r="R799" s="497">
        <v>1.2</v>
      </c>
      <c r="S799" s="497">
        <v>0.06</v>
      </c>
      <c r="T799" s="497">
        <v>2</v>
      </c>
    </row>
    <row r="800" spans="16:20" s="497" customFormat="1" ht="15">
      <c r="P800" s="447"/>
      <c r="Q800" s="497">
        <v>4</v>
      </c>
      <c r="R800" s="497">
        <v>1.2</v>
      </c>
      <c r="S800" s="497">
        <v>0.08</v>
      </c>
      <c r="T800" s="497">
        <v>2</v>
      </c>
    </row>
    <row r="801" spans="16:20" s="497" customFormat="1" ht="15">
      <c r="P801" s="447"/>
      <c r="Q801" s="497">
        <v>4</v>
      </c>
      <c r="R801" s="497">
        <v>1.2</v>
      </c>
      <c r="S801" s="497">
        <v>0.1</v>
      </c>
      <c r="T801" s="497">
        <v>2</v>
      </c>
    </row>
    <row r="802" spans="16:20" s="497" customFormat="1" ht="15">
      <c r="P802" s="447"/>
      <c r="Q802" s="497">
        <v>4</v>
      </c>
      <c r="R802" s="497">
        <v>1.2</v>
      </c>
      <c r="S802" s="497">
        <v>0.15</v>
      </c>
      <c r="T802" s="497">
        <v>2</v>
      </c>
    </row>
    <row r="803" spans="16:20" s="497" customFormat="1" ht="15">
      <c r="P803" s="447"/>
      <c r="Q803" s="497">
        <v>4</v>
      </c>
      <c r="R803" s="497">
        <v>1.2</v>
      </c>
      <c r="S803" s="497">
        <v>0.2</v>
      </c>
      <c r="T803" s="497">
        <v>2</v>
      </c>
    </row>
    <row r="804" spans="16:20" s="497" customFormat="1" ht="15">
      <c r="P804" s="447"/>
      <c r="Q804" s="497">
        <v>4</v>
      </c>
      <c r="R804" s="497">
        <v>1.2</v>
      </c>
      <c r="S804" s="497">
        <v>0.25</v>
      </c>
      <c r="T804" s="497">
        <v>2</v>
      </c>
    </row>
    <row r="805" spans="16:20" s="497" customFormat="1" ht="15">
      <c r="P805" s="447"/>
      <c r="Q805" s="497">
        <v>4</v>
      </c>
      <c r="R805" s="497">
        <v>1.2</v>
      </c>
      <c r="S805" s="497">
        <v>1</v>
      </c>
      <c r="T805" s="497">
        <v>2</v>
      </c>
    </row>
    <row r="806" spans="16:20" s="497" customFormat="1" ht="15">
      <c r="P806" s="447"/>
      <c r="Q806" s="497">
        <v>4</v>
      </c>
      <c r="R806" s="497">
        <v>1.2010000000000001</v>
      </c>
      <c r="S806" s="497">
        <v>0</v>
      </c>
      <c r="T806" s="497">
        <v>3</v>
      </c>
    </row>
    <row r="807" spans="16:20" s="497" customFormat="1" ht="15">
      <c r="P807" s="447"/>
      <c r="Q807" s="497">
        <v>4</v>
      </c>
      <c r="R807" s="497">
        <v>1.2010000000000001</v>
      </c>
      <c r="S807" s="497">
        <v>0.02</v>
      </c>
      <c r="T807" s="497">
        <v>3</v>
      </c>
    </row>
    <row r="808" spans="16:20" s="497" customFormat="1" ht="15">
      <c r="P808" s="447"/>
      <c r="Q808" s="497">
        <v>4</v>
      </c>
      <c r="R808" s="497">
        <v>1.2010000000000001</v>
      </c>
      <c r="S808" s="497">
        <v>0.04</v>
      </c>
      <c r="T808" s="497">
        <v>3</v>
      </c>
    </row>
    <row r="809" spans="16:20" s="497" customFormat="1" ht="15">
      <c r="P809" s="447"/>
      <c r="Q809" s="497">
        <v>4</v>
      </c>
      <c r="R809" s="497">
        <v>1.2010000000000001</v>
      </c>
      <c r="S809" s="497">
        <v>0.05</v>
      </c>
      <c r="T809" s="497">
        <v>2.5</v>
      </c>
    </row>
    <row r="810" spans="16:20" s="497" customFormat="1" ht="15">
      <c r="P810" s="447"/>
      <c r="Q810" s="497">
        <v>4</v>
      </c>
      <c r="R810" s="497">
        <v>1.2010000000000001</v>
      </c>
      <c r="S810" s="497">
        <v>0.06</v>
      </c>
      <c r="T810" s="497">
        <v>2.5</v>
      </c>
    </row>
    <row r="811" spans="16:20" s="497" customFormat="1" ht="15">
      <c r="P811" s="447"/>
      <c r="Q811" s="497">
        <v>4</v>
      </c>
      <c r="R811" s="497">
        <v>1.2010000000000001</v>
      </c>
      <c r="S811" s="497">
        <v>0.08</v>
      </c>
      <c r="T811" s="497">
        <v>2.5</v>
      </c>
    </row>
    <row r="812" spans="16:20" s="497" customFormat="1" ht="15">
      <c r="P812" s="447"/>
      <c r="Q812" s="497">
        <v>4</v>
      </c>
      <c r="R812" s="497">
        <v>1.2010000000000001</v>
      </c>
      <c r="S812" s="497">
        <v>0.1</v>
      </c>
      <c r="T812" s="497">
        <v>2.5</v>
      </c>
    </row>
    <row r="813" spans="16:20" s="497" customFormat="1" ht="15">
      <c r="P813" s="447"/>
      <c r="Q813" s="497">
        <v>4</v>
      </c>
      <c r="R813" s="497">
        <v>1.2010000000000001</v>
      </c>
      <c r="S813" s="497">
        <v>0.15</v>
      </c>
      <c r="T813" s="497">
        <v>2</v>
      </c>
    </row>
    <row r="814" spans="16:20" s="497" customFormat="1" ht="15">
      <c r="P814" s="447"/>
      <c r="Q814" s="497">
        <v>4</v>
      </c>
      <c r="R814" s="497">
        <v>1.2010000000000001</v>
      </c>
      <c r="S814" s="497">
        <v>0.2</v>
      </c>
      <c r="T814" s="497">
        <v>2</v>
      </c>
    </row>
    <row r="815" spans="16:20" s="497" customFormat="1" ht="15">
      <c r="P815" s="447"/>
      <c r="Q815" s="497">
        <v>4</v>
      </c>
      <c r="R815" s="497">
        <v>1.2010000000000001</v>
      </c>
      <c r="S815" s="497">
        <v>0.25</v>
      </c>
      <c r="T815" s="497">
        <v>2</v>
      </c>
    </row>
    <row r="816" spans="16:20" s="497" customFormat="1" ht="15">
      <c r="P816" s="447"/>
      <c r="Q816" s="497">
        <v>4</v>
      </c>
      <c r="R816" s="497">
        <v>1.2010000000000001</v>
      </c>
      <c r="S816" s="497">
        <v>1</v>
      </c>
      <c r="T816" s="497">
        <v>2</v>
      </c>
    </row>
    <row r="817" spans="16:20" s="497" customFormat="1" ht="15">
      <c r="P817" s="447"/>
      <c r="Q817" s="497">
        <v>4</v>
      </c>
      <c r="R817" s="497">
        <v>1.6</v>
      </c>
      <c r="S817" s="497">
        <v>0</v>
      </c>
      <c r="T817" s="497">
        <v>3</v>
      </c>
    </row>
    <row r="818" spans="16:20" s="497" customFormat="1" ht="15">
      <c r="P818" s="447"/>
      <c r="Q818" s="497">
        <v>4</v>
      </c>
      <c r="R818" s="497">
        <v>1.6</v>
      </c>
      <c r="S818" s="497">
        <v>0.02</v>
      </c>
      <c r="T818" s="497">
        <v>3</v>
      </c>
    </row>
    <row r="819" spans="16:20" s="497" customFormat="1" ht="15">
      <c r="P819" s="447"/>
      <c r="Q819" s="497">
        <v>4</v>
      </c>
      <c r="R819" s="497">
        <v>1.6</v>
      </c>
      <c r="S819" s="497">
        <v>0.04</v>
      </c>
      <c r="T819" s="497">
        <v>3</v>
      </c>
    </row>
    <row r="820" spans="16:20" s="497" customFormat="1" ht="15">
      <c r="P820" s="447"/>
      <c r="Q820" s="497">
        <v>4</v>
      </c>
      <c r="R820" s="497">
        <v>1.6</v>
      </c>
      <c r="S820" s="497">
        <v>0.05</v>
      </c>
      <c r="T820" s="497">
        <v>2.5</v>
      </c>
    </row>
    <row r="821" spans="16:20" s="497" customFormat="1" ht="15">
      <c r="P821" s="447"/>
      <c r="Q821" s="497">
        <v>4</v>
      </c>
      <c r="R821" s="497">
        <v>1.6</v>
      </c>
      <c r="S821" s="497">
        <v>0.06</v>
      </c>
      <c r="T821" s="497">
        <v>2.5</v>
      </c>
    </row>
    <row r="822" spans="16:20" s="497" customFormat="1" ht="15">
      <c r="P822" s="447"/>
      <c r="Q822" s="497">
        <v>4</v>
      </c>
      <c r="R822" s="497">
        <v>1.6</v>
      </c>
      <c r="S822" s="497">
        <v>0.08</v>
      </c>
      <c r="T822" s="497">
        <v>2.5</v>
      </c>
    </row>
    <row r="823" spans="16:20" s="497" customFormat="1" ht="15">
      <c r="P823" s="447"/>
      <c r="Q823" s="497">
        <v>4</v>
      </c>
      <c r="R823" s="497">
        <v>1.6</v>
      </c>
      <c r="S823" s="497">
        <v>0.1</v>
      </c>
      <c r="T823" s="497">
        <v>2.5</v>
      </c>
    </row>
    <row r="824" spans="16:20" s="497" customFormat="1" ht="15">
      <c r="P824" s="447"/>
      <c r="Q824" s="497">
        <v>4</v>
      </c>
      <c r="R824" s="497">
        <v>1.6</v>
      </c>
      <c r="S824" s="497">
        <v>0.15</v>
      </c>
      <c r="T824" s="497">
        <v>2</v>
      </c>
    </row>
    <row r="825" spans="16:20" s="497" customFormat="1" ht="15">
      <c r="P825" s="447"/>
      <c r="Q825" s="497">
        <v>4</v>
      </c>
      <c r="R825" s="497">
        <v>1.6</v>
      </c>
      <c r="S825" s="497">
        <v>0.2</v>
      </c>
      <c r="T825" s="497">
        <v>2</v>
      </c>
    </row>
    <row r="826" spans="16:20" s="497" customFormat="1" ht="15">
      <c r="P826" s="447"/>
      <c r="Q826" s="497">
        <v>4</v>
      </c>
      <c r="R826" s="497">
        <v>1.6</v>
      </c>
      <c r="S826" s="497">
        <v>0.25</v>
      </c>
      <c r="T826" s="497">
        <v>2</v>
      </c>
    </row>
    <row r="827" spans="16:20" s="497" customFormat="1" ht="15">
      <c r="P827" s="447"/>
      <c r="Q827" s="497">
        <v>4</v>
      </c>
      <c r="R827" s="497">
        <v>1.6</v>
      </c>
      <c r="S827" s="497">
        <v>1</v>
      </c>
      <c r="T827" s="497">
        <v>2</v>
      </c>
    </row>
    <row r="828" spans="16:20" s="497" customFormat="1" ht="15">
      <c r="P828" s="447"/>
      <c r="Q828" s="497">
        <v>4</v>
      </c>
      <c r="R828" s="497">
        <v>1.601</v>
      </c>
      <c r="S828" s="497">
        <v>0</v>
      </c>
      <c r="T828" s="497">
        <v>3.5</v>
      </c>
    </row>
    <row r="829" spans="16:20" s="497" customFormat="1" ht="15">
      <c r="P829" s="447"/>
      <c r="Q829" s="497">
        <v>4</v>
      </c>
      <c r="R829" s="497">
        <v>1.601</v>
      </c>
      <c r="S829" s="497">
        <v>0.02</v>
      </c>
      <c r="T829" s="497">
        <v>3.5</v>
      </c>
    </row>
    <row r="830" spans="16:20" s="497" customFormat="1" ht="15">
      <c r="P830" s="447"/>
      <c r="Q830" s="497">
        <v>4</v>
      </c>
      <c r="R830" s="497">
        <v>1.601</v>
      </c>
      <c r="S830" s="497">
        <v>0.04</v>
      </c>
      <c r="T830" s="497">
        <v>3.5</v>
      </c>
    </row>
    <row r="831" spans="16:20" s="497" customFormat="1" ht="15">
      <c r="P831" s="447"/>
      <c r="Q831" s="497">
        <v>4</v>
      </c>
      <c r="R831" s="497">
        <v>1.601</v>
      </c>
      <c r="S831" s="497">
        <v>0.05</v>
      </c>
      <c r="T831" s="497">
        <v>3</v>
      </c>
    </row>
    <row r="832" spans="16:20" s="497" customFormat="1" ht="15">
      <c r="P832" s="447"/>
      <c r="Q832" s="497">
        <v>4</v>
      </c>
      <c r="R832" s="497">
        <v>1.601</v>
      </c>
      <c r="S832" s="497">
        <v>0.06</v>
      </c>
      <c r="T832" s="497">
        <v>3</v>
      </c>
    </row>
    <row r="833" spans="16:20" s="497" customFormat="1" ht="15">
      <c r="P833" s="447"/>
      <c r="Q833" s="497">
        <v>4</v>
      </c>
      <c r="R833" s="497">
        <v>1.601</v>
      </c>
      <c r="S833" s="497">
        <v>0.08</v>
      </c>
      <c r="T833" s="497">
        <v>3</v>
      </c>
    </row>
    <row r="834" spans="16:20" s="497" customFormat="1" ht="15">
      <c r="P834" s="447"/>
      <c r="Q834" s="497">
        <v>4</v>
      </c>
      <c r="R834" s="497">
        <v>1.601</v>
      </c>
      <c r="S834" s="497">
        <v>0.1</v>
      </c>
      <c r="T834" s="497">
        <v>3</v>
      </c>
    </row>
    <row r="835" spans="16:20" s="497" customFormat="1" ht="15">
      <c r="P835" s="447"/>
      <c r="Q835" s="497">
        <v>4</v>
      </c>
      <c r="R835" s="497">
        <v>1.601</v>
      </c>
      <c r="S835" s="497">
        <v>0.15</v>
      </c>
      <c r="T835" s="497">
        <v>2.5</v>
      </c>
    </row>
    <row r="836" spans="16:20" s="497" customFormat="1" ht="15">
      <c r="P836" s="447"/>
      <c r="Q836" s="497">
        <v>4</v>
      </c>
      <c r="R836" s="497">
        <v>1.601</v>
      </c>
      <c r="S836" s="497">
        <v>0.2</v>
      </c>
      <c r="T836" s="497">
        <v>2.5</v>
      </c>
    </row>
    <row r="837" spans="16:20" s="497" customFormat="1" ht="15">
      <c r="P837" s="447"/>
      <c r="Q837" s="497">
        <v>4</v>
      </c>
      <c r="R837" s="497">
        <v>1.601</v>
      </c>
      <c r="S837" s="497">
        <v>0.25</v>
      </c>
      <c r="T837" s="497">
        <v>2.5</v>
      </c>
    </row>
    <row r="838" spans="16:20" s="497" customFormat="1" ht="15">
      <c r="P838" s="447"/>
      <c r="Q838" s="497">
        <v>4</v>
      </c>
      <c r="R838" s="497">
        <v>1.601</v>
      </c>
      <c r="S838" s="497">
        <v>1</v>
      </c>
      <c r="T838" s="497">
        <v>2.5</v>
      </c>
    </row>
    <row r="839" spans="16:20" s="497" customFormat="1" ht="15">
      <c r="P839" s="447"/>
      <c r="Q839" s="497">
        <v>4</v>
      </c>
      <c r="R839" s="497">
        <v>2.4</v>
      </c>
      <c r="S839" s="497">
        <v>0</v>
      </c>
      <c r="T839" s="497">
        <v>4</v>
      </c>
    </row>
    <row r="840" spans="16:20" s="497" customFormat="1" ht="15">
      <c r="P840" s="447"/>
      <c r="Q840" s="497">
        <v>4</v>
      </c>
      <c r="R840" s="497">
        <v>2.4</v>
      </c>
      <c r="S840" s="497">
        <v>0.02</v>
      </c>
      <c r="T840" s="497">
        <v>4</v>
      </c>
    </row>
    <row r="841" spans="16:20" s="497" customFormat="1" ht="15">
      <c r="P841" s="447"/>
      <c r="Q841" s="497">
        <v>4</v>
      </c>
      <c r="R841" s="497">
        <v>2.4</v>
      </c>
      <c r="S841" s="497">
        <v>0.04</v>
      </c>
      <c r="T841" s="497">
        <v>3.5</v>
      </c>
    </row>
    <row r="842" spans="16:20" s="497" customFormat="1" ht="15">
      <c r="P842" s="447"/>
      <c r="Q842" s="497">
        <v>4</v>
      </c>
      <c r="R842" s="497">
        <v>2.4</v>
      </c>
      <c r="S842" s="497">
        <v>0.05</v>
      </c>
      <c r="T842" s="497">
        <v>3</v>
      </c>
    </row>
    <row r="843" spans="16:20" s="497" customFormat="1" ht="15">
      <c r="P843" s="447"/>
      <c r="Q843" s="497">
        <v>4</v>
      </c>
      <c r="R843" s="497">
        <v>2.4</v>
      </c>
      <c r="S843" s="497">
        <v>0.06</v>
      </c>
      <c r="T843" s="497">
        <v>3</v>
      </c>
    </row>
    <row r="844" spans="16:20" s="497" customFormat="1" ht="15">
      <c r="P844" s="447"/>
      <c r="Q844" s="497">
        <v>4</v>
      </c>
      <c r="R844" s="497">
        <v>2.4</v>
      </c>
      <c r="S844" s="497">
        <v>0.08</v>
      </c>
      <c r="T844" s="497">
        <v>3</v>
      </c>
    </row>
    <row r="845" spans="16:20" s="497" customFormat="1" ht="15">
      <c r="P845" s="447"/>
      <c r="Q845" s="497">
        <v>4</v>
      </c>
      <c r="R845" s="497">
        <v>2.4</v>
      </c>
      <c r="S845" s="497">
        <v>0.1</v>
      </c>
      <c r="T845" s="497">
        <v>3</v>
      </c>
    </row>
    <row r="846" spans="16:20" s="497" customFormat="1" ht="15">
      <c r="P846" s="447"/>
      <c r="Q846" s="497">
        <v>4</v>
      </c>
      <c r="R846" s="497">
        <v>2.4</v>
      </c>
      <c r="S846" s="497">
        <v>0.15</v>
      </c>
      <c r="T846" s="497">
        <v>2.5</v>
      </c>
    </row>
    <row r="847" spans="16:20" s="497" customFormat="1" ht="15">
      <c r="P847" s="447"/>
      <c r="Q847" s="497">
        <v>4</v>
      </c>
      <c r="R847" s="497">
        <v>2.4</v>
      </c>
      <c r="S847" s="497">
        <v>0.2</v>
      </c>
      <c r="T847" s="497">
        <v>2.5</v>
      </c>
    </row>
    <row r="848" spans="16:20" s="497" customFormat="1" ht="15">
      <c r="P848" s="447"/>
      <c r="Q848" s="497">
        <v>4</v>
      </c>
      <c r="R848" s="497">
        <v>2.4</v>
      </c>
      <c r="S848" s="497">
        <v>0.25</v>
      </c>
      <c r="T848" s="497">
        <v>2.5</v>
      </c>
    </row>
    <row r="849" spans="16:20" s="497" customFormat="1" ht="15">
      <c r="P849" s="447"/>
      <c r="Q849" s="497">
        <v>4</v>
      </c>
      <c r="R849" s="497">
        <v>2.4</v>
      </c>
      <c r="S849" s="497">
        <v>1</v>
      </c>
      <c r="T849" s="497">
        <v>2.5</v>
      </c>
    </row>
    <row r="850" spans="16:20" s="497" customFormat="1" ht="15">
      <c r="P850" s="447"/>
      <c r="Q850" s="497">
        <v>4</v>
      </c>
      <c r="R850" s="497">
        <v>100</v>
      </c>
      <c r="S850" s="497">
        <v>0</v>
      </c>
      <c r="T850" s="497">
        <v>4</v>
      </c>
    </row>
    <row r="851" spans="16:20" s="497" customFormat="1" ht="15">
      <c r="P851" s="447"/>
      <c r="Q851" s="497">
        <v>4</v>
      </c>
      <c r="R851" s="497">
        <v>100</v>
      </c>
      <c r="S851" s="497">
        <v>0.02</v>
      </c>
      <c r="T851" s="497">
        <v>4</v>
      </c>
    </row>
    <row r="852" spans="16:20" s="497" customFormat="1" ht="15">
      <c r="P852" s="447"/>
      <c r="Q852" s="497">
        <v>4</v>
      </c>
      <c r="R852" s="497">
        <v>100</v>
      </c>
      <c r="S852" s="497">
        <v>0.04</v>
      </c>
      <c r="T852" s="497">
        <v>3.5</v>
      </c>
    </row>
    <row r="853" spans="16:20" s="497" customFormat="1" ht="15">
      <c r="P853" s="447"/>
      <c r="Q853" s="497">
        <v>4</v>
      </c>
      <c r="R853" s="497">
        <v>100</v>
      </c>
      <c r="S853" s="497">
        <v>0.05</v>
      </c>
      <c r="T853" s="497">
        <v>3</v>
      </c>
    </row>
    <row r="854" spans="16:20" s="497" customFormat="1" ht="15">
      <c r="P854" s="447"/>
      <c r="Q854" s="497">
        <v>4</v>
      </c>
      <c r="R854" s="497">
        <v>100</v>
      </c>
      <c r="S854" s="497">
        <v>0.06</v>
      </c>
      <c r="T854" s="497">
        <v>3</v>
      </c>
    </row>
    <row r="855" spans="16:20" s="497" customFormat="1" ht="15">
      <c r="P855" s="447"/>
      <c r="Q855" s="497">
        <v>4</v>
      </c>
      <c r="R855" s="497">
        <v>100</v>
      </c>
      <c r="S855" s="497">
        <v>0.08</v>
      </c>
      <c r="T855" s="497">
        <v>3</v>
      </c>
    </row>
    <row r="856" spans="16:20" s="497" customFormat="1" ht="15">
      <c r="P856" s="447"/>
      <c r="Q856" s="497">
        <v>4</v>
      </c>
      <c r="R856" s="497">
        <v>100</v>
      </c>
      <c r="S856" s="497">
        <v>0.1</v>
      </c>
      <c r="T856" s="497">
        <v>3</v>
      </c>
    </row>
    <row r="857" spans="16:20" s="497" customFormat="1" ht="15">
      <c r="P857" s="447"/>
      <c r="Q857" s="497">
        <v>4</v>
      </c>
      <c r="R857" s="497">
        <v>100</v>
      </c>
      <c r="S857" s="497">
        <v>0.15</v>
      </c>
      <c r="T857" s="497">
        <v>2.5</v>
      </c>
    </row>
    <row r="858" spans="16:20" s="497" customFormat="1" ht="15">
      <c r="P858" s="447"/>
      <c r="Q858" s="497">
        <v>4</v>
      </c>
      <c r="R858" s="497">
        <v>100</v>
      </c>
      <c r="S858" s="497">
        <v>0.2</v>
      </c>
      <c r="T858" s="497">
        <v>2.5</v>
      </c>
    </row>
    <row r="859" spans="16:20" s="497" customFormat="1" ht="15">
      <c r="P859" s="447"/>
      <c r="Q859" s="497">
        <v>4</v>
      </c>
      <c r="R859" s="497">
        <v>100</v>
      </c>
      <c r="S859" s="497">
        <v>0.25</v>
      </c>
      <c r="T859" s="497">
        <v>2.5</v>
      </c>
    </row>
    <row r="860" spans="16:20" s="497" customFormat="1" ht="15">
      <c r="P860" s="447"/>
      <c r="Q860" s="497">
        <v>4</v>
      </c>
      <c r="R860" s="497">
        <v>100</v>
      </c>
      <c r="S860" s="497">
        <v>1</v>
      </c>
      <c r="T860" s="497">
        <v>2.5</v>
      </c>
    </row>
    <row r="861" spans="16:20" s="497" customFormat="1" ht="15">
      <c r="P861" s="447"/>
      <c r="Q861" s="497">
        <v>4.01</v>
      </c>
      <c r="R861" s="497">
        <v>0</v>
      </c>
      <c r="S861" s="497">
        <v>0</v>
      </c>
      <c r="T861" s="497">
        <v>1.5</v>
      </c>
    </row>
    <row r="862" spans="16:20" s="497" customFormat="1" ht="15">
      <c r="P862" s="447"/>
      <c r="Q862" s="497">
        <v>4.01</v>
      </c>
      <c r="R862" s="497">
        <v>0</v>
      </c>
      <c r="S862" s="497">
        <v>0.02</v>
      </c>
      <c r="T862" s="497">
        <v>1.5</v>
      </c>
    </row>
    <row r="863" spans="16:20" s="497" customFormat="1" ht="15">
      <c r="P863" s="447"/>
      <c r="Q863" s="497">
        <v>4.01</v>
      </c>
      <c r="R863" s="497">
        <v>0</v>
      </c>
      <c r="S863" s="497">
        <v>0.04</v>
      </c>
      <c r="T863" s="497">
        <v>1.5</v>
      </c>
    </row>
    <row r="864" spans="16:20" s="497" customFormat="1" ht="15">
      <c r="P864" s="447"/>
      <c r="Q864" s="497">
        <v>4.01</v>
      </c>
      <c r="R864" s="497">
        <v>0</v>
      </c>
      <c r="S864" s="497">
        <v>0.05</v>
      </c>
      <c r="T864" s="497">
        <v>1.5</v>
      </c>
    </row>
    <row r="865" spans="16:20" s="497" customFormat="1" ht="15">
      <c r="P865" s="447"/>
      <c r="Q865" s="497">
        <v>4.01</v>
      </c>
      <c r="R865" s="497">
        <v>0</v>
      </c>
      <c r="S865" s="497">
        <v>0.06</v>
      </c>
      <c r="T865" s="497">
        <v>1.5</v>
      </c>
    </row>
    <row r="866" spans="16:20" s="497" customFormat="1" ht="15">
      <c r="P866" s="447"/>
      <c r="Q866" s="497">
        <v>4.01</v>
      </c>
      <c r="R866" s="497">
        <v>0</v>
      </c>
      <c r="S866" s="497">
        <v>0.08</v>
      </c>
      <c r="T866" s="497">
        <v>1.5</v>
      </c>
    </row>
    <row r="867" spans="16:20" s="497" customFormat="1" ht="15">
      <c r="P867" s="447"/>
      <c r="Q867" s="497">
        <v>4.01</v>
      </c>
      <c r="R867" s="497">
        <v>0</v>
      </c>
      <c r="S867" s="497">
        <v>0.1</v>
      </c>
      <c r="T867" s="497">
        <v>1.5</v>
      </c>
    </row>
    <row r="868" spans="16:20" s="497" customFormat="1" ht="15">
      <c r="P868" s="447"/>
      <c r="Q868" s="497">
        <v>4.01</v>
      </c>
      <c r="R868" s="497">
        <v>0</v>
      </c>
      <c r="S868" s="497">
        <v>0.15</v>
      </c>
      <c r="T868" s="497">
        <v>1.5</v>
      </c>
    </row>
    <row r="869" spans="16:20" s="497" customFormat="1" ht="15">
      <c r="P869" s="447"/>
      <c r="Q869" s="497">
        <v>4.01</v>
      </c>
      <c r="R869" s="497">
        <v>0</v>
      </c>
      <c r="S869" s="497">
        <v>0.2</v>
      </c>
      <c r="T869" s="497">
        <v>1.5</v>
      </c>
    </row>
    <row r="870" spans="16:20" s="497" customFormat="1" ht="15">
      <c r="P870" s="447"/>
      <c r="Q870" s="497">
        <v>4.01</v>
      </c>
      <c r="R870" s="497">
        <v>0</v>
      </c>
      <c r="S870" s="497">
        <v>0.25</v>
      </c>
      <c r="T870" s="497">
        <v>1.5</v>
      </c>
    </row>
    <row r="871" spans="16:20" s="497" customFormat="1" ht="15">
      <c r="P871" s="447"/>
      <c r="Q871" s="497">
        <v>4.01</v>
      </c>
      <c r="R871" s="497">
        <v>0</v>
      </c>
      <c r="S871" s="497">
        <v>1</v>
      </c>
      <c r="T871" s="497">
        <v>1.5</v>
      </c>
    </row>
    <row r="872" spans="16:20" s="497" customFormat="1" ht="15">
      <c r="P872" s="447"/>
      <c r="Q872" s="497">
        <v>4.01</v>
      </c>
      <c r="R872" s="497">
        <v>0.4</v>
      </c>
      <c r="S872" s="497">
        <v>0</v>
      </c>
      <c r="T872" s="497">
        <v>1.5</v>
      </c>
    </row>
    <row r="873" spans="16:20" s="497" customFormat="1" ht="15">
      <c r="P873" s="447"/>
      <c r="Q873" s="497">
        <v>4.01</v>
      </c>
      <c r="R873" s="497">
        <v>0.4</v>
      </c>
      <c r="S873" s="497">
        <v>0.02</v>
      </c>
      <c r="T873" s="497">
        <v>1.5</v>
      </c>
    </row>
    <row r="874" spans="16:20" s="497" customFormat="1" ht="15">
      <c r="P874" s="447"/>
      <c r="Q874" s="497">
        <v>4.01</v>
      </c>
      <c r="R874" s="497">
        <v>0.4</v>
      </c>
      <c r="S874" s="497">
        <v>0.04</v>
      </c>
      <c r="T874" s="497">
        <v>1.5</v>
      </c>
    </row>
    <row r="875" spans="16:20" s="497" customFormat="1" ht="15">
      <c r="P875" s="447"/>
      <c r="Q875" s="497">
        <v>4.01</v>
      </c>
      <c r="R875" s="497">
        <v>0.4</v>
      </c>
      <c r="S875" s="497">
        <v>0.05</v>
      </c>
      <c r="T875" s="497">
        <v>1.5</v>
      </c>
    </row>
    <row r="876" spans="16:20" s="497" customFormat="1" ht="15">
      <c r="P876" s="447"/>
      <c r="Q876" s="497">
        <v>4.01</v>
      </c>
      <c r="R876" s="497">
        <v>0.4</v>
      </c>
      <c r="S876" s="497">
        <v>0.06</v>
      </c>
      <c r="T876" s="497">
        <v>1.5</v>
      </c>
    </row>
    <row r="877" spans="16:20" s="497" customFormat="1" ht="15">
      <c r="P877" s="447"/>
      <c r="Q877" s="497">
        <v>4.01</v>
      </c>
      <c r="R877" s="497">
        <v>0.4</v>
      </c>
      <c r="S877" s="497">
        <v>0.08</v>
      </c>
      <c r="T877" s="497">
        <v>1.5</v>
      </c>
    </row>
    <row r="878" spans="16:20" s="497" customFormat="1" ht="15">
      <c r="P878" s="447"/>
      <c r="Q878" s="497">
        <v>4.01</v>
      </c>
      <c r="R878" s="497">
        <v>0.4</v>
      </c>
      <c r="S878" s="497">
        <v>0.1</v>
      </c>
      <c r="T878" s="497">
        <v>1.5</v>
      </c>
    </row>
    <row r="879" spans="16:20" s="497" customFormat="1" ht="15">
      <c r="P879" s="447"/>
      <c r="Q879" s="497">
        <v>4.01</v>
      </c>
      <c r="R879" s="497">
        <v>0.4</v>
      </c>
      <c r="S879" s="497">
        <v>0.15</v>
      </c>
      <c r="T879" s="497">
        <v>1.5</v>
      </c>
    </row>
    <row r="880" spans="16:20" s="497" customFormat="1" ht="15">
      <c r="P880" s="447"/>
      <c r="Q880" s="497">
        <v>4.01</v>
      </c>
      <c r="R880" s="497">
        <v>0.4</v>
      </c>
      <c r="S880" s="497">
        <v>0.2</v>
      </c>
      <c r="T880" s="497">
        <v>1.5</v>
      </c>
    </row>
    <row r="881" spans="16:20" s="497" customFormat="1" ht="15">
      <c r="P881" s="447"/>
      <c r="Q881" s="497">
        <v>4.01</v>
      </c>
      <c r="R881" s="497">
        <v>0.4</v>
      </c>
      <c r="S881" s="497">
        <v>0.25</v>
      </c>
      <c r="T881" s="497">
        <v>1.5</v>
      </c>
    </row>
    <row r="882" spans="16:20" s="497" customFormat="1" ht="15">
      <c r="P882" s="447"/>
      <c r="Q882" s="497">
        <v>4.01</v>
      </c>
      <c r="R882" s="497">
        <v>0.4</v>
      </c>
      <c r="S882" s="497">
        <v>1</v>
      </c>
      <c r="T882" s="497">
        <v>1.5</v>
      </c>
    </row>
    <row r="883" spans="16:20" s="497" customFormat="1" ht="15">
      <c r="P883" s="447"/>
      <c r="Q883" s="497">
        <v>4.01</v>
      </c>
      <c r="R883" s="497">
        <v>0.40100000000000002</v>
      </c>
      <c r="S883" s="497">
        <v>0</v>
      </c>
      <c r="T883" s="497">
        <v>3</v>
      </c>
    </row>
    <row r="884" spans="16:20" s="497" customFormat="1" ht="15">
      <c r="P884" s="447"/>
      <c r="Q884" s="497">
        <v>4.01</v>
      </c>
      <c r="R884" s="497">
        <v>0.40100000000000002</v>
      </c>
      <c r="S884" s="497">
        <v>0.02</v>
      </c>
      <c r="T884" s="497">
        <v>3</v>
      </c>
    </row>
    <row r="885" spans="16:20" s="497" customFormat="1" ht="15">
      <c r="P885" s="447"/>
      <c r="Q885" s="497">
        <v>4.01</v>
      </c>
      <c r="R885" s="497">
        <v>0.40100000000000002</v>
      </c>
      <c r="S885" s="497">
        <v>0.04</v>
      </c>
      <c r="T885" s="497">
        <v>2.5</v>
      </c>
    </row>
    <row r="886" spans="16:20" s="497" customFormat="1" ht="15">
      <c r="P886" s="447"/>
      <c r="Q886" s="497">
        <v>4.01</v>
      </c>
      <c r="R886" s="497">
        <v>0.40100000000000002</v>
      </c>
      <c r="S886" s="497">
        <v>0.05</v>
      </c>
      <c r="T886" s="497">
        <v>2.5</v>
      </c>
    </row>
    <row r="887" spans="16:20" s="497" customFormat="1" ht="15">
      <c r="P887" s="447"/>
      <c r="Q887" s="497">
        <v>4.01</v>
      </c>
      <c r="R887" s="497">
        <v>0.40100000000000002</v>
      </c>
      <c r="S887" s="497">
        <v>0.06</v>
      </c>
      <c r="T887" s="497">
        <v>2.5</v>
      </c>
    </row>
    <row r="888" spans="16:20" s="497" customFormat="1" ht="15">
      <c r="P888" s="447"/>
      <c r="Q888" s="497">
        <v>4.01</v>
      </c>
      <c r="R888" s="497">
        <v>0.40100000000000002</v>
      </c>
      <c r="S888" s="497">
        <v>0.08</v>
      </c>
      <c r="T888" s="497">
        <v>2</v>
      </c>
    </row>
    <row r="889" spans="16:20" s="497" customFormat="1" ht="15">
      <c r="P889" s="447"/>
      <c r="Q889" s="497">
        <v>4.01</v>
      </c>
      <c r="R889" s="497">
        <v>0.40100000000000002</v>
      </c>
      <c r="S889" s="497">
        <v>0.1</v>
      </c>
      <c r="T889" s="497">
        <v>2</v>
      </c>
    </row>
    <row r="890" spans="16:20" s="497" customFormat="1" ht="15">
      <c r="P890" s="447"/>
      <c r="Q890" s="497">
        <v>4.01</v>
      </c>
      <c r="R890" s="497">
        <v>0.40100000000000002</v>
      </c>
      <c r="S890" s="497">
        <v>0.15</v>
      </c>
      <c r="T890" s="497">
        <v>2</v>
      </c>
    </row>
    <row r="891" spans="16:20" s="497" customFormat="1" ht="15">
      <c r="P891" s="447"/>
      <c r="Q891" s="497">
        <v>4.01</v>
      </c>
      <c r="R891" s="497">
        <v>0.40100000000000002</v>
      </c>
      <c r="S891" s="497">
        <v>0.2</v>
      </c>
      <c r="T891" s="497">
        <v>2</v>
      </c>
    </row>
    <row r="892" spans="16:20" s="497" customFormat="1" ht="15">
      <c r="P892" s="447"/>
      <c r="Q892" s="497">
        <v>4.01</v>
      </c>
      <c r="R892" s="497">
        <v>0.40100000000000002</v>
      </c>
      <c r="S892" s="497">
        <v>0.25</v>
      </c>
      <c r="T892" s="497">
        <v>2</v>
      </c>
    </row>
    <row r="893" spans="16:20" s="497" customFormat="1" ht="15">
      <c r="P893" s="447"/>
      <c r="Q893" s="497">
        <v>4.01</v>
      </c>
      <c r="R893" s="497">
        <v>0.40100000000000002</v>
      </c>
      <c r="S893" s="497">
        <v>1</v>
      </c>
      <c r="T893" s="497">
        <v>2</v>
      </c>
    </row>
    <row r="894" spans="16:20" s="497" customFormat="1" ht="15">
      <c r="P894" s="447"/>
      <c r="Q894" s="497">
        <v>4.01</v>
      </c>
      <c r="R894" s="497">
        <v>0.5</v>
      </c>
      <c r="S894" s="497">
        <v>0</v>
      </c>
      <c r="T894" s="497">
        <v>3</v>
      </c>
    </row>
    <row r="895" spans="16:20" s="497" customFormat="1" ht="15">
      <c r="P895" s="447"/>
      <c r="Q895" s="497">
        <v>4.01</v>
      </c>
      <c r="R895" s="497">
        <v>0.5</v>
      </c>
      <c r="S895" s="497">
        <v>0.02</v>
      </c>
      <c r="T895" s="497">
        <v>3</v>
      </c>
    </row>
    <row r="896" spans="16:20" s="497" customFormat="1" ht="15">
      <c r="P896" s="447"/>
      <c r="Q896" s="497">
        <v>4.01</v>
      </c>
      <c r="R896" s="497">
        <v>0.5</v>
      </c>
      <c r="S896" s="497">
        <v>0.04</v>
      </c>
      <c r="T896" s="497">
        <v>2.5</v>
      </c>
    </row>
    <row r="897" spans="16:20" s="497" customFormat="1" ht="15">
      <c r="P897" s="447"/>
      <c r="Q897" s="497">
        <v>4.01</v>
      </c>
      <c r="R897" s="497">
        <v>0.5</v>
      </c>
      <c r="S897" s="497">
        <v>0.05</v>
      </c>
      <c r="T897" s="497">
        <v>2.5</v>
      </c>
    </row>
    <row r="898" spans="16:20" s="497" customFormat="1" ht="15">
      <c r="P898" s="447"/>
      <c r="Q898" s="497">
        <v>4.01</v>
      </c>
      <c r="R898" s="497">
        <v>0.5</v>
      </c>
      <c r="S898" s="497">
        <v>0.06</v>
      </c>
      <c r="T898" s="497">
        <v>2.5</v>
      </c>
    </row>
    <row r="899" spans="16:20" s="497" customFormat="1" ht="15">
      <c r="P899" s="447"/>
      <c r="Q899" s="497">
        <v>4.01</v>
      </c>
      <c r="R899" s="497">
        <v>0.5</v>
      </c>
      <c r="S899" s="497">
        <v>0.08</v>
      </c>
      <c r="T899" s="497">
        <v>2</v>
      </c>
    </row>
    <row r="900" spans="16:20" s="497" customFormat="1" ht="15">
      <c r="P900" s="447"/>
      <c r="Q900" s="497">
        <v>4.01</v>
      </c>
      <c r="R900" s="497">
        <v>0.5</v>
      </c>
      <c r="S900" s="497">
        <v>0.1</v>
      </c>
      <c r="T900" s="497">
        <v>2</v>
      </c>
    </row>
    <row r="901" spans="16:20" s="497" customFormat="1" ht="15">
      <c r="P901" s="447"/>
      <c r="Q901" s="497">
        <v>4.01</v>
      </c>
      <c r="R901" s="497">
        <v>0.5</v>
      </c>
      <c r="S901" s="497">
        <v>0.15</v>
      </c>
      <c r="T901" s="497">
        <v>2</v>
      </c>
    </row>
    <row r="902" spans="16:20" s="497" customFormat="1" ht="15">
      <c r="P902" s="447"/>
      <c r="Q902" s="497">
        <v>4.01</v>
      </c>
      <c r="R902" s="497">
        <v>0.5</v>
      </c>
      <c r="S902" s="497">
        <v>0.2</v>
      </c>
      <c r="T902" s="497">
        <v>2</v>
      </c>
    </row>
    <row r="903" spans="16:20" s="497" customFormat="1" ht="15">
      <c r="P903" s="447"/>
      <c r="Q903" s="497">
        <v>4.01</v>
      </c>
      <c r="R903" s="497">
        <v>0.5</v>
      </c>
      <c r="S903" s="497">
        <v>0.25</v>
      </c>
      <c r="T903" s="497">
        <v>2</v>
      </c>
    </row>
    <row r="904" spans="16:20" s="497" customFormat="1" ht="15">
      <c r="P904" s="447"/>
      <c r="Q904" s="497">
        <v>4.01</v>
      </c>
      <c r="R904" s="497">
        <v>0.5</v>
      </c>
      <c r="S904" s="497">
        <v>1</v>
      </c>
      <c r="T904" s="497">
        <v>2</v>
      </c>
    </row>
    <row r="905" spans="16:20" s="497" customFormat="1" ht="15">
      <c r="P905" s="447"/>
      <c r="Q905" s="497">
        <v>4.01</v>
      </c>
      <c r="R905" s="497">
        <v>0.501</v>
      </c>
      <c r="S905" s="497">
        <v>0</v>
      </c>
      <c r="T905" s="497">
        <v>3</v>
      </c>
    </row>
    <row r="906" spans="16:20" s="497" customFormat="1" ht="15">
      <c r="P906" s="447"/>
      <c r="Q906" s="497">
        <v>4.01</v>
      </c>
      <c r="R906" s="497">
        <v>0.501</v>
      </c>
      <c r="S906" s="497">
        <v>0.02</v>
      </c>
      <c r="T906" s="497">
        <v>3</v>
      </c>
    </row>
    <row r="907" spans="16:20" s="497" customFormat="1" ht="15">
      <c r="P907" s="447"/>
      <c r="Q907" s="497">
        <v>4.01</v>
      </c>
      <c r="R907" s="497">
        <v>0.501</v>
      </c>
      <c r="S907" s="497">
        <v>0.04</v>
      </c>
      <c r="T907" s="497">
        <v>2.5</v>
      </c>
    </row>
    <row r="908" spans="16:20" s="497" customFormat="1" ht="15">
      <c r="P908" s="447"/>
      <c r="Q908" s="497">
        <v>4.01</v>
      </c>
      <c r="R908" s="497">
        <v>0.501</v>
      </c>
      <c r="S908" s="497">
        <v>0.05</v>
      </c>
      <c r="T908" s="497">
        <v>2.5</v>
      </c>
    </row>
    <row r="909" spans="16:20" s="497" customFormat="1" ht="15">
      <c r="P909" s="447"/>
      <c r="Q909" s="497">
        <v>4.01</v>
      </c>
      <c r="R909" s="497">
        <v>0.501</v>
      </c>
      <c r="S909" s="497">
        <v>0.06</v>
      </c>
      <c r="T909" s="497">
        <v>2.5</v>
      </c>
    </row>
    <row r="910" spans="16:20" s="497" customFormat="1" ht="15">
      <c r="P910" s="447"/>
      <c r="Q910" s="497">
        <v>4.01</v>
      </c>
      <c r="R910" s="497">
        <v>0.501</v>
      </c>
      <c r="S910" s="497">
        <v>0.08</v>
      </c>
      <c r="T910" s="497">
        <v>2</v>
      </c>
    </row>
    <row r="911" spans="16:20" s="497" customFormat="1" ht="15">
      <c r="P911" s="447"/>
      <c r="Q911" s="497">
        <v>4.01</v>
      </c>
      <c r="R911" s="497">
        <v>0.501</v>
      </c>
      <c r="S911" s="497">
        <v>0.1</v>
      </c>
      <c r="T911" s="497">
        <v>2</v>
      </c>
    </row>
    <row r="912" spans="16:20" s="497" customFormat="1" ht="15">
      <c r="P912" s="447"/>
      <c r="Q912" s="497">
        <v>4.01</v>
      </c>
      <c r="R912" s="497">
        <v>0.501</v>
      </c>
      <c r="S912" s="497">
        <v>0.15</v>
      </c>
      <c r="T912" s="497">
        <v>2</v>
      </c>
    </row>
    <row r="913" spans="16:20" s="497" customFormat="1" ht="15">
      <c r="P913" s="447"/>
      <c r="Q913" s="497">
        <v>4.01</v>
      </c>
      <c r="R913" s="497">
        <v>0.501</v>
      </c>
      <c r="S913" s="497">
        <v>0.2</v>
      </c>
      <c r="T913" s="497">
        <v>2</v>
      </c>
    </row>
    <row r="914" spans="16:20" s="497" customFormat="1" ht="15">
      <c r="P914" s="447"/>
      <c r="Q914" s="497">
        <v>4.01</v>
      </c>
      <c r="R914" s="497">
        <v>0.501</v>
      </c>
      <c r="S914" s="497">
        <v>0.25</v>
      </c>
      <c r="T914" s="497">
        <v>2</v>
      </c>
    </row>
    <row r="915" spans="16:20" s="497" customFormat="1" ht="15">
      <c r="P915" s="447"/>
      <c r="Q915" s="497">
        <v>4.01</v>
      </c>
      <c r="R915" s="497">
        <v>0.501</v>
      </c>
      <c r="S915" s="497">
        <v>1</v>
      </c>
      <c r="T915" s="497">
        <v>2</v>
      </c>
    </row>
    <row r="916" spans="16:20" s="497" customFormat="1" ht="15">
      <c r="P916" s="447"/>
      <c r="Q916" s="497">
        <v>4.01</v>
      </c>
      <c r="R916" s="497">
        <v>0.8</v>
      </c>
      <c r="S916" s="497">
        <v>0</v>
      </c>
      <c r="T916" s="497">
        <v>3</v>
      </c>
    </row>
    <row r="917" spans="16:20" s="497" customFormat="1" ht="15">
      <c r="P917" s="447"/>
      <c r="Q917" s="497">
        <v>4.01</v>
      </c>
      <c r="R917" s="497">
        <v>0.8</v>
      </c>
      <c r="S917" s="497">
        <v>0.02</v>
      </c>
      <c r="T917" s="497">
        <v>3</v>
      </c>
    </row>
    <row r="918" spans="16:20" s="497" customFormat="1" ht="15">
      <c r="P918" s="447"/>
      <c r="Q918" s="497">
        <v>4.01</v>
      </c>
      <c r="R918" s="497">
        <v>0.8</v>
      </c>
      <c r="S918" s="497">
        <v>0.04</v>
      </c>
      <c r="T918" s="497">
        <v>2.5</v>
      </c>
    </row>
    <row r="919" spans="16:20" s="497" customFormat="1" ht="15">
      <c r="P919" s="447"/>
      <c r="Q919" s="497">
        <v>4.01</v>
      </c>
      <c r="R919" s="497">
        <v>0.8</v>
      </c>
      <c r="S919" s="497">
        <v>0.05</v>
      </c>
      <c r="T919" s="497">
        <v>2.5</v>
      </c>
    </row>
    <row r="920" spans="16:20" s="497" customFormat="1" ht="15">
      <c r="P920" s="447"/>
      <c r="Q920" s="497">
        <v>4.01</v>
      </c>
      <c r="R920" s="497">
        <v>0.8</v>
      </c>
      <c r="S920" s="497">
        <v>0.06</v>
      </c>
      <c r="T920" s="497">
        <v>2.5</v>
      </c>
    </row>
    <row r="921" spans="16:20" s="497" customFormat="1" ht="15">
      <c r="P921" s="447"/>
      <c r="Q921" s="497">
        <v>4.01</v>
      </c>
      <c r="R921" s="497">
        <v>0.8</v>
      </c>
      <c r="S921" s="497">
        <v>0.08</v>
      </c>
      <c r="T921" s="497">
        <v>2</v>
      </c>
    </row>
    <row r="922" spans="16:20" s="497" customFormat="1" ht="15">
      <c r="P922" s="447"/>
      <c r="Q922" s="497">
        <v>4.01</v>
      </c>
      <c r="R922" s="497">
        <v>0.8</v>
      </c>
      <c r="S922" s="497">
        <v>0.1</v>
      </c>
      <c r="T922" s="497">
        <v>2</v>
      </c>
    </row>
    <row r="923" spans="16:20" s="497" customFormat="1" ht="15">
      <c r="P923" s="447"/>
      <c r="Q923" s="497">
        <v>4.01</v>
      </c>
      <c r="R923" s="497">
        <v>0.8</v>
      </c>
      <c r="S923" s="497">
        <v>0.15</v>
      </c>
      <c r="T923" s="497">
        <v>2</v>
      </c>
    </row>
    <row r="924" spans="16:20" s="497" customFormat="1" ht="15">
      <c r="P924" s="447"/>
      <c r="Q924" s="497">
        <v>4.01</v>
      </c>
      <c r="R924" s="497">
        <v>0.8</v>
      </c>
      <c r="S924" s="497">
        <v>0.2</v>
      </c>
      <c r="T924" s="497">
        <v>2</v>
      </c>
    </row>
    <row r="925" spans="16:20" s="497" customFormat="1" ht="15">
      <c r="P925" s="447"/>
      <c r="Q925" s="497">
        <v>4.01</v>
      </c>
      <c r="R925" s="497">
        <v>0.8</v>
      </c>
      <c r="S925" s="497">
        <v>0.25</v>
      </c>
      <c r="T925" s="497">
        <v>2</v>
      </c>
    </row>
    <row r="926" spans="16:20" s="497" customFormat="1" ht="15">
      <c r="P926" s="447"/>
      <c r="Q926" s="497">
        <v>4.01</v>
      </c>
      <c r="R926" s="497">
        <v>0.8</v>
      </c>
      <c r="S926" s="497">
        <v>1</v>
      </c>
      <c r="T926" s="497">
        <v>2</v>
      </c>
    </row>
    <row r="927" spans="16:20" s="497" customFormat="1" ht="15">
      <c r="P927" s="447"/>
      <c r="Q927" s="497">
        <v>4.01</v>
      </c>
      <c r="R927" s="497">
        <v>0.80100000000000005</v>
      </c>
      <c r="S927" s="497">
        <v>0</v>
      </c>
      <c r="T927" s="497">
        <v>3.5</v>
      </c>
    </row>
    <row r="928" spans="16:20" s="497" customFormat="1" ht="15">
      <c r="P928" s="447"/>
      <c r="Q928" s="497">
        <v>4.01</v>
      </c>
      <c r="R928" s="497">
        <v>0.80100000000000005</v>
      </c>
      <c r="S928" s="497">
        <v>0.02</v>
      </c>
      <c r="T928" s="497">
        <v>3.5</v>
      </c>
    </row>
    <row r="929" spans="16:20" s="497" customFormat="1" ht="15">
      <c r="P929" s="447"/>
      <c r="Q929" s="497">
        <v>4.01</v>
      </c>
      <c r="R929" s="497">
        <v>0.80100000000000005</v>
      </c>
      <c r="S929" s="497">
        <v>0.04</v>
      </c>
      <c r="T929" s="497">
        <v>3</v>
      </c>
    </row>
    <row r="930" spans="16:20" s="497" customFormat="1" ht="15">
      <c r="P930" s="447"/>
      <c r="Q930" s="497">
        <v>4.01</v>
      </c>
      <c r="R930" s="497">
        <v>0.80100000000000005</v>
      </c>
      <c r="S930" s="497">
        <v>0.05</v>
      </c>
      <c r="T930" s="497">
        <v>3</v>
      </c>
    </row>
    <row r="931" spans="16:20" s="497" customFormat="1" ht="15">
      <c r="P931" s="447"/>
      <c r="Q931" s="497">
        <v>4.01</v>
      </c>
      <c r="R931" s="497">
        <v>0.80100000000000005</v>
      </c>
      <c r="S931" s="497">
        <v>0.06</v>
      </c>
      <c r="T931" s="497">
        <v>3</v>
      </c>
    </row>
    <row r="932" spans="16:20" s="497" customFormat="1" ht="15">
      <c r="P932" s="447"/>
      <c r="Q932" s="497">
        <v>4.01</v>
      </c>
      <c r="R932" s="497">
        <v>0.80100000000000005</v>
      </c>
      <c r="S932" s="497">
        <v>0.08</v>
      </c>
      <c r="T932" s="497">
        <v>2.5</v>
      </c>
    </row>
    <row r="933" spans="16:20" s="497" customFormat="1" ht="15">
      <c r="P933" s="447"/>
      <c r="Q933" s="497">
        <v>4.01</v>
      </c>
      <c r="R933" s="497">
        <v>0.80100000000000005</v>
      </c>
      <c r="S933" s="497">
        <v>0.1</v>
      </c>
      <c r="T933" s="497">
        <v>2.5</v>
      </c>
    </row>
    <row r="934" spans="16:20" s="497" customFormat="1" ht="15">
      <c r="P934" s="447"/>
      <c r="Q934" s="497">
        <v>4.01</v>
      </c>
      <c r="R934" s="497">
        <v>0.80100000000000005</v>
      </c>
      <c r="S934" s="497">
        <v>0.15</v>
      </c>
      <c r="T934" s="497">
        <v>2.5</v>
      </c>
    </row>
    <row r="935" spans="16:20" s="497" customFormat="1" ht="15">
      <c r="P935" s="447"/>
      <c r="Q935" s="497">
        <v>4.01</v>
      </c>
      <c r="R935" s="497">
        <v>0.80100000000000005</v>
      </c>
      <c r="S935" s="497">
        <v>0.2</v>
      </c>
      <c r="T935" s="497">
        <v>2.5</v>
      </c>
    </row>
    <row r="936" spans="16:20" s="497" customFormat="1" ht="15">
      <c r="P936" s="447"/>
      <c r="Q936" s="497">
        <v>4.01</v>
      </c>
      <c r="R936" s="497">
        <v>0.80100000000000005</v>
      </c>
      <c r="S936" s="497">
        <v>0.25</v>
      </c>
      <c r="T936" s="497">
        <v>2.5</v>
      </c>
    </row>
    <row r="937" spans="16:20" s="497" customFormat="1" ht="15">
      <c r="P937" s="447"/>
      <c r="Q937" s="497">
        <v>4.01</v>
      </c>
      <c r="R937" s="497">
        <v>0.80100000000000005</v>
      </c>
      <c r="S937" s="497">
        <v>1</v>
      </c>
      <c r="T937" s="497">
        <v>2.5</v>
      </c>
    </row>
    <row r="938" spans="16:20" s="497" customFormat="1" ht="15">
      <c r="P938" s="447"/>
      <c r="Q938" s="497">
        <v>4.01</v>
      </c>
      <c r="R938" s="497">
        <v>1.2</v>
      </c>
      <c r="S938" s="497">
        <v>0</v>
      </c>
      <c r="T938" s="497">
        <v>3.5</v>
      </c>
    </row>
    <row r="939" spans="16:20" s="497" customFormat="1" ht="15">
      <c r="P939" s="447"/>
      <c r="Q939" s="497">
        <v>4.01</v>
      </c>
      <c r="R939" s="497">
        <v>1.2</v>
      </c>
      <c r="S939" s="497">
        <v>0.02</v>
      </c>
      <c r="T939" s="497">
        <v>3.5</v>
      </c>
    </row>
    <row r="940" spans="16:20" s="497" customFormat="1" ht="15">
      <c r="P940" s="447"/>
      <c r="Q940" s="497">
        <v>4.01</v>
      </c>
      <c r="R940" s="497">
        <v>1.2</v>
      </c>
      <c r="S940" s="497">
        <v>0.04</v>
      </c>
      <c r="T940" s="497">
        <v>3</v>
      </c>
    </row>
    <row r="941" spans="16:20" s="497" customFormat="1" ht="15">
      <c r="P941" s="447"/>
      <c r="Q941" s="497">
        <v>4.01</v>
      </c>
      <c r="R941" s="497">
        <v>1.2</v>
      </c>
      <c r="S941" s="497">
        <v>0.05</v>
      </c>
      <c r="T941" s="497">
        <v>3</v>
      </c>
    </row>
    <row r="942" spans="16:20" s="497" customFormat="1" ht="15">
      <c r="P942" s="447"/>
      <c r="Q942" s="497">
        <v>4.01</v>
      </c>
      <c r="R942" s="497">
        <v>1.2</v>
      </c>
      <c r="S942" s="497">
        <v>0.06</v>
      </c>
      <c r="T942" s="497">
        <v>3</v>
      </c>
    </row>
    <row r="943" spans="16:20" s="497" customFormat="1" ht="15">
      <c r="P943" s="447"/>
      <c r="Q943" s="497">
        <v>4.01</v>
      </c>
      <c r="R943" s="497">
        <v>1.2</v>
      </c>
      <c r="S943" s="497">
        <v>0.08</v>
      </c>
      <c r="T943" s="497">
        <v>2.5</v>
      </c>
    </row>
    <row r="944" spans="16:20" s="497" customFormat="1" ht="15">
      <c r="P944" s="447"/>
      <c r="Q944" s="497">
        <v>4.01</v>
      </c>
      <c r="R944" s="497">
        <v>1.2</v>
      </c>
      <c r="S944" s="497">
        <v>0.1</v>
      </c>
      <c r="T944" s="497">
        <v>2.5</v>
      </c>
    </row>
    <row r="945" spans="16:20" s="497" customFormat="1" ht="15">
      <c r="P945" s="447"/>
      <c r="Q945" s="497">
        <v>4.01</v>
      </c>
      <c r="R945" s="497">
        <v>1.2</v>
      </c>
      <c r="S945" s="497">
        <v>0.15</v>
      </c>
      <c r="T945" s="497">
        <v>2.5</v>
      </c>
    </row>
    <row r="946" spans="16:20" s="497" customFormat="1" ht="15">
      <c r="P946" s="447"/>
      <c r="Q946" s="497">
        <v>4.01</v>
      </c>
      <c r="R946" s="497">
        <v>1.2</v>
      </c>
      <c r="S946" s="497">
        <v>0.2</v>
      </c>
      <c r="T946" s="497">
        <v>2.5</v>
      </c>
    </row>
    <row r="947" spans="16:20" s="497" customFormat="1" ht="15">
      <c r="P947" s="447"/>
      <c r="Q947" s="497">
        <v>4.01</v>
      </c>
      <c r="R947" s="497">
        <v>1.2</v>
      </c>
      <c r="S947" s="497">
        <v>0.25</v>
      </c>
      <c r="T947" s="497">
        <v>2.5</v>
      </c>
    </row>
    <row r="948" spans="16:20" s="497" customFormat="1" ht="15">
      <c r="P948" s="447"/>
      <c r="Q948" s="497">
        <v>4.01</v>
      </c>
      <c r="R948" s="497">
        <v>1.2</v>
      </c>
      <c r="S948" s="497">
        <v>1</v>
      </c>
      <c r="T948" s="497">
        <v>2.5</v>
      </c>
    </row>
    <row r="949" spans="16:20" s="497" customFormat="1" ht="15">
      <c r="P949" s="447"/>
      <c r="Q949" s="497">
        <v>4.01</v>
      </c>
      <c r="R949" s="497">
        <v>1.2010000000000001</v>
      </c>
      <c r="S949" s="497">
        <v>0</v>
      </c>
      <c r="T949" s="497">
        <v>4</v>
      </c>
    </row>
    <row r="950" spans="16:20" s="497" customFormat="1" ht="15">
      <c r="P950" s="447"/>
      <c r="Q950" s="497">
        <v>4.01</v>
      </c>
      <c r="R950" s="497">
        <v>1.2010000000000001</v>
      </c>
      <c r="S950" s="497">
        <v>0.02</v>
      </c>
      <c r="T950" s="497">
        <v>4</v>
      </c>
    </row>
    <row r="951" spans="16:20" s="497" customFormat="1" ht="15">
      <c r="P951" s="447"/>
      <c r="Q951" s="497">
        <v>4.01</v>
      </c>
      <c r="R951" s="497">
        <v>1.2010000000000001</v>
      </c>
      <c r="S951" s="497">
        <v>0.04</v>
      </c>
      <c r="T951" s="497">
        <v>3.5</v>
      </c>
    </row>
    <row r="952" spans="16:20" s="497" customFormat="1" ht="15">
      <c r="P952" s="447"/>
      <c r="Q952" s="497">
        <v>4.01</v>
      </c>
      <c r="R952" s="497">
        <v>1.2010000000000001</v>
      </c>
      <c r="S952" s="497">
        <v>0.05</v>
      </c>
      <c r="T952" s="497">
        <v>3.5</v>
      </c>
    </row>
    <row r="953" spans="16:20" s="497" customFormat="1" ht="15">
      <c r="P953" s="447"/>
      <c r="Q953" s="497">
        <v>4.01</v>
      </c>
      <c r="R953" s="497">
        <v>1.2010000000000001</v>
      </c>
      <c r="S953" s="497">
        <v>0.06</v>
      </c>
      <c r="T953" s="497">
        <v>3.5</v>
      </c>
    </row>
    <row r="954" spans="16:20" s="497" customFormat="1" ht="15">
      <c r="P954" s="447"/>
      <c r="Q954" s="497">
        <v>4.01</v>
      </c>
      <c r="R954" s="497">
        <v>1.2010000000000001</v>
      </c>
      <c r="S954" s="497">
        <v>0.08</v>
      </c>
      <c r="T954" s="497">
        <v>3</v>
      </c>
    </row>
    <row r="955" spans="16:20" s="497" customFormat="1" ht="15">
      <c r="P955" s="447"/>
      <c r="Q955" s="497">
        <v>4.01</v>
      </c>
      <c r="R955" s="497">
        <v>1.2010000000000001</v>
      </c>
      <c r="S955" s="497">
        <v>0.1</v>
      </c>
      <c r="T955" s="497">
        <v>3</v>
      </c>
    </row>
    <row r="956" spans="16:20" s="497" customFormat="1" ht="15">
      <c r="P956" s="447"/>
      <c r="Q956" s="497">
        <v>4.01</v>
      </c>
      <c r="R956" s="497">
        <v>1.2010000000000001</v>
      </c>
      <c r="S956" s="497">
        <v>0.15</v>
      </c>
      <c r="T956" s="497">
        <v>3</v>
      </c>
    </row>
    <row r="957" spans="16:20" s="497" customFormat="1" ht="15">
      <c r="P957" s="447"/>
      <c r="Q957" s="497">
        <v>4.01</v>
      </c>
      <c r="R957" s="497">
        <v>1.2010000000000001</v>
      </c>
      <c r="S957" s="497">
        <v>0.2</v>
      </c>
      <c r="T957" s="497">
        <v>3</v>
      </c>
    </row>
    <row r="958" spans="16:20" s="497" customFormat="1" ht="15">
      <c r="P958" s="447"/>
      <c r="Q958" s="497">
        <v>4.01</v>
      </c>
      <c r="R958" s="497">
        <v>1.2010000000000001</v>
      </c>
      <c r="S958" s="497">
        <v>0.25</v>
      </c>
      <c r="T958" s="497">
        <v>3</v>
      </c>
    </row>
    <row r="959" spans="16:20" s="497" customFormat="1" ht="15">
      <c r="P959" s="447"/>
      <c r="Q959" s="497">
        <v>4.01</v>
      </c>
      <c r="R959" s="497">
        <v>1.2010000000000001</v>
      </c>
      <c r="S959" s="497">
        <v>1</v>
      </c>
      <c r="T959" s="497">
        <v>3</v>
      </c>
    </row>
    <row r="960" spans="16:20" s="497" customFormat="1" ht="15">
      <c r="P960" s="447"/>
      <c r="Q960" s="497">
        <v>4.01</v>
      </c>
      <c r="R960" s="497">
        <v>1.6</v>
      </c>
      <c r="S960" s="497">
        <v>0</v>
      </c>
      <c r="T960" s="497">
        <v>4</v>
      </c>
    </row>
    <row r="961" spans="16:20" s="497" customFormat="1" ht="15">
      <c r="P961" s="447"/>
      <c r="Q961" s="497">
        <v>4.01</v>
      </c>
      <c r="R961" s="497">
        <v>1.6</v>
      </c>
      <c r="S961" s="497">
        <v>0.02</v>
      </c>
      <c r="T961" s="497">
        <v>4</v>
      </c>
    </row>
    <row r="962" spans="16:20" s="497" customFormat="1" ht="15">
      <c r="P962" s="447"/>
      <c r="Q962" s="497">
        <v>4.01</v>
      </c>
      <c r="R962" s="497">
        <v>1.6</v>
      </c>
      <c r="S962" s="497">
        <v>0.04</v>
      </c>
      <c r="T962" s="497">
        <v>3.5</v>
      </c>
    </row>
    <row r="963" spans="16:20" s="497" customFormat="1" ht="15">
      <c r="P963" s="447"/>
      <c r="Q963" s="497">
        <v>4.01</v>
      </c>
      <c r="R963" s="497">
        <v>1.6</v>
      </c>
      <c r="S963" s="497">
        <v>0.05</v>
      </c>
      <c r="T963" s="497">
        <v>3.5</v>
      </c>
    </row>
    <row r="964" spans="16:20" s="497" customFormat="1" ht="15">
      <c r="P964" s="447"/>
      <c r="Q964" s="497">
        <v>4.01</v>
      </c>
      <c r="R964" s="497">
        <v>1.6</v>
      </c>
      <c r="S964" s="497">
        <v>0.06</v>
      </c>
      <c r="T964" s="497">
        <v>3.5</v>
      </c>
    </row>
    <row r="965" spans="16:20" s="497" customFormat="1" ht="15">
      <c r="P965" s="447"/>
      <c r="Q965" s="497">
        <v>4.01</v>
      </c>
      <c r="R965" s="497">
        <v>1.6</v>
      </c>
      <c r="S965" s="497">
        <v>0.08</v>
      </c>
      <c r="T965" s="497">
        <v>3</v>
      </c>
    </row>
    <row r="966" spans="16:20" s="497" customFormat="1" ht="15">
      <c r="P966" s="447"/>
      <c r="Q966" s="497">
        <v>4.01</v>
      </c>
      <c r="R966" s="497">
        <v>1.6</v>
      </c>
      <c r="S966" s="497">
        <v>0.1</v>
      </c>
      <c r="T966" s="497">
        <v>3</v>
      </c>
    </row>
    <row r="967" spans="16:20" s="497" customFormat="1" ht="15">
      <c r="P967" s="447"/>
      <c r="Q967" s="497">
        <v>4.01</v>
      </c>
      <c r="R967" s="497">
        <v>1.6</v>
      </c>
      <c r="S967" s="497">
        <v>0.15</v>
      </c>
      <c r="T967" s="497">
        <v>3</v>
      </c>
    </row>
    <row r="968" spans="16:20" s="497" customFormat="1" ht="15">
      <c r="P968" s="447"/>
      <c r="Q968" s="497">
        <v>4.01</v>
      </c>
      <c r="R968" s="497">
        <v>1.6</v>
      </c>
      <c r="S968" s="497">
        <v>0.2</v>
      </c>
      <c r="T968" s="497">
        <v>3</v>
      </c>
    </row>
    <row r="969" spans="16:20" s="497" customFormat="1" ht="15">
      <c r="P969" s="447"/>
      <c r="Q969" s="497">
        <v>4.01</v>
      </c>
      <c r="R969" s="497">
        <v>1.6</v>
      </c>
      <c r="S969" s="497">
        <v>0.25</v>
      </c>
      <c r="T969" s="497">
        <v>3</v>
      </c>
    </row>
    <row r="970" spans="16:20" s="497" customFormat="1" ht="15">
      <c r="P970" s="447"/>
      <c r="Q970" s="497">
        <v>4.01</v>
      </c>
      <c r="R970" s="497">
        <v>1.6</v>
      </c>
      <c r="S970" s="497">
        <v>1</v>
      </c>
      <c r="T970" s="497">
        <v>3</v>
      </c>
    </row>
    <row r="971" spans="16:20" s="497" customFormat="1" ht="15">
      <c r="P971" s="447"/>
      <c r="Q971" s="497">
        <v>4.01</v>
      </c>
      <c r="R971" s="497">
        <v>1.601</v>
      </c>
      <c r="S971" s="497">
        <v>0</v>
      </c>
      <c r="T971" s="497">
        <v>5</v>
      </c>
    </row>
    <row r="972" spans="16:20" s="497" customFormat="1" ht="15">
      <c r="P972" s="447"/>
      <c r="Q972" s="497">
        <v>4.01</v>
      </c>
      <c r="R972" s="497">
        <v>1.601</v>
      </c>
      <c r="S972" s="497">
        <v>0.02</v>
      </c>
      <c r="T972" s="497">
        <v>5</v>
      </c>
    </row>
    <row r="973" spans="16:20" s="497" customFormat="1" ht="15">
      <c r="P973" s="447"/>
      <c r="Q973" s="497">
        <v>4.01</v>
      </c>
      <c r="R973" s="497">
        <v>1.601</v>
      </c>
      <c r="S973" s="497">
        <v>0.04</v>
      </c>
      <c r="T973" s="497">
        <v>4</v>
      </c>
    </row>
    <row r="974" spans="16:20" s="497" customFormat="1" ht="15">
      <c r="P974" s="447"/>
      <c r="Q974" s="497">
        <v>4.01</v>
      </c>
      <c r="R974" s="497">
        <v>1.601</v>
      </c>
      <c r="S974" s="497">
        <v>0.05</v>
      </c>
      <c r="T974" s="497">
        <v>4</v>
      </c>
    </row>
    <row r="975" spans="16:20" s="497" customFormat="1" ht="15">
      <c r="P975" s="447"/>
      <c r="Q975" s="497">
        <v>4.01</v>
      </c>
      <c r="R975" s="497">
        <v>1.601</v>
      </c>
      <c r="S975" s="497">
        <v>0.06</v>
      </c>
      <c r="T975" s="497">
        <v>4</v>
      </c>
    </row>
    <row r="976" spans="16:20" s="497" customFormat="1" ht="15">
      <c r="P976" s="447"/>
      <c r="Q976" s="497">
        <v>4.01</v>
      </c>
      <c r="R976" s="497">
        <v>1.601</v>
      </c>
      <c r="S976" s="497">
        <v>0.08</v>
      </c>
      <c r="T976" s="497">
        <v>3.5</v>
      </c>
    </row>
    <row r="977" spans="16:20" s="497" customFormat="1" ht="15">
      <c r="P977" s="447"/>
      <c r="Q977" s="497">
        <v>4.01</v>
      </c>
      <c r="R977" s="497">
        <v>1.601</v>
      </c>
      <c r="S977" s="497">
        <v>0.1</v>
      </c>
      <c r="T977" s="497">
        <v>3.5</v>
      </c>
    </row>
    <row r="978" spans="16:20" s="497" customFormat="1" ht="15">
      <c r="P978" s="447"/>
      <c r="Q978" s="497">
        <v>4.01</v>
      </c>
      <c r="R978" s="497">
        <v>1.601</v>
      </c>
      <c r="S978" s="497">
        <v>0.15</v>
      </c>
      <c r="T978" s="497">
        <v>3</v>
      </c>
    </row>
    <row r="979" spans="16:20" s="497" customFormat="1" ht="15">
      <c r="P979" s="447"/>
      <c r="Q979" s="497">
        <v>4.01</v>
      </c>
      <c r="R979" s="497">
        <v>1.601</v>
      </c>
      <c r="S979" s="497">
        <v>0.2</v>
      </c>
      <c r="T979" s="497">
        <v>3</v>
      </c>
    </row>
    <row r="980" spans="16:20" s="497" customFormat="1" ht="15">
      <c r="P980" s="447"/>
      <c r="Q980" s="497">
        <v>4.01</v>
      </c>
      <c r="R980" s="497">
        <v>1.601</v>
      </c>
      <c r="S980" s="497">
        <v>0.25</v>
      </c>
      <c r="T980" s="497">
        <v>3</v>
      </c>
    </row>
    <row r="981" spans="16:20" s="497" customFormat="1" ht="15">
      <c r="P981" s="447"/>
      <c r="Q981" s="497">
        <v>4.01</v>
      </c>
      <c r="R981" s="497">
        <v>1.601</v>
      </c>
      <c r="S981" s="497">
        <v>1</v>
      </c>
      <c r="T981" s="497">
        <v>3</v>
      </c>
    </row>
    <row r="982" spans="16:20" s="497" customFormat="1" ht="15">
      <c r="P982" s="447"/>
      <c r="Q982" s="497">
        <v>4.01</v>
      </c>
      <c r="R982" s="497">
        <v>2.4</v>
      </c>
      <c r="S982" s="497">
        <v>0</v>
      </c>
      <c r="T982" s="497">
        <v>5</v>
      </c>
    </row>
    <row r="983" spans="16:20" s="497" customFormat="1" ht="15">
      <c r="P983" s="447"/>
      <c r="Q983" s="497">
        <v>4.01</v>
      </c>
      <c r="R983" s="497">
        <v>2.4</v>
      </c>
      <c r="S983" s="497">
        <v>0.02</v>
      </c>
      <c r="T983" s="497">
        <v>5</v>
      </c>
    </row>
    <row r="984" spans="16:20" s="497" customFormat="1" ht="15">
      <c r="P984" s="447"/>
      <c r="Q984" s="497">
        <v>4.01</v>
      </c>
      <c r="R984" s="497">
        <v>2.4</v>
      </c>
      <c r="S984" s="497">
        <v>0.04</v>
      </c>
      <c r="T984" s="497">
        <v>4</v>
      </c>
    </row>
    <row r="985" spans="16:20" s="497" customFormat="1" ht="15">
      <c r="P985" s="447"/>
      <c r="Q985" s="497">
        <v>4.01</v>
      </c>
      <c r="R985" s="497">
        <v>2.4</v>
      </c>
      <c r="S985" s="497">
        <v>0.05</v>
      </c>
      <c r="T985" s="497">
        <v>4</v>
      </c>
    </row>
    <row r="986" spans="16:20" s="497" customFormat="1" ht="15">
      <c r="P986" s="447"/>
      <c r="Q986" s="497">
        <v>4.01</v>
      </c>
      <c r="R986" s="497">
        <v>2.4</v>
      </c>
      <c r="S986" s="497">
        <v>0.06</v>
      </c>
      <c r="T986" s="497">
        <v>4</v>
      </c>
    </row>
    <row r="987" spans="16:20" s="497" customFormat="1" ht="15">
      <c r="P987" s="447"/>
      <c r="Q987" s="497">
        <v>4.01</v>
      </c>
      <c r="R987" s="497">
        <v>2.4</v>
      </c>
      <c r="S987" s="497">
        <v>0.08</v>
      </c>
      <c r="T987" s="497">
        <v>3.5</v>
      </c>
    </row>
    <row r="988" spans="16:20" s="497" customFormat="1" ht="15">
      <c r="P988" s="447"/>
      <c r="Q988" s="497">
        <v>4.01</v>
      </c>
      <c r="R988" s="497">
        <v>2.4</v>
      </c>
      <c r="S988" s="497">
        <v>0.1</v>
      </c>
      <c r="T988" s="497">
        <v>3.5</v>
      </c>
    </row>
    <row r="989" spans="16:20" s="497" customFormat="1" ht="15">
      <c r="P989" s="447"/>
      <c r="Q989" s="497">
        <v>4.01</v>
      </c>
      <c r="R989" s="497">
        <v>2.4</v>
      </c>
      <c r="S989" s="497">
        <v>0.15</v>
      </c>
      <c r="T989" s="497">
        <v>3</v>
      </c>
    </row>
    <row r="990" spans="16:20" s="497" customFormat="1" ht="15">
      <c r="P990" s="447"/>
      <c r="Q990" s="497">
        <v>4.01</v>
      </c>
      <c r="R990" s="497">
        <v>2.4</v>
      </c>
      <c r="S990" s="497">
        <v>0.2</v>
      </c>
      <c r="T990" s="497">
        <v>3</v>
      </c>
    </row>
    <row r="991" spans="16:20" s="497" customFormat="1" ht="15">
      <c r="P991" s="447"/>
      <c r="Q991" s="497">
        <v>4.01</v>
      </c>
      <c r="R991" s="497">
        <v>2.4</v>
      </c>
      <c r="S991" s="497">
        <v>0.25</v>
      </c>
      <c r="T991" s="497">
        <v>3</v>
      </c>
    </row>
    <row r="992" spans="16:20" s="497" customFormat="1" ht="15">
      <c r="P992" s="447"/>
      <c r="Q992" s="497">
        <v>4.01</v>
      </c>
      <c r="R992" s="497">
        <v>2.4</v>
      </c>
      <c r="S992" s="497">
        <v>1</v>
      </c>
      <c r="T992" s="497">
        <v>3</v>
      </c>
    </row>
    <row r="993" spans="16:20" s="497" customFormat="1" ht="15">
      <c r="P993" s="447"/>
      <c r="Q993" s="497">
        <v>4.01</v>
      </c>
      <c r="R993" s="497">
        <v>100</v>
      </c>
      <c r="S993" s="497">
        <v>0</v>
      </c>
      <c r="T993" s="497">
        <v>5</v>
      </c>
    </row>
    <row r="994" spans="16:20" s="497" customFormat="1" ht="15">
      <c r="P994" s="447"/>
      <c r="Q994" s="497">
        <v>4.01</v>
      </c>
      <c r="R994" s="497">
        <v>100</v>
      </c>
      <c r="S994" s="497">
        <v>0.02</v>
      </c>
      <c r="T994" s="497">
        <v>5</v>
      </c>
    </row>
    <row r="995" spans="16:20" s="497" customFormat="1" ht="15">
      <c r="P995" s="447"/>
      <c r="Q995" s="497">
        <v>4.01</v>
      </c>
      <c r="R995" s="497">
        <v>100</v>
      </c>
      <c r="S995" s="497">
        <v>0.04</v>
      </c>
      <c r="T995" s="497">
        <v>4</v>
      </c>
    </row>
    <row r="996" spans="16:20" s="497" customFormat="1" ht="15">
      <c r="P996" s="447"/>
      <c r="Q996" s="497">
        <v>4.01</v>
      </c>
      <c r="R996" s="497">
        <v>100</v>
      </c>
      <c r="S996" s="497">
        <v>0.05</v>
      </c>
      <c r="T996" s="497">
        <v>4</v>
      </c>
    </row>
    <row r="997" spans="16:20" s="497" customFormat="1" ht="15">
      <c r="P997" s="447"/>
      <c r="Q997" s="497">
        <v>4.01</v>
      </c>
      <c r="R997" s="497">
        <v>100</v>
      </c>
      <c r="S997" s="497">
        <v>0.06</v>
      </c>
      <c r="T997" s="497">
        <v>4</v>
      </c>
    </row>
    <row r="998" spans="16:20" s="497" customFormat="1" ht="15">
      <c r="P998" s="447"/>
      <c r="Q998" s="497">
        <v>4.01</v>
      </c>
      <c r="R998" s="497">
        <v>100</v>
      </c>
      <c r="S998" s="497">
        <v>0.08</v>
      </c>
      <c r="T998" s="497">
        <v>3.5</v>
      </c>
    </row>
    <row r="999" spans="16:20" s="497" customFormat="1" ht="15">
      <c r="P999" s="447"/>
      <c r="Q999" s="497">
        <v>4.01</v>
      </c>
      <c r="R999" s="497">
        <v>100</v>
      </c>
      <c r="S999" s="497">
        <v>0.1</v>
      </c>
      <c r="T999" s="497">
        <v>3.5</v>
      </c>
    </row>
    <row r="1000" spans="16:20" s="497" customFormat="1" ht="15">
      <c r="P1000" s="447"/>
      <c r="Q1000" s="497">
        <v>4.01</v>
      </c>
      <c r="R1000" s="497">
        <v>100</v>
      </c>
      <c r="S1000" s="497">
        <v>0.15</v>
      </c>
      <c r="T1000" s="497">
        <v>3</v>
      </c>
    </row>
    <row r="1001" spans="16:20" s="497" customFormat="1" ht="15">
      <c r="P1001" s="447"/>
      <c r="Q1001" s="497">
        <v>4.01</v>
      </c>
      <c r="R1001" s="497">
        <v>100</v>
      </c>
      <c r="S1001" s="497">
        <v>0.2</v>
      </c>
      <c r="T1001" s="497">
        <v>3</v>
      </c>
    </row>
    <row r="1002" spans="16:20" s="497" customFormat="1" ht="15">
      <c r="P1002" s="447"/>
      <c r="Q1002" s="497">
        <v>4.01</v>
      </c>
      <c r="R1002" s="497">
        <v>100</v>
      </c>
      <c r="S1002" s="497">
        <v>0.25</v>
      </c>
      <c r="T1002" s="497">
        <v>3</v>
      </c>
    </row>
    <row r="1003" spans="16:20" s="497" customFormat="1" ht="15">
      <c r="P1003" s="447"/>
      <c r="Q1003" s="497">
        <v>4.01</v>
      </c>
      <c r="R1003" s="497">
        <v>100</v>
      </c>
      <c r="S1003" s="497">
        <v>1</v>
      </c>
      <c r="T1003" s="497">
        <v>3</v>
      </c>
    </row>
    <row r="1004" spans="16:20" s="497" customFormat="1" ht="15">
      <c r="P1004" s="447"/>
      <c r="Q1004" s="497">
        <v>5</v>
      </c>
      <c r="R1004" s="497">
        <v>0</v>
      </c>
      <c r="S1004" s="497">
        <v>0</v>
      </c>
      <c r="T1004" s="497">
        <v>1.5</v>
      </c>
    </row>
    <row r="1005" spans="16:20" s="497" customFormat="1" ht="15">
      <c r="P1005" s="447"/>
      <c r="Q1005" s="497">
        <v>5</v>
      </c>
      <c r="R1005" s="497">
        <v>0</v>
      </c>
      <c r="S1005" s="497">
        <v>0.02</v>
      </c>
      <c r="T1005" s="497">
        <v>1.5</v>
      </c>
    </row>
    <row r="1006" spans="16:20" s="497" customFormat="1" ht="15">
      <c r="P1006" s="447"/>
      <c r="Q1006" s="497">
        <v>5</v>
      </c>
      <c r="R1006" s="497">
        <v>0</v>
      </c>
      <c r="S1006" s="497">
        <v>0.04</v>
      </c>
      <c r="T1006" s="497">
        <v>1.5</v>
      </c>
    </row>
    <row r="1007" spans="16:20" s="497" customFormat="1" ht="15">
      <c r="P1007" s="447"/>
      <c r="Q1007" s="497">
        <v>5</v>
      </c>
      <c r="R1007" s="497">
        <v>0</v>
      </c>
      <c r="S1007" s="497">
        <v>0.05</v>
      </c>
      <c r="T1007" s="497">
        <v>1.5</v>
      </c>
    </row>
    <row r="1008" spans="16:20" s="497" customFormat="1" ht="15">
      <c r="P1008" s="447"/>
      <c r="Q1008" s="497">
        <v>5</v>
      </c>
      <c r="R1008" s="497">
        <v>0</v>
      </c>
      <c r="S1008" s="497">
        <v>0.06</v>
      </c>
      <c r="T1008" s="497">
        <v>1.5</v>
      </c>
    </row>
    <row r="1009" spans="16:20" s="497" customFormat="1" ht="15">
      <c r="P1009" s="447"/>
      <c r="Q1009" s="497">
        <v>5</v>
      </c>
      <c r="R1009" s="497">
        <v>0</v>
      </c>
      <c r="S1009" s="497">
        <v>0.08</v>
      </c>
      <c r="T1009" s="497">
        <v>1.5</v>
      </c>
    </row>
    <row r="1010" spans="16:20" s="497" customFormat="1" ht="15">
      <c r="P1010" s="447"/>
      <c r="Q1010" s="497">
        <v>5</v>
      </c>
      <c r="R1010" s="497">
        <v>0</v>
      </c>
      <c r="S1010" s="497">
        <v>0.1</v>
      </c>
      <c r="T1010" s="497">
        <v>1.5</v>
      </c>
    </row>
    <row r="1011" spans="16:20" s="497" customFormat="1" ht="15">
      <c r="P1011" s="447"/>
      <c r="Q1011" s="497">
        <v>5</v>
      </c>
      <c r="R1011" s="497">
        <v>0</v>
      </c>
      <c r="S1011" s="497">
        <v>0.15</v>
      </c>
      <c r="T1011" s="497">
        <v>1.5</v>
      </c>
    </row>
    <row r="1012" spans="16:20" s="497" customFormat="1" ht="15">
      <c r="P1012" s="447"/>
      <c r="Q1012" s="497">
        <v>5</v>
      </c>
      <c r="R1012" s="497">
        <v>0</v>
      </c>
      <c r="S1012" s="497">
        <v>0.2</v>
      </c>
      <c r="T1012" s="497">
        <v>1.5</v>
      </c>
    </row>
    <row r="1013" spans="16:20" s="497" customFormat="1" ht="15">
      <c r="P1013" s="447"/>
      <c r="Q1013" s="497">
        <v>5</v>
      </c>
      <c r="R1013" s="497">
        <v>0</v>
      </c>
      <c r="S1013" s="497">
        <v>0.25</v>
      </c>
      <c r="T1013" s="497">
        <v>1.5</v>
      </c>
    </row>
    <row r="1014" spans="16:20" s="497" customFormat="1" ht="15">
      <c r="P1014" s="447"/>
      <c r="Q1014" s="497">
        <v>5</v>
      </c>
      <c r="R1014" s="497">
        <v>0</v>
      </c>
      <c r="S1014" s="497">
        <v>1</v>
      </c>
      <c r="T1014" s="497">
        <v>1.5</v>
      </c>
    </row>
    <row r="1015" spans="16:20" s="497" customFormat="1" ht="15">
      <c r="P1015" s="447"/>
      <c r="Q1015" s="497">
        <v>5</v>
      </c>
      <c r="R1015" s="497">
        <v>0.4</v>
      </c>
      <c r="S1015" s="497">
        <v>0</v>
      </c>
      <c r="T1015" s="497">
        <v>1.5</v>
      </c>
    </row>
    <row r="1016" spans="16:20" s="497" customFormat="1" ht="15">
      <c r="P1016" s="447"/>
      <c r="Q1016" s="497">
        <v>5</v>
      </c>
      <c r="R1016" s="497">
        <v>0.4</v>
      </c>
      <c r="S1016" s="497">
        <v>0.02</v>
      </c>
      <c r="T1016" s="497">
        <v>1.5</v>
      </c>
    </row>
    <row r="1017" spans="16:20" s="497" customFormat="1" ht="15">
      <c r="P1017" s="447"/>
      <c r="Q1017" s="497">
        <v>5</v>
      </c>
      <c r="R1017" s="497">
        <v>0.4</v>
      </c>
      <c r="S1017" s="497">
        <v>0.04</v>
      </c>
      <c r="T1017" s="497">
        <v>1.5</v>
      </c>
    </row>
    <row r="1018" spans="16:20" s="497" customFormat="1" ht="15">
      <c r="P1018" s="447"/>
      <c r="Q1018" s="497">
        <v>5</v>
      </c>
      <c r="R1018" s="497">
        <v>0.4</v>
      </c>
      <c r="S1018" s="497">
        <v>0.05</v>
      </c>
      <c r="T1018" s="497">
        <v>1.5</v>
      </c>
    </row>
    <row r="1019" spans="16:20" s="497" customFormat="1" ht="15">
      <c r="P1019" s="447"/>
      <c r="Q1019" s="497">
        <v>5</v>
      </c>
      <c r="R1019" s="497">
        <v>0.4</v>
      </c>
      <c r="S1019" s="497">
        <v>0.06</v>
      </c>
      <c r="T1019" s="497">
        <v>1.5</v>
      </c>
    </row>
    <row r="1020" spans="16:20" s="497" customFormat="1" ht="15">
      <c r="P1020" s="447"/>
      <c r="Q1020" s="497">
        <v>5</v>
      </c>
      <c r="R1020" s="497">
        <v>0.4</v>
      </c>
      <c r="S1020" s="497">
        <v>0.08</v>
      </c>
      <c r="T1020" s="497">
        <v>1.5</v>
      </c>
    </row>
    <row r="1021" spans="16:20" s="497" customFormat="1" ht="15">
      <c r="P1021" s="447"/>
      <c r="Q1021" s="497">
        <v>5</v>
      </c>
      <c r="R1021" s="497">
        <v>0.4</v>
      </c>
      <c r="S1021" s="497">
        <v>0.1</v>
      </c>
      <c r="T1021" s="497">
        <v>1.5</v>
      </c>
    </row>
    <row r="1022" spans="16:20" s="497" customFormat="1" ht="15">
      <c r="P1022" s="447"/>
      <c r="Q1022" s="497">
        <v>5</v>
      </c>
      <c r="R1022" s="497">
        <v>0.4</v>
      </c>
      <c r="S1022" s="497">
        <v>0.15</v>
      </c>
      <c r="T1022" s="497">
        <v>1.5</v>
      </c>
    </row>
    <row r="1023" spans="16:20" s="497" customFormat="1" ht="15">
      <c r="P1023" s="447"/>
      <c r="Q1023" s="497">
        <v>5</v>
      </c>
      <c r="R1023" s="497">
        <v>0.4</v>
      </c>
      <c r="S1023" s="497">
        <v>0.2</v>
      </c>
      <c r="T1023" s="497">
        <v>1.5</v>
      </c>
    </row>
    <row r="1024" spans="16:20" s="497" customFormat="1" ht="15">
      <c r="P1024" s="447"/>
      <c r="Q1024" s="497">
        <v>5</v>
      </c>
      <c r="R1024" s="497">
        <v>0.4</v>
      </c>
      <c r="S1024" s="497">
        <v>0.25</v>
      </c>
      <c r="T1024" s="497">
        <v>1.5</v>
      </c>
    </row>
    <row r="1025" spans="16:20" s="497" customFormat="1" ht="15">
      <c r="P1025" s="447"/>
      <c r="Q1025" s="497">
        <v>5</v>
      </c>
      <c r="R1025" s="497">
        <v>0.4</v>
      </c>
      <c r="S1025" s="497">
        <v>1</v>
      </c>
      <c r="T1025" s="497">
        <v>1.5</v>
      </c>
    </row>
    <row r="1026" spans="16:20" s="497" customFormat="1" ht="15">
      <c r="P1026" s="447"/>
      <c r="Q1026" s="497">
        <v>5</v>
      </c>
      <c r="R1026" s="497">
        <v>0.40100000000000002</v>
      </c>
      <c r="S1026" s="497">
        <v>0</v>
      </c>
      <c r="T1026" s="497">
        <v>3</v>
      </c>
    </row>
    <row r="1027" spans="16:20" s="497" customFormat="1" ht="15">
      <c r="P1027" s="447"/>
      <c r="Q1027" s="497">
        <v>5</v>
      </c>
      <c r="R1027" s="497">
        <v>0.40100000000000002</v>
      </c>
      <c r="S1027" s="497">
        <v>0.02</v>
      </c>
      <c r="T1027" s="497">
        <v>3</v>
      </c>
    </row>
    <row r="1028" spans="16:20" s="497" customFormat="1" ht="15">
      <c r="P1028" s="447"/>
      <c r="Q1028" s="497">
        <v>5</v>
      </c>
      <c r="R1028" s="497">
        <v>0.40100000000000002</v>
      </c>
      <c r="S1028" s="497">
        <v>0.04</v>
      </c>
      <c r="T1028" s="497">
        <v>2.5</v>
      </c>
    </row>
    <row r="1029" spans="16:20" s="497" customFormat="1" ht="15">
      <c r="P1029" s="447"/>
      <c r="Q1029" s="497">
        <v>5</v>
      </c>
      <c r="R1029" s="497">
        <v>0.40100000000000002</v>
      </c>
      <c r="S1029" s="497">
        <v>0.05</v>
      </c>
      <c r="T1029" s="497">
        <v>2.5</v>
      </c>
    </row>
    <row r="1030" spans="16:20" s="497" customFormat="1" ht="15">
      <c r="P1030" s="447"/>
      <c r="Q1030" s="497">
        <v>5</v>
      </c>
      <c r="R1030" s="497">
        <v>0.40100000000000002</v>
      </c>
      <c r="S1030" s="497">
        <v>0.06</v>
      </c>
      <c r="T1030" s="497">
        <v>2.5</v>
      </c>
    </row>
    <row r="1031" spans="16:20" s="497" customFormat="1" ht="15">
      <c r="P1031" s="447"/>
      <c r="Q1031" s="497">
        <v>5</v>
      </c>
      <c r="R1031" s="497">
        <v>0.40100000000000002</v>
      </c>
      <c r="S1031" s="497">
        <v>0.08</v>
      </c>
      <c r="T1031" s="497">
        <v>2</v>
      </c>
    </row>
    <row r="1032" spans="16:20" s="497" customFormat="1" ht="15">
      <c r="P1032" s="447"/>
      <c r="Q1032" s="497">
        <v>5</v>
      </c>
      <c r="R1032" s="497">
        <v>0.40100000000000002</v>
      </c>
      <c r="S1032" s="497">
        <v>0.1</v>
      </c>
      <c r="T1032" s="497">
        <v>2</v>
      </c>
    </row>
    <row r="1033" spans="16:20" s="497" customFormat="1" ht="15">
      <c r="P1033" s="447"/>
      <c r="Q1033" s="497">
        <v>5</v>
      </c>
      <c r="R1033" s="497">
        <v>0.40100000000000002</v>
      </c>
      <c r="S1033" s="497">
        <v>0.15</v>
      </c>
      <c r="T1033" s="497">
        <v>2</v>
      </c>
    </row>
    <row r="1034" spans="16:20" s="497" customFormat="1" ht="15">
      <c r="P1034" s="447"/>
      <c r="Q1034" s="497">
        <v>5</v>
      </c>
      <c r="R1034" s="497">
        <v>0.40100000000000002</v>
      </c>
      <c r="S1034" s="497">
        <v>0.2</v>
      </c>
      <c r="T1034" s="497">
        <v>2</v>
      </c>
    </row>
    <row r="1035" spans="16:20" s="497" customFormat="1" ht="15">
      <c r="P1035" s="447"/>
      <c r="Q1035" s="497">
        <v>5</v>
      </c>
      <c r="R1035" s="497">
        <v>0.40100000000000002</v>
      </c>
      <c r="S1035" s="497">
        <v>0.25</v>
      </c>
      <c r="T1035" s="497">
        <v>2</v>
      </c>
    </row>
    <row r="1036" spans="16:20" s="497" customFormat="1" ht="15">
      <c r="P1036" s="447"/>
      <c r="Q1036" s="497">
        <v>5</v>
      </c>
      <c r="R1036" s="497">
        <v>0.40100000000000002</v>
      </c>
      <c r="S1036" s="497">
        <v>1</v>
      </c>
      <c r="T1036" s="497">
        <v>2</v>
      </c>
    </row>
    <row r="1037" spans="16:20" s="497" customFormat="1" ht="15">
      <c r="P1037" s="447"/>
      <c r="Q1037" s="497">
        <v>5</v>
      </c>
      <c r="R1037" s="497">
        <v>0.5</v>
      </c>
      <c r="S1037" s="497">
        <v>0</v>
      </c>
      <c r="T1037" s="497">
        <v>3</v>
      </c>
    </row>
    <row r="1038" spans="16:20" s="497" customFormat="1" ht="15">
      <c r="P1038" s="447"/>
      <c r="Q1038" s="497">
        <v>5</v>
      </c>
      <c r="R1038" s="497">
        <v>0.5</v>
      </c>
      <c r="S1038" s="497">
        <v>0.02</v>
      </c>
      <c r="T1038" s="497">
        <v>3</v>
      </c>
    </row>
    <row r="1039" spans="16:20" s="497" customFormat="1" ht="15">
      <c r="P1039" s="447"/>
      <c r="Q1039" s="497">
        <v>5</v>
      </c>
      <c r="R1039" s="497">
        <v>0.5</v>
      </c>
      <c r="S1039" s="497">
        <v>0.04</v>
      </c>
      <c r="T1039" s="497">
        <v>2.5</v>
      </c>
    </row>
    <row r="1040" spans="16:20" s="497" customFormat="1" ht="15">
      <c r="P1040" s="447"/>
      <c r="Q1040" s="497">
        <v>5</v>
      </c>
      <c r="R1040" s="497">
        <v>0.5</v>
      </c>
      <c r="S1040" s="497">
        <v>0.05</v>
      </c>
      <c r="T1040" s="497">
        <v>2.5</v>
      </c>
    </row>
    <row r="1041" spans="16:20" s="497" customFormat="1" ht="15">
      <c r="P1041" s="447"/>
      <c r="Q1041" s="497">
        <v>5</v>
      </c>
      <c r="R1041" s="497">
        <v>0.5</v>
      </c>
      <c r="S1041" s="497">
        <v>0.06</v>
      </c>
      <c r="T1041" s="497">
        <v>2.5</v>
      </c>
    </row>
    <row r="1042" spans="16:20" s="497" customFormat="1" ht="15">
      <c r="P1042" s="447"/>
      <c r="Q1042" s="497">
        <v>5</v>
      </c>
      <c r="R1042" s="497">
        <v>0.5</v>
      </c>
      <c r="S1042" s="497">
        <v>0.08</v>
      </c>
      <c r="T1042" s="497">
        <v>2</v>
      </c>
    </row>
    <row r="1043" spans="16:20" s="497" customFormat="1" ht="15">
      <c r="P1043" s="447"/>
      <c r="Q1043" s="497">
        <v>5</v>
      </c>
      <c r="R1043" s="497">
        <v>0.5</v>
      </c>
      <c r="S1043" s="497">
        <v>0.1</v>
      </c>
      <c r="T1043" s="497">
        <v>2</v>
      </c>
    </row>
    <row r="1044" spans="16:20" s="497" customFormat="1" ht="15">
      <c r="P1044" s="447"/>
      <c r="Q1044" s="497">
        <v>5</v>
      </c>
      <c r="R1044" s="497">
        <v>0.5</v>
      </c>
      <c r="S1044" s="497">
        <v>0.15</v>
      </c>
      <c r="T1044" s="497">
        <v>2</v>
      </c>
    </row>
    <row r="1045" spans="16:20" s="497" customFormat="1" ht="15">
      <c r="P1045" s="447"/>
      <c r="Q1045" s="497">
        <v>5</v>
      </c>
      <c r="R1045" s="497">
        <v>0.5</v>
      </c>
      <c r="S1045" s="497">
        <v>0.2</v>
      </c>
      <c r="T1045" s="497">
        <v>2</v>
      </c>
    </row>
    <row r="1046" spans="16:20" s="497" customFormat="1" ht="15">
      <c r="P1046" s="447"/>
      <c r="Q1046" s="497">
        <v>5</v>
      </c>
      <c r="R1046" s="497">
        <v>0.5</v>
      </c>
      <c r="S1046" s="497">
        <v>0.25</v>
      </c>
      <c r="T1046" s="497">
        <v>2</v>
      </c>
    </row>
    <row r="1047" spans="16:20" s="497" customFormat="1" ht="15">
      <c r="P1047" s="447"/>
      <c r="Q1047" s="497">
        <v>5</v>
      </c>
      <c r="R1047" s="497">
        <v>0.5</v>
      </c>
      <c r="S1047" s="497">
        <v>1</v>
      </c>
      <c r="T1047" s="497">
        <v>2</v>
      </c>
    </row>
    <row r="1048" spans="16:20" s="497" customFormat="1" ht="15">
      <c r="P1048" s="447"/>
      <c r="Q1048" s="497">
        <v>5</v>
      </c>
      <c r="R1048" s="497">
        <v>0.501</v>
      </c>
      <c r="S1048" s="497">
        <v>0</v>
      </c>
      <c r="T1048" s="497">
        <v>3</v>
      </c>
    </row>
    <row r="1049" spans="16:20" s="497" customFormat="1" ht="15">
      <c r="P1049" s="447"/>
      <c r="Q1049" s="497">
        <v>5</v>
      </c>
      <c r="R1049" s="497">
        <v>0.501</v>
      </c>
      <c r="S1049" s="497">
        <v>0.02</v>
      </c>
      <c r="T1049" s="497">
        <v>3</v>
      </c>
    </row>
    <row r="1050" spans="16:20" s="497" customFormat="1" ht="15">
      <c r="P1050" s="447"/>
      <c r="Q1050" s="497">
        <v>5</v>
      </c>
      <c r="R1050" s="497">
        <v>0.501</v>
      </c>
      <c r="S1050" s="497">
        <v>0.04</v>
      </c>
      <c r="T1050" s="497">
        <v>2.5</v>
      </c>
    </row>
    <row r="1051" spans="16:20" s="497" customFormat="1" ht="15">
      <c r="P1051" s="447"/>
      <c r="Q1051" s="497">
        <v>5</v>
      </c>
      <c r="R1051" s="497">
        <v>0.501</v>
      </c>
      <c r="S1051" s="497">
        <v>0.05</v>
      </c>
      <c r="T1051" s="497">
        <v>2.5</v>
      </c>
    </row>
    <row r="1052" spans="16:20" s="497" customFormat="1" ht="15">
      <c r="P1052" s="447"/>
      <c r="Q1052" s="497">
        <v>5</v>
      </c>
      <c r="R1052" s="497">
        <v>0.501</v>
      </c>
      <c r="S1052" s="497">
        <v>0.06</v>
      </c>
      <c r="T1052" s="497">
        <v>2.5</v>
      </c>
    </row>
    <row r="1053" spans="16:20" s="497" customFormat="1" ht="15">
      <c r="P1053" s="447"/>
      <c r="Q1053" s="497">
        <v>5</v>
      </c>
      <c r="R1053" s="497">
        <v>0.501</v>
      </c>
      <c r="S1053" s="497">
        <v>0.08</v>
      </c>
      <c r="T1053" s="497">
        <v>2</v>
      </c>
    </row>
    <row r="1054" spans="16:20" s="497" customFormat="1" ht="15">
      <c r="P1054" s="447"/>
      <c r="Q1054" s="497">
        <v>5</v>
      </c>
      <c r="R1054" s="497">
        <v>0.501</v>
      </c>
      <c r="S1054" s="497">
        <v>0.1</v>
      </c>
      <c r="T1054" s="497">
        <v>2</v>
      </c>
    </row>
    <row r="1055" spans="16:20" s="497" customFormat="1" ht="15">
      <c r="P1055" s="447"/>
      <c r="Q1055" s="497">
        <v>5</v>
      </c>
      <c r="R1055" s="497">
        <v>0.501</v>
      </c>
      <c r="S1055" s="497">
        <v>0.15</v>
      </c>
      <c r="T1055" s="497">
        <v>2</v>
      </c>
    </row>
    <row r="1056" spans="16:20" s="497" customFormat="1" ht="15">
      <c r="P1056" s="447"/>
      <c r="Q1056" s="497">
        <v>5</v>
      </c>
      <c r="R1056" s="497">
        <v>0.501</v>
      </c>
      <c r="S1056" s="497">
        <v>0.2</v>
      </c>
      <c r="T1056" s="497">
        <v>2</v>
      </c>
    </row>
    <row r="1057" spans="16:20" s="497" customFormat="1" ht="15">
      <c r="P1057" s="447"/>
      <c r="Q1057" s="497">
        <v>5</v>
      </c>
      <c r="R1057" s="497">
        <v>0.501</v>
      </c>
      <c r="S1057" s="497">
        <v>0.25</v>
      </c>
      <c r="T1057" s="497">
        <v>2</v>
      </c>
    </row>
    <row r="1058" spans="16:20" s="497" customFormat="1" ht="15">
      <c r="P1058" s="447"/>
      <c r="Q1058" s="497">
        <v>5</v>
      </c>
      <c r="R1058" s="497">
        <v>0.501</v>
      </c>
      <c r="S1058" s="497">
        <v>1</v>
      </c>
      <c r="T1058" s="497">
        <v>2</v>
      </c>
    </row>
    <row r="1059" spans="16:20" s="497" customFormat="1" ht="15">
      <c r="P1059" s="447"/>
      <c r="Q1059" s="497">
        <v>5</v>
      </c>
      <c r="R1059" s="497">
        <v>0.8</v>
      </c>
      <c r="S1059" s="497">
        <v>0</v>
      </c>
      <c r="T1059" s="497">
        <v>3</v>
      </c>
    </row>
    <row r="1060" spans="16:20" s="497" customFormat="1" ht="15">
      <c r="P1060" s="447"/>
      <c r="Q1060" s="497">
        <v>5</v>
      </c>
      <c r="R1060" s="497">
        <v>0.8</v>
      </c>
      <c r="S1060" s="497">
        <v>0.02</v>
      </c>
      <c r="T1060" s="497">
        <v>3</v>
      </c>
    </row>
    <row r="1061" spans="16:20" s="497" customFormat="1" ht="15">
      <c r="P1061" s="447"/>
      <c r="Q1061" s="497">
        <v>5</v>
      </c>
      <c r="R1061" s="497">
        <v>0.8</v>
      </c>
      <c r="S1061" s="497">
        <v>0.04</v>
      </c>
      <c r="T1061" s="497">
        <v>2.5</v>
      </c>
    </row>
    <row r="1062" spans="16:20" s="497" customFormat="1" ht="15">
      <c r="P1062" s="447"/>
      <c r="Q1062" s="497">
        <v>5</v>
      </c>
      <c r="R1062" s="497">
        <v>0.8</v>
      </c>
      <c r="S1062" s="497">
        <v>0.05</v>
      </c>
      <c r="T1062" s="497">
        <v>2.5</v>
      </c>
    </row>
    <row r="1063" spans="16:20" s="497" customFormat="1" ht="15">
      <c r="P1063" s="447"/>
      <c r="Q1063" s="497">
        <v>5</v>
      </c>
      <c r="R1063" s="497">
        <v>0.8</v>
      </c>
      <c r="S1063" s="497">
        <v>0.06</v>
      </c>
      <c r="T1063" s="497">
        <v>2.5</v>
      </c>
    </row>
    <row r="1064" spans="16:20" s="497" customFormat="1" ht="15">
      <c r="P1064" s="447"/>
      <c r="Q1064" s="497">
        <v>5</v>
      </c>
      <c r="R1064" s="497">
        <v>0.8</v>
      </c>
      <c r="S1064" s="497">
        <v>0.08</v>
      </c>
      <c r="T1064" s="497">
        <v>2</v>
      </c>
    </row>
    <row r="1065" spans="16:20" s="497" customFormat="1" ht="15">
      <c r="P1065" s="447"/>
      <c r="Q1065" s="497">
        <v>5</v>
      </c>
      <c r="R1065" s="497">
        <v>0.8</v>
      </c>
      <c r="S1065" s="497">
        <v>0.1</v>
      </c>
      <c r="T1065" s="497">
        <v>2</v>
      </c>
    </row>
    <row r="1066" spans="16:20" s="497" customFormat="1" ht="15">
      <c r="P1066" s="447"/>
      <c r="Q1066" s="497">
        <v>5</v>
      </c>
      <c r="R1066" s="497">
        <v>0.8</v>
      </c>
      <c r="S1066" s="497">
        <v>0.15</v>
      </c>
      <c r="T1066" s="497">
        <v>2</v>
      </c>
    </row>
    <row r="1067" spans="16:20" s="497" customFormat="1" ht="15">
      <c r="P1067" s="447"/>
      <c r="Q1067" s="497">
        <v>5</v>
      </c>
      <c r="R1067" s="497">
        <v>0.8</v>
      </c>
      <c r="S1067" s="497">
        <v>0.2</v>
      </c>
      <c r="T1067" s="497">
        <v>2</v>
      </c>
    </row>
    <row r="1068" spans="16:20" s="497" customFormat="1" ht="15">
      <c r="P1068" s="447"/>
      <c r="Q1068" s="497">
        <v>5</v>
      </c>
      <c r="R1068" s="497">
        <v>0.8</v>
      </c>
      <c r="S1068" s="497">
        <v>0.25</v>
      </c>
      <c r="T1068" s="497">
        <v>2</v>
      </c>
    </row>
    <row r="1069" spans="16:20" s="497" customFormat="1" ht="15">
      <c r="P1069" s="447"/>
      <c r="Q1069" s="497">
        <v>5</v>
      </c>
      <c r="R1069" s="497">
        <v>0.8</v>
      </c>
      <c r="S1069" s="497">
        <v>1</v>
      </c>
      <c r="T1069" s="497">
        <v>2</v>
      </c>
    </row>
    <row r="1070" spans="16:20" s="497" customFormat="1" ht="15">
      <c r="P1070" s="447"/>
      <c r="Q1070" s="497">
        <v>5</v>
      </c>
      <c r="R1070" s="497">
        <v>0.80100000000000005</v>
      </c>
      <c r="S1070" s="497">
        <v>0</v>
      </c>
      <c r="T1070" s="497">
        <v>3.5</v>
      </c>
    </row>
    <row r="1071" spans="16:20" s="497" customFormat="1" ht="15">
      <c r="P1071" s="447"/>
      <c r="Q1071" s="497">
        <v>5</v>
      </c>
      <c r="R1071" s="497">
        <v>0.80100000000000005</v>
      </c>
      <c r="S1071" s="497">
        <v>0.02</v>
      </c>
      <c r="T1071" s="497">
        <v>3.5</v>
      </c>
    </row>
    <row r="1072" spans="16:20" s="497" customFormat="1" ht="15">
      <c r="P1072" s="447"/>
      <c r="Q1072" s="497">
        <v>5</v>
      </c>
      <c r="R1072" s="497">
        <v>0.80100000000000005</v>
      </c>
      <c r="S1072" s="497">
        <v>0.04</v>
      </c>
      <c r="T1072" s="497">
        <v>3</v>
      </c>
    </row>
    <row r="1073" spans="16:20" s="497" customFormat="1" ht="15">
      <c r="P1073" s="447"/>
      <c r="Q1073" s="497">
        <v>5</v>
      </c>
      <c r="R1073" s="497">
        <v>0.80100000000000005</v>
      </c>
      <c r="S1073" s="497">
        <v>0.05</v>
      </c>
      <c r="T1073" s="497">
        <v>3</v>
      </c>
    </row>
    <row r="1074" spans="16:20" s="497" customFormat="1" ht="15">
      <c r="P1074" s="447"/>
      <c r="Q1074" s="497">
        <v>5</v>
      </c>
      <c r="R1074" s="497">
        <v>0.80100000000000005</v>
      </c>
      <c r="S1074" s="497">
        <v>0.06</v>
      </c>
      <c r="T1074" s="497">
        <v>3</v>
      </c>
    </row>
    <row r="1075" spans="16:20" s="497" customFormat="1" ht="15">
      <c r="P1075" s="447"/>
      <c r="Q1075" s="497">
        <v>5</v>
      </c>
      <c r="R1075" s="497">
        <v>0.80100000000000005</v>
      </c>
      <c r="S1075" s="497">
        <v>0.08</v>
      </c>
      <c r="T1075" s="497">
        <v>2.5</v>
      </c>
    </row>
    <row r="1076" spans="16:20" s="497" customFormat="1" ht="15">
      <c r="P1076" s="447"/>
      <c r="Q1076" s="497">
        <v>5</v>
      </c>
      <c r="R1076" s="497">
        <v>0.80100000000000005</v>
      </c>
      <c r="S1076" s="497">
        <v>0.1</v>
      </c>
      <c r="T1076" s="497">
        <v>2.5</v>
      </c>
    </row>
    <row r="1077" spans="16:20" s="497" customFormat="1" ht="15">
      <c r="P1077" s="447"/>
      <c r="Q1077" s="497">
        <v>5</v>
      </c>
      <c r="R1077" s="497">
        <v>0.80100000000000005</v>
      </c>
      <c r="S1077" s="497">
        <v>0.15</v>
      </c>
      <c r="T1077" s="497">
        <v>2.5</v>
      </c>
    </row>
    <row r="1078" spans="16:20" s="497" customFormat="1" ht="15">
      <c r="P1078" s="447"/>
      <c r="Q1078" s="497">
        <v>5</v>
      </c>
      <c r="R1078" s="497">
        <v>0.80100000000000005</v>
      </c>
      <c r="S1078" s="497">
        <v>0.2</v>
      </c>
      <c r="T1078" s="497">
        <v>2.5</v>
      </c>
    </row>
    <row r="1079" spans="16:20" s="497" customFormat="1" ht="15">
      <c r="P1079" s="447"/>
      <c r="Q1079" s="497">
        <v>5</v>
      </c>
      <c r="R1079" s="497">
        <v>0.80100000000000005</v>
      </c>
      <c r="S1079" s="497">
        <v>0.25</v>
      </c>
      <c r="T1079" s="497">
        <v>2.5</v>
      </c>
    </row>
    <row r="1080" spans="16:20" s="497" customFormat="1" ht="15">
      <c r="P1080" s="447"/>
      <c r="Q1080" s="497">
        <v>5</v>
      </c>
      <c r="R1080" s="497">
        <v>0.80100000000000005</v>
      </c>
      <c r="S1080" s="497">
        <v>1</v>
      </c>
      <c r="T1080" s="497">
        <v>2.5</v>
      </c>
    </row>
    <row r="1081" spans="16:20" s="497" customFormat="1" ht="15">
      <c r="P1081" s="447"/>
      <c r="Q1081" s="497">
        <v>5</v>
      </c>
      <c r="R1081" s="497">
        <v>1.2</v>
      </c>
      <c r="S1081" s="497">
        <v>0</v>
      </c>
      <c r="T1081" s="497">
        <v>3.5</v>
      </c>
    </row>
    <row r="1082" spans="16:20" s="497" customFormat="1" ht="15">
      <c r="P1082" s="447"/>
      <c r="Q1082" s="497">
        <v>5</v>
      </c>
      <c r="R1082" s="497">
        <v>1.2</v>
      </c>
      <c r="S1082" s="497">
        <v>0.02</v>
      </c>
      <c r="T1082" s="497">
        <v>3.5</v>
      </c>
    </row>
    <row r="1083" spans="16:20" s="497" customFormat="1" ht="15">
      <c r="P1083" s="447"/>
      <c r="Q1083" s="497">
        <v>5</v>
      </c>
      <c r="R1083" s="497">
        <v>1.2</v>
      </c>
      <c r="S1083" s="497">
        <v>0.04</v>
      </c>
      <c r="T1083" s="497">
        <v>3</v>
      </c>
    </row>
    <row r="1084" spans="16:20" s="497" customFormat="1" ht="15">
      <c r="P1084" s="447"/>
      <c r="Q1084" s="497">
        <v>5</v>
      </c>
      <c r="R1084" s="497">
        <v>1.2</v>
      </c>
      <c r="S1084" s="497">
        <v>0.05</v>
      </c>
      <c r="T1084" s="497">
        <v>3</v>
      </c>
    </row>
    <row r="1085" spans="16:20" s="497" customFormat="1" ht="15">
      <c r="P1085" s="447"/>
      <c r="Q1085" s="497">
        <v>5</v>
      </c>
      <c r="R1085" s="497">
        <v>1.2</v>
      </c>
      <c r="S1085" s="497">
        <v>0.06</v>
      </c>
      <c r="T1085" s="497">
        <v>3</v>
      </c>
    </row>
    <row r="1086" spans="16:20" s="497" customFormat="1" ht="15">
      <c r="P1086" s="447"/>
      <c r="Q1086" s="497">
        <v>5</v>
      </c>
      <c r="R1086" s="497">
        <v>1.2</v>
      </c>
      <c r="S1086" s="497">
        <v>0.08</v>
      </c>
      <c r="T1086" s="497">
        <v>2.5</v>
      </c>
    </row>
    <row r="1087" spans="16:20" s="497" customFormat="1" ht="15">
      <c r="P1087" s="447"/>
      <c r="Q1087" s="497">
        <v>5</v>
      </c>
      <c r="R1087" s="497">
        <v>1.2</v>
      </c>
      <c r="S1087" s="497">
        <v>0.1</v>
      </c>
      <c r="T1087" s="497">
        <v>2.5</v>
      </c>
    </row>
    <row r="1088" spans="16:20" s="497" customFormat="1" ht="15">
      <c r="P1088" s="447"/>
      <c r="Q1088" s="497">
        <v>5</v>
      </c>
      <c r="R1088" s="497">
        <v>1.2</v>
      </c>
      <c r="S1088" s="497">
        <v>0.15</v>
      </c>
      <c r="T1088" s="497">
        <v>2.5</v>
      </c>
    </row>
    <row r="1089" spans="16:20" s="497" customFormat="1" ht="15">
      <c r="P1089" s="447"/>
      <c r="Q1089" s="497">
        <v>5</v>
      </c>
      <c r="R1089" s="497">
        <v>1.2</v>
      </c>
      <c r="S1089" s="497">
        <v>0.2</v>
      </c>
      <c r="T1089" s="497">
        <v>2.5</v>
      </c>
    </row>
    <row r="1090" spans="16:20" s="497" customFormat="1" ht="15">
      <c r="P1090" s="447"/>
      <c r="Q1090" s="497">
        <v>5</v>
      </c>
      <c r="R1090" s="497">
        <v>1.2</v>
      </c>
      <c r="S1090" s="497">
        <v>0.25</v>
      </c>
      <c r="T1090" s="497">
        <v>2.5</v>
      </c>
    </row>
    <row r="1091" spans="16:20" s="497" customFormat="1" ht="15">
      <c r="P1091" s="447"/>
      <c r="Q1091" s="497">
        <v>5</v>
      </c>
      <c r="R1091" s="497">
        <v>1.2</v>
      </c>
      <c r="S1091" s="497">
        <v>1</v>
      </c>
      <c r="T1091" s="497">
        <v>2.5</v>
      </c>
    </row>
    <row r="1092" spans="16:20" s="497" customFormat="1" ht="15">
      <c r="P1092" s="447"/>
      <c r="Q1092" s="497">
        <v>5</v>
      </c>
      <c r="R1092" s="497">
        <v>1.2010000000000001</v>
      </c>
      <c r="S1092" s="497">
        <v>0</v>
      </c>
      <c r="T1092" s="497">
        <v>4</v>
      </c>
    </row>
    <row r="1093" spans="16:20" s="497" customFormat="1" ht="15">
      <c r="P1093" s="447"/>
      <c r="Q1093" s="497">
        <v>5</v>
      </c>
      <c r="R1093" s="497">
        <v>1.2010000000000001</v>
      </c>
      <c r="S1093" s="497">
        <v>0.02</v>
      </c>
      <c r="T1093" s="497">
        <v>4</v>
      </c>
    </row>
    <row r="1094" spans="16:20" s="497" customFormat="1" ht="15">
      <c r="P1094" s="447"/>
      <c r="Q1094" s="497">
        <v>5</v>
      </c>
      <c r="R1094" s="497">
        <v>1.2010000000000001</v>
      </c>
      <c r="S1094" s="497">
        <v>0.04</v>
      </c>
      <c r="T1094" s="497">
        <v>3.5</v>
      </c>
    </row>
    <row r="1095" spans="16:20" s="497" customFormat="1" ht="15">
      <c r="P1095" s="447"/>
      <c r="Q1095" s="497">
        <v>5</v>
      </c>
      <c r="R1095" s="497">
        <v>1.2010000000000001</v>
      </c>
      <c r="S1095" s="497">
        <v>0.05</v>
      </c>
      <c r="T1095" s="497">
        <v>3.5</v>
      </c>
    </row>
    <row r="1096" spans="16:20" s="497" customFormat="1" ht="15">
      <c r="P1096" s="447"/>
      <c r="Q1096" s="497">
        <v>5</v>
      </c>
      <c r="R1096" s="497">
        <v>1.2010000000000001</v>
      </c>
      <c r="S1096" s="497">
        <v>0.06</v>
      </c>
      <c r="T1096" s="497">
        <v>3.5</v>
      </c>
    </row>
    <row r="1097" spans="16:20" s="497" customFormat="1" ht="15">
      <c r="P1097" s="447"/>
      <c r="Q1097" s="497">
        <v>5</v>
      </c>
      <c r="R1097" s="497">
        <v>1.2010000000000001</v>
      </c>
      <c r="S1097" s="497">
        <v>0.08</v>
      </c>
      <c r="T1097" s="497">
        <v>3</v>
      </c>
    </row>
    <row r="1098" spans="16:20" s="497" customFormat="1" ht="15">
      <c r="P1098" s="447"/>
      <c r="Q1098" s="497">
        <v>5</v>
      </c>
      <c r="R1098" s="497">
        <v>1.2010000000000001</v>
      </c>
      <c r="S1098" s="497">
        <v>0.1</v>
      </c>
      <c r="T1098" s="497">
        <v>3</v>
      </c>
    </row>
    <row r="1099" spans="16:20" s="497" customFormat="1" ht="15">
      <c r="P1099" s="447"/>
      <c r="Q1099" s="497">
        <v>5</v>
      </c>
      <c r="R1099" s="497">
        <v>1.2010000000000001</v>
      </c>
      <c r="S1099" s="497">
        <v>0.15</v>
      </c>
      <c r="T1099" s="497">
        <v>3</v>
      </c>
    </row>
    <row r="1100" spans="16:20" s="497" customFormat="1" ht="15">
      <c r="P1100" s="447"/>
      <c r="Q1100" s="497">
        <v>5</v>
      </c>
      <c r="R1100" s="497">
        <v>1.2010000000000001</v>
      </c>
      <c r="S1100" s="497">
        <v>0.2</v>
      </c>
      <c r="T1100" s="497">
        <v>3</v>
      </c>
    </row>
    <row r="1101" spans="16:20" s="497" customFormat="1" ht="15">
      <c r="P1101" s="447"/>
      <c r="Q1101" s="497">
        <v>5</v>
      </c>
      <c r="R1101" s="497">
        <v>1.2010000000000001</v>
      </c>
      <c r="S1101" s="497">
        <v>0.25</v>
      </c>
      <c r="T1101" s="497">
        <v>3</v>
      </c>
    </row>
    <row r="1102" spans="16:20" s="497" customFormat="1" ht="15">
      <c r="P1102" s="447"/>
      <c r="Q1102" s="497">
        <v>5</v>
      </c>
      <c r="R1102" s="497">
        <v>1.2010000000000001</v>
      </c>
      <c r="S1102" s="497">
        <v>1</v>
      </c>
      <c r="T1102" s="497">
        <v>3</v>
      </c>
    </row>
    <row r="1103" spans="16:20" s="497" customFormat="1" ht="15">
      <c r="P1103" s="447"/>
      <c r="Q1103" s="497">
        <v>5</v>
      </c>
      <c r="R1103" s="497">
        <v>1.6</v>
      </c>
      <c r="S1103" s="497">
        <v>0</v>
      </c>
      <c r="T1103" s="497">
        <v>4</v>
      </c>
    </row>
    <row r="1104" spans="16:20" s="497" customFormat="1" ht="15">
      <c r="P1104" s="447"/>
      <c r="Q1104" s="497">
        <v>5</v>
      </c>
      <c r="R1104" s="497">
        <v>1.6</v>
      </c>
      <c r="S1104" s="497">
        <v>0.02</v>
      </c>
      <c r="T1104" s="497">
        <v>4</v>
      </c>
    </row>
    <row r="1105" spans="16:20" s="497" customFormat="1" ht="15">
      <c r="P1105" s="447"/>
      <c r="Q1105" s="497">
        <v>5</v>
      </c>
      <c r="R1105" s="497">
        <v>1.6</v>
      </c>
      <c r="S1105" s="497">
        <v>0.04</v>
      </c>
      <c r="T1105" s="497">
        <v>3.5</v>
      </c>
    </row>
    <row r="1106" spans="16:20" s="497" customFormat="1" ht="15">
      <c r="P1106" s="447"/>
      <c r="Q1106" s="497">
        <v>5</v>
      </c>
      <c r="R1106" s="497">
        <v>1.6</v>
      </c>
      <c r="S1106" s="497">
        <v>0.05</v>
      </c>
      <c r="T1106" s="497">
        <v>3.5</v>
      </c>
    </row>
    <row r="1107" spans="16:20" s="497" customFormat="1" ht="15">
      <c r="P1107" s="447"/>
      <c r="Q1107" s="497">
        <v>5</v>
      </c>
      <c r="R1107" s="497">
        <v>1.6</v>
      </c>
      <c r="S1107" s="497">
        <v>0.06</v>
      </c>
      <c r="T1107" s="497">
        <v>3.5</v>
      </c>
    </row>
    <row r="1108" spans="16:20" s="497" customFormat="1" ht="15">
      <c r="P1108" s="447"/>
      <c r="Q1108" s="497">
        <v>5</v>
      </c>
      <c r="R1108" s="497">
        <v>1.6</v>
      </c>
      <c r="S1108" s="497">
        <v>0.08</v>
      </c>
      <c r="T1108" s="497">
        <v>3</v>
      </c>
    </row>
    <row r="1109" spans="16:20" s="497" customFormat="1" ht="15">
      <c r="P1109" s="447"/>
      <c r="Q1109" s="497">
        <v>5</v>
      </c>
      <c r="R1109" s="497">
        <v>1.6</v>
      </c>
      <c r="S1109" s="497">
        <v>0.1</v>
      </c>
      <c r="T1109" s="497">
        <v>3</v>
      </c>
    </row>
    <row r="1110" spans="16:20" s="497" customFormat="1" ht="15">
      <c r="P1110" s="447"/>
      <c r="Q1110" s="497">
        <v>5</v>
      </c>
      <c r="R1110" s="497">
        <v>1.6</v>
      </c>
      <c r="S1110" s="497">
        <v>0.15</v>
      </c>
      <c r="T1110" s="497">
        <v>3</v>
      </c>
    </row>
    <row r="1111" spans="16:20" s="497" customFormat="1" ht="15">
      <c r="P1111" s="447"/>
      <c r="Q1111" s="497">
        <v>5</v>
      </c>
      <c r="R1111" s="497">
        <v>1.6</v>
      </c>
      <c r="S1111" s="497">
        <v>0.2</v>
      </c>
      <c r="T1111" s="497">
        <v>3</v>
      </c>
    </row>
    <row r="1112" spans="16:20" s="497" customFormat="1" ht="15">
      <c r="P1112" s="447"/>
      <c r="Q1112" s="497">
        <v>5</v>
      </c>
      <c r="R1112" s="497">
        <v>1.6</v>
      </c>
      <c r="S1112" s="497">
        <v>0.25</v>
      </c>
      <c r="T1112" s="497">
        <v>3</v>
      </c>
    </row>
    <row r="1113" spans="16:20" s="497" customFormat="1" ht="15">
      <c r="P1113" s="447"/>
      <c r="Q1113" s="497">
        <v>5</v>
      </c>
      <c r="R1113" s="497">
        <v>1.6</v>
      </c>
      <c r="S1113" s="497">
        <v>1</v>
      </c>
      <c r="T1113" s="497">
        <v>3</v>
      </c>
    </row>
    <row r="1114" spans="16:20" s="497" customFormat="1" ht="15">
      <c r="P1114" s="447"/>
      <c r="Q1114" s="497">
        <v>5</v>
      </c>
      <c r="R1114" s="497">
        <v>1.601</v>
      </c>
      <c r="S1114" s="497">
        <v>0</v>
      </c>
      <c r="T1114" s="497">
        <v>5</v>
      </c>
    </row>
    <row r="1115" spans="16:20" s="497" customFormat="1" ht="15">
      <c r="P1115" s="447"/>
      <c r="Q1115" s="497">
        <v>5</v>
      </c>
      <c r="R1115" s="497">
        <v>1.601</v>
      </c>
      <c r="S1115" s="497">
        <v>0.02</v>
      </c>
      <c r="T1115" s="497">
        <v>5</v>
      </c>
    </row>
    <row r="1116" spans="16:20" s="497" customFormat="1" ht="15">
      <c r="P1116" s="447"/>
      <c r="Q1116" s="497">
        <v>5</v>
      </c>
      <c r="R1116" s="497">
        <v>1.601</v>
      </c>
      <c r="S1116" s="497">
        <v>0.04</v>
      </c>
      <c r="T1116" s="497">
        <v>4</v>
      </c>
    </row>
    <row r="1117" spans="16:20" s="497" customFormat="1" ht="15">
      <c r="P1117" s="447"/>
      <c r="Q1117" s="497">
        <v>5</v>
      </c>
      <c r="R1117" s="497">
        <v>1.601</v>
      </c>
      <c r="S1117" s="497">
        <v>0.05</v>
      </c>
      <c r="T1117" s="497">
        <v>4</v>
      </c>
    </row>
    <row r="1118" spans="16:20" s="497" customFormat="1" ht="15">
      <c r="P1118" s="447"/>
      <c r="Q1118" s="497">
        <v>5</v>
      </c>
      <c r="R1118" s="497">
        <v>1.601</v>
      </c>
      <c r="S1118" s="497">
        <v>0.06</v>
      </c>
      <c r="T1118" s="497">
        <v>4</v>
      </c>
    </row>
    <row r="1119" spans="16:20" s="497" customFormat="1" ht="15">
      <c r="P1119" s="447"/>
      <c r="Q1119" s="497">
        <v>5</v>
      </c>
      <c r="R1119" s="497">
        <v>1.601</v>
      </c>
      <c r="S1119" s="497">
        <v>0.08</v>
      </c>
      <c r="T1119" s="497">
        <v>3.5</v>
      </c>
    </row>
    <row r="1120" spans="16:20" s="497" customFormat="1" ht="15">
      <c r="P1120" s="447"/>
      <c r="Q1120" s="497">
        <v>5</v>
      </c>
      <c r="R1120" s="497">
        <v>1.601</v>
      </c>
      <c r="S1120" s="497">
        <v>0.1</v>
      </c>
      <c r="T1120" s="497">
        <v>3.5</v>
      </c>
    </row>
    <row r="1121" spans="16:20" s="497" customFormat="1" ht="15">
      <c r="P1121" s="447"/>
      <c r="Q1121" s="497">
        <v>5</v>
      </c>
      <c r="R1121" s="497">
        <v>1.601</v>
      </c>
      <c r="S1121" s="497">
        <v>0.15</v>
      </c>
      <c r="T1121" s="497">
        <v>3</v>
      </c>
    </row>
    <row r="1122" spans="16:20" s="497" customFormat="1" ht="15">
      <c r="P1122" s="447"/>
      <c r="Q1122" s="497">
        <v>5</v>
      </c>
      <c r="R1122" s="497">
        <v>1.601</v>
      </c>
      <c r="S1122" s="497">
        <v>0.2</v>
      </c>
      <c r="T1122" s="497">
        <v>3</v>
      </c>
    </row>
    <row r="1123" spans="16:20" s="497" customFormat="1" ht="15">
      <c r="P1123" s="447"/>
      <c r="Q1123" s="497">
        <v>5</v>
      </c>
      <c r="R1123" s="497">
        <v>1.601</v>
      </c>
      <c r="S1123" s="497">
        <v>0.25</v>
      </c>
      <c r="T1123" s="497">
        <v>3</v>
      </c>
    </row>
    <row r="1124" spans="16:20" s="497" customFormat="1" ht="15">
      <c r="P1124" s="447"/>
      <c r="Q1124" s="497">
        <v>5</v>
      </c>
      <c r="R1124" s="497">
        <v>1.601</v>
      </c>
      <c r="S1124" s="497">
        <v>1</v>
      </c>
      <c r="T1124" s="497">
        <v>3</v>
      </c>
    </row>
    <row r="1125" spans="16:20" s="497" customFormat="1" ht="15">
      <c r="P1125" s="447"/>
      <c r="Q1125" s="497">
        <v>5</v>
      </c>
      <c r="R1125" s="497">
        <v>2.4</v>
      </c>
      <c r="S1125" s="497">
        <v>0</v>
      </c>
      <c r="T1125" s="497">
        <v>5</v>
      </c>
    </row>
    <row r="1126" spans="16:20" s="497" customFormat="1" ht="15">
      <c r="P1126" s="447"/>
      <c r="Q1126" s="497">
        <v>5</v>
      </c>
      <c r="R1126" s="497">
        <v>2.4</v>
      </c>
      <c r="S1126" s="497">
        <v>0.02</v>
      </c>
      <c r="T1126" s="497">
        <v>5</v>
      </c>
    </row>
    <row r="1127" spans="16:20" s="497" customFormat="1" ht="15">
      <c r="P1127" s="447"/>
      <c r="Q1127" s="497">
        <v>5</v>
      </c>
      <c r="R1127" s="497">
        <v>2.4</v>
      </c>
      <c r="S1127" s="497">
        <v>0.04</v>
      </c>
      <c r="T1127" s="497">
        <v>4</v>
      </c>
    </row>
    <row r="1128" spans="16:20" s="497" customFormat="1" ht="15">
      <c r="P1128" s="447"/>
      <c r="Q1128" s="497">
        <v>5</v>
      </c>
      <c r="R1128" s="497">
        <v>2.4</v>
      </c>
      <c r="S1128" s="497">
        <v>0.05</v>
      </c>
      <c r="T1128" s="497">
        <v>4</v>
      </c>
    </row>
    <row r="1129" spans="16:20" s="497" customFormat="1" ht="15">
      <c r="P1129" s="447"/>
      <c r="Q1129" s="497">
        <v>5</v>
      </c>
      <c r="R1129" s="497">
        <v>2.4</v>
      </c>
      <c r="S1129" s="497">
        <v>0.06</v>
      </c>
      <c r="T1129" s="497">
        <v>4</v>
      </c>
    </row>
    <row r="1130" spans="16:20" s="497" customFormat="1" ht="15">
      <c r="P1130" s="447"/>
      <c r="Q1130" s="497">
        <v>5</v>
      </c>
      <c r="R1130" s="497">
        <v>2.4</v>
      </c>
      <c r="S1130" s="497">
        <v>0.08</v>
      </c>
      <c r="T1130" s="497">
        <v>3.5</v>
      </c>
    </row>
    <row r="1131" spans="16:20" s="497" customFormat="1" ht="15">
      <c r="P1131" s="447"/>
      <c r="Q1131" s="497">
        <v>5</v>
      </c>
      <c r="R1131" s="497">
        <v>2.4</v>
      </c>
      <c r="S1131" s="497">
        <v>0.1</v>
      </c>
      <c r="T1131" s="497">
        <v>3.5</v>
      </c>
    </row>
    <row r="1132" spans="16:20" s="497" customFormat="1" ht="15">
      <c r="P1132" s="447"/>
      <c r="Q1132" s="497">
        <v>5</v>
      </c>
      <c r="R1132" s="497">
        <v>2.4</v>
      </c>
      <c r="S1132" s="497">
        <v>0.15</v>
      </c>
      <c r="T1132" s="497">
        <v>3</v>
      </c>
    </row>
    <row r="1133" spans="16:20" s="497" customFormat="1" ht="15">
      <c r="P1133" s="447"/>
      <c r="Q1133" s="497">
        <v>5</v>
      </c>
      <c r="R1133" s="497">
        <v>2.4</v>
      </c>
      <c r="S1133" s="497">
        <v>0.2</v>
      </c>
      <c r="T1133" s="497">
        <v>3</v>
      </c>
    </row>
    <row r="1134" spans="16:20" s="497" customFormat="1" ht="15">
      <c r="P1134" s="447"/>
      <c r="Q1134" s="497">
        <v>5</v>
      </c>
      <c r="R1134" s="497">
        <v>2.4</v>
      </c>
      <c r="S1134" s="497">
        <v>0.25</v>
      </c>
      <c r="T1134" s="497">
        <v>3</v>
      </c>
    </row>
    <row r="1135" spans="16:20" s="497" customFormat="1" ht="15">
      <c r="P1135" s="447"/>
      <c r="Q1135" s="497">
        <v>5</v>
      </c>
      <c r="R1135" s="497">
        <v>2.4</v>
      </c>
      <c r="S1135" s="497">
        <v>1</v>
      </c>
      <c r="T1135" s="497">
        <v>3</v>
      </c>
    </row>
    <row r="1136" spans="16:20" s="497" customFormat="1" ht="15">
      <c r="P1136" s="447"/>
      <c r="Q1136" s="497">
        <v>5</v>
      </c>
      <c r="R1136" s="497">
        <v>100</v>
      </c>
      <c r="S1136" s="497">
        <v>0</v>
      </c>
      <c r="T1136" s="497">
        <v>5</v>
      </c>
    </row>
    <row r="1137" spans="16:20" s="497" customFormat="1" ht="15">
      <c r="P1137" s="447"/>
      <c r="Q1137" s="497">
        <v>5</v>
      </c>
      <c r="R1137" s="497">
        <v>100</v>
      </c>
      <c r="S1137" s="497">
        <v>0.02</v>
      </c>
      <c r="T1137" s="497">
        <v>5</v>
      </c>
    </row>
    <row r="1138" spans="16:20" s="497" customFormat="1" ht="15">
      <c r="P1138" s="447"/>
      <c r="Q1138" s="497">
        <v>5</v>
      </c>
      <c r="R1138" s="497">
        <v>100</v>
      </c>
      <c r="S1138" s="497">
        <v>0.04</v>
      </c>
      <c r="T1138" s="497">
        <v>4</v>
      </c>
    </row>
    <row r="1139" spans="16:20" s="497" customFormat="1" ht="15">
      <c r="P1139" s="447"/>
      <c r="Q1139" s="497">
        <v>5</v>
      </c>
      <c r="R1139" s="497">
        <v>100</v>
      </c>
      <c r="S1139" s="497">
        <v>0.05</v>
      </c>
      <c r="T1139" s="497">
        <v>4</v>
      </c>
    </row>
    <row r="1140" spans="16:20" s="497" customFormat="1" ht="15">
      <c r="P1140" s="447"/>
      <c r="Q1140" s="497">
        <v>5</v>
      </c>
      <c r="R1140" s="497">
        <v>100</v>
      </c>
      <c r="S1140" s="497">
        <v>0.06</v>
      </c>
      <c r="T1140" s="497">
        <v>4</v>
      </c>
    </row>
    <row r="1141" spans="16:20" s="497" customFormat="1" ht="15">
      <c r="P1141" s="447"/>
      <c r="Q1141" s="497">
        <v>5</v>
      </c>
      <c r="R1141" s="497">
        <v>100</v>
      </c>
      <c r="S1141" s="497">
        <v>0.08</v>
      </c>
      <c r="T1141" s="497">
        <v>3.5</v>
      </c>
    </row>
    <row r="1142" spans="16:20" s="497" customFormat="1" ht="15">
      <c r="P1142" s="447"/>
      <c r="Q1142" s="497">
        <v>5</v>
      </c>
      <c r="R1142" s="497">
        <v>100</v>
      </c>
      <c r="S1142" s="497">
        <v>0.1</v>
      </c>
      <c r="T1142" s="497">
        <v>3.5</v>
      </c>
    </row>
    <row r="1143" spans="16:20" s="497" customFormat="1" ht="15">
      <c r="P1143" s="447"/>
      <c r="Q1143" s="497">
        <v>5</v>
      </c>
      <c r="R1143" s="497">
        <v>100</v>
      </c>
      <c r="S1143" s="497">
        <v>0.15</v>
      </c>
      <c r="T1143" s="497">
        <v>3</v>
      </c>
    </row>
    <row r="1144" spans="16:20" s="497" customFormat="1" ht="15">
      <c r="P1144" s="447"/>
      <c r="Q1144" s="497">
        <v>5</v>
      </c>
      <c r="R1144" s="497">
        <v>100</v>
      </c>
      <c r="S1144" s="497">
        <v>0.2</v>
      </c>
      <c r="T1144" s="497">
        <v>3</v>
      </c>
    </row>
    <row r="1145" spans="16:20" s="497" customFormat="1" ht="15">
      <c r="P1145" s="447"/>
      <c r="Q1145" s="497">
        <v>5</v>
      </c>
      <c r="R1145" s="497">
        <v>100</v>
      </c>
      <c r="S1145" s="497">
        <v>0.25</v>
      </c>
      <c r="T1145" s="497">
        <v>3</v>
      </c>
    </row>
    <row r="1146" spans="16:20" s="497" customFormat="1" ht="15">
      <c r="P1146" s="447"/>
      <c r="Q1146" s="497">
        <v>5</v>
      </c>
      <c r="R1146" s="497">
        <v>100</v>
      </c>
      <c r="S1146" s="497">
        <v>1</v>
      </c>
      <c r="T1146" s="497">
        <v>3</v>
      </c>
    </row>
    <row r="1147" spans="16:20" s="497" customFormat="1" ht="15">
      <c r="P1147" s="447"/>
      <c r="Q1147" s="497">
        <v>5.01</v>
      </c>
      <c r="R1147" s="497">
        <v>0</v>
      </c>
      <c r="S1147" s="497">
        <v>0</v>
      </c>
      <c r="T1147" s="497">
        <v>2</v>
      </c>
    </row>
    <row r="1148" spans="16:20" s="497" customFormat="1" ht="15">
      <c r="P1148" s="447"/>
      <c r="Q1148" s="497">
        <v>5.01</v>
      </c>
      <c r="R1148" s="497">
        <v>0</v>
      </c>
      <c r="S1148" s="497">
        <v>0.02</v>
      </c>
      <c r="T1148" s="497">
        <v>2</v>
      </c>
    </row>
    <row r="1149" spans="16:20" s="497" customFormat="1" ht="15">
      <c r="P1149" s="447"/>
      <c r="Q1149" s="497">
        <v>5.01</v>
      </c>
      <c r="R1149" s="497">
        <v>0</v>
      </c>
      <c r="S1149" s="497">
        <v>0.04</v>
      </c>
      <c r="T1149" s="497">
        <v>2</v>
      </c>
    </row>
    <row r="1150" spans="16:20" s="497" customFormat="1" ht="15">
      <c r="P1150" s="447"/>
      <c r="Q1150" s="497">
        <v>5.01</v>
      </c>
      <c r="R1150" s="497">
        <v>0</v>
      </c>
      <c r="S1150" s="497">
        <v>0.05</v>
      </c>
      <c r="T1150" s="497">
        <v>1.5</v>
      </c>
    </row>
    <row r="1151" spans="16:20">
      <c r="Q1151" s="473">
        <v>5.01</v>
      </c>
      <c r="R1151" s="473">
        <v>0</v>
      </c>
      <c r="S1151" s="473">
        <v>0.06</v>
      </c>
      <c r="T1151" s="473">
        <v>1.5</v>
      </c>
    </row>
    <row r="1152" spans="16:20">
      <c r="Q1152" s="473">
        <v>5.01</v>
      </c>
      <c r="R1152" s="473">
        <v>0</v>
      </c>
      <c r="S1152" s="473">
        <v>0.08</v>
      </c>
      <c r="T1152" s="473">
        <v>1.5</v>
      </c>
    </row>
    <row r="1153" spans="17:20">
      <c r="Q1153" s="473">
        <v>5.01</v>
      </c>
      <c r="R1153" s="473">
        <v>0</v>
      </c>
      <c r="S1153" s="473">
        <v>0.1</v>
      </c>
      <c r="T1153" s="473">
        <v>1.5</v>
      </c>
    </row>
    <row r="1154" spans="17:20">
      <c r="Q1154" s="473">
        <v>5.01</v>
      </c>
      <c r="R1154" s="473">
        <v>0</v>
      </c>
      <c r="S1154" s="473">
        <v>0.15</v>
      </c>
      <c r="T1154" s="473">
        <v>1.5</v>
      </c>
    </row>
    <row r="1155" spans="17:20">
      <c r="Q1155" s="473">
        <v>5.01</v>
      </c>
      <c r="R1155" s="473">
        <v>0</v>
      </c>
      <c r="S1155" s="473">
        <v>0.2</v>
      </c>
      <c r="T1155" s="473">
        <v>1.5</v>
      </c>
    </row>
    <row r="1156" spans="17:20">
      <c r="Q1156" s="473">
        <v>5.01</v>
      </c>
      <c r="R1156" s="473">
        <v>0</v>
      </c>
      <c r="S1156" s="473">
        <v>0.25</v>
      </c>
      <c r="T1156" s="473">
        <v>1.5</v>
      </c>
    </row>
    <row r="1157" spans="17:20">
      <c r="Q1157" s="473">
        <v>5.01</v>
      </c>
      <c r="R1157" s="473">
        <v>0</v>
      </c>
      <c r="S1157" s="473">
        <v>1</v>
      </c>
      <c r="T1157" s="473">
        <v>1.5</v>
      </c>
    </row>
    <row r="1158" spans="17:20">
      <c r="Q1158" s="473">
        <v>5.01</v>
      </c>
      <c r="R1158" s="473">
        <v>0.4</v>
      </c>
      <c r="S1158" s="473">
        <v>0</v>
      </c>
      <c r="T1158" s="473">
        <v>2</v>
      </c>
    </row>
    <row r="1159" spans="17:20">
      <c r="Q1159" s="473">
        <v>5.01</v>
      </c>
      <c r="R1159" s="473">
        <v>0.4</v>
      </c>
      <c r="S1159" s="473">
        <v>0.02</v>
      </c>
      <c r="T1159" s="473">
        <v>2</v>
      </c>
    </row>
    <row r="1160" spans="17:20">
      <c r="Q1160" s="473">
        <v>5.01</v>
      </c>
      <c r="R1160" s="473">
        <v>0.4</v>
      </c>
      <c r="S1160" s="473">
        <v>0.04</v>
      </c>
      <c r="T1160" s="473">
        <v>2</v>
      </c>
    </row>
    <row r="1161" spans="17:20">
      <c r="Q1161" s="473">
        <v>5.01</v>
      </c>
      <c r="R1161" s="473">
        <v>0.4</v>
      </c>
      <c r="S1161" s="473">
        <v>0.05</v>
      </c>
      <c r="T1161" s="473">
        <v>1.5</v>
      </c>
    </row>
    <row r="1162" spans="17:20">
      <c r="Q1162" s="473">
        <v>5.01</v>
      </c>
      <c r="R1162" s="473">
        <v>0.4</v>
      </c>
      <c r="S1162" s="473">
        <v>0.06</v>
      </c>
      <c r="T1162" s="473">
        <v>1.5</v>
      </c>
    </row>
    <row r="1163" spans="17:20">
      <c r="Q1163" s="473">
        <v>5.01</v>
      </c>
      <c r="R1163" s="473">
        <v>0.4</v>
      </c>
      <c r="S1163" s="473">
        <v>0.08</v>
      </c>
      <c r="T1163" s="473">
        <v>1.5</v>
      </c>
    </row>
    <row r="1164" spans="17:20">
      <c r="Q1164" s="473">
        <v>5.01</v>
      </c>
      <c r="R1164" s="473">
        <v>0.4</v>
      </c>
      <c r="S1164" s="473">
        <v>0.1</v>
      </c>
      <c r="T1164" s="473">
        <v>1.5</v>
      </c>
    </row>
    <row r="1165" spans="17:20">
      <c r="Q1165" s="473">
        <v>5.01</v>
      </c>
      <c r="R1165" s="473">
        <v>0.4</v>
      </c>
      <c r="S1165" s="473">
        <v>0.15</v>
      </c>
      <c r="T1165" s="473">
        <v>1.5</v>
      </c>
    </row>
    <row r="1166" spans="17:20">
      <c r="Q1166" s="473">
        <v>5.01</v>
      </c>
      <c r="R1166" s="473">
        <v>0.4</v>
      </c>
      <c r="S1166" s="473">
        <v>0.2</v>
      </c>
      <c r="T1166" s="473">
        <v>1.5</v>
      </c>
    </row>
    <row r="1167" spans="17:20">
      <c r="Q1167" s="473">
        <v>5.01</v>
      </c>
      <c r="R1167" s="473">
        <v>0.4</v>
      </c>
      <c r="S1167" s="473">
        <v>0.25</v>
      </c>
      <c r="T1167" s="473">
        <v>1.5</v>
      </c>
    </row>
    <row r="1168" spans="17:20">
      <c r="Q1168" s="473">
        <v>5.01</v>
      </c>
      <c r="R1168" s="473">
        <v>0.4</v>
      </c>
      <c r="S1168" s="473">
        <v>1</v>
      </c>
      <c r="T1168" s="473">
        <v>1.5</v>
      </c>
    </row>
    <row r="1169" spans="17:20">
      <c r="Q1169" s="473">
        <v>5.01</v>
      </c>
      <c r="R1169" s="473">
        <v>0.40100000000000002</v>
      </c>
      <c r="S1169" s="473">
        <v>0</v>
      </c>
      <c r="T1169" s="473">
        <v>4</v>
      </c>
    </row>
    <row r="1170" spans="17:20">
      <c r="Q1170" s="473">
        <v>5.01</v>
      </c>
      <c r="R1170" s="473">
        <v>0.40100000000000002</v>
      </c>
      <c r="S1170" s="473">
        <v>0.02</v>
      </c>
      <c r="T1170" s="473">
        <v>4</v>
      </c>
    </row>
    <row r="1171" spans="17:20">
      <c r="Q1171" s="473">
        <v>5.01</v>
      </c>
      <c r="R1171" s="473">
        <v>0.40100000000000002</v>
      </c>
      <c r="S1171" s="473">
        <v>0.04</v>
      </c>
      <c r="T1171" s="473">
        <v>3</v>
      </c>
    </row>
    <row r="1172" spans="17:20">
      <c r="Q1172" s="473">
        <v>5.01</v>
      </c>
      <c r="R1172" s="473">
        <v>0.40100000000000002</v>
      </c>
      <c r="S1172" s="473">
        <v>0.05</v>
      </c>
      <c r="T1172" s="473">
        <v>2.5</v>
      </c>
    </row>
    <row r="1173" spans="17:20">
      <c r="Q1173" s="473">
        <v>5.01</v>
      </c>
      <c r="R1173" s="473">
        <v>0.40100000000000002</v>
      </c>
      <c r="S1173" s="473">
        <v>0.06</v>
      </c>
      <c r="T1173" s="473">
        <v>2.5</v>
      </c>
    </row>
    <row r="1174" spans="17:20">
      <c r="Q1174" s="473">
        <v>5.01</v>
      </c>
      <c r="R1174" s="473">
        <v>0.40100000000000002</v>
      </c>
      <c r="S1174" s="473">
        <v>0.08</v>
      </c>
      <c r="T1174" s="473">
        <v>2</v>
      </c>
    </row>
    <row r="1175" spans="17:20">
      <c r="Q1175" s="473">
        <v>5.01</v>
      </c>
      <c r="R1175" s="473">
        <v>0.40100000000000002</v>
      </c>
      <c r="S1175" s="473">
        <v>0.1</v>
      </c>
      <c r="T1175" s="473">
        <v>2</v>
      </c>
    </row>
    <row r="1176" spans="17:20">
      <c r="Q1176" s="473">
        <v>5.01</v>
      </c>
      <c r="R1176" s="473">
        <v>0.40100000000000002</v>
      </c>
      <c r="S1176" s="473">
        <v>0.15</v>
      </c>
      <c r="T1176" s="473">
        <v>2</v>
      </c>
    </row>
    <row r="1177" spans="17:20">
      <c r="Q1177" s="473">
        <v>5.01</v>
      </c>
      <c r="R1177" s="473">
        <v>0.40100000000000002</v>
      </c>
      <c r="S1177" s="473">
        <v>0.2</v>
      </c>
      <c r="T1177" s="473">
        <v>2</v>
      </c>
    </row>
    <row r="1178" spans="17:20">
      <c r="Q1178" s="473">
        <v>5.01</v>
      </c>
      <c r="R1178" s="473">
        <v>0.40100000000000002</v>
      </c>
      <c r="S1178" s="473">
        <v>0.25</v>
      </c>
      <c r="T1178" s="473">
        <v>2</v>
      </c>
    </row>
    <row r="1179" spans="17:20">
      <c r="Q1179" s="473">
        <v>5.01</v>
      </c>
      <c r="R1179" s="473">
        <v>0.40100000000000002</v>
      </c>
      <c r="S1179" s="473">
        <v>1</v>
      </c>
      <c r="T1179" s="473">
        <v>2</v>
      </c>
    </row>
    <row r="1180" spans="17:20">
      <c r="Q1180" s="473">
        <v>5.01</v>
      </c>
      <c r="R1180" s="473">
        <v>0.5</v>
      </c>
      <c r="S1180" s="473">
        <v>0</v>
      </c>
      <c r="T1180" s="473">
        <v>4</v>
      </c>
    </row>
    <row r="1181" spans="17:20">
      <c r="Q1181" s="473">
        <v>5.01</v>
      </c>
      <c r="R1181" s="473">
        <v>0.5</v>
      </c>
      <c r="S1181" s="473">
        <v>0.02</v>
      </c>
      <c r="T1181" s="473">
        <v>4</v>
      </c>
    </row>
    <row r="1182" spans="17:20">
      <c r="Q1182" s="473">
        <v>5.01</v>
      </c>
      <c r="R1182" s="473">
        <v>0.5</v>
      </c>
      <c r="S1182" s="473">
        <v>0.04</v>
      </c>
      <c r="T1182" s="473">
        <v>3</v>
      </c>
    </row>
    <row r="1183" spans="17:20">
      <c r="Q1183" s="473">
        <v>5.01</v>
      </c>
      <c r="R1183" s="473">
        <v>0.5</v>
      </c>
      <c r="S1183" s="473">
        <v>0.05</v>
      </c>
      <c r="T1183" s="473">
        <v>2.5</v>
      </c>
    </row>
    <row r="1184" spans="17:20">
      <c r="Q1184" s="473">
        <v>5.01</v>
      </c>
      <c r="R1184" s="473">
        <v>0.5</v>
      </c>
      <c r="S1184" s="473">
        <v>0.06</v>
      </c>
      <c r="T1184" s="473">
        <v>2.5</v>
      </c>
    </row>
    <row r="1185" spans="17:20">
      <c r="Q1185" s="473">
        <v>5.01</v>
      </c>
      <c r="R1185" s="473">
        <v>0.5</v>
      </c>
      <c r="S1185" s="473">
        <v>0.08</v>
      </c>
      <c r="T1185" s="473">
        <v>2</v>
      </c>
    </row>
    <row r="1186" spans="17:20">
      <c r="Q1186" s="473">
        <v>5.01</v>
      </c>
      <c r="R1186" s="473">
        <v>0.5</v>
      </c>
      <c r="S1186" s="473">
        <v>0.1</v>
      </c>
      <c r="T1186" s="473">
        <v>2</v>
      </c>
    </row>
    <row r="1187" spans="17:20">
      <c r="Q1187" s="473">
        <v>5.01</v>
      </c>
      <c r="R1187" s="473">
        <v>0.5</v>
      </c>
      <c r="S1187" s="473">
        <v>0.15</v>
      </c>
      <c r="T1187" s="473">
        <v>2</v>
      </c>
    </row>
    <row r="1188" spans="17:20">
      <c r="Q1188" s="473">
        <v>5.01</v>
      </c>
      <c r="R1188" s="473">
        <v>0.5</v>
      </c>
      <c r="S1188" s="473">
        <v>0.2</v>
      </c>
      <c r="T1188" s="473">
        <v>2</v>
      </c>
    </row>
    <row r="1189" spans="17:20">
      <c r="Q1189" s="473">
        <v>5.01</v>
      </c>
      <c r="R1189" s="473">
        <v>0.5</v>
      </c>
      <c r="S1189" s="473">
        <v>0.25</v>
      </c>
      <c r="T1189" s="473">
        <v>2</v>
      </c>
    </row>
    <row r="1190" spans="17:20">
      <c r="Q1190" s="473">
        <v>5.01</v>
      </c>
      <c r="R1190" s="473">
        <v>0.5</v>
      </c>
      <c r="S1190" s="473">
        <v>1</v>
      </c>
      <c r="T1190" s="473">
        <v>2</v>
      </c>
    </row>
    <row r="1191" spans="17:20">
      <c r="Q1191" s="473">
        <v>5.01</v>
      </c>
      <c r="R1191" s="473">
        <v>0.501</v>
      </c>
      <c r="S1191" s="473">
        <v>0</v>
      </c>
      <c r="T1191" s="473">
        <v>4.5</v>
      </c>
    </row>
    <row r="1192" spans="17:20">
      <c r="Q1192" s="473">
        <v>5.01</v>
      </c>
      <c r="R1192" s="473">
        <v>0.501</v>
      </c>
      <c r="S1192" s="473">
        <v>0.02</v>
      </c>
      <c r="T1192" s="473">
        <v>4.5</v>
      </c>
    </row>
    <row r="1193" spans="17:20">
      <c r="Q1193" s="473">
        <v>5.01</v>
      </c>
      <c r="R1193" s="473">
        <v>0.501</v>
      </c>
      <c r="S1193" s="473">
        <v>0.04</v>
      </c>
      <c r="T1193" s="473">
        <v>4</v>
      </c>
    </row>
    <row r="1194" spans="17:20">
      <c r="Q1194" s="473">
        <v>5.01</v>
      </c>
      <c r="R1194" s="473">
        <v>0.501</v>
      </c>
      <c r="S1194" s="473">
        <v>0.05</v>
      </c>
      <c r="T1194" s="473">
        <v>3.5</v>
      </c>
    </row>
    <row r="1195" spans="17:20">
      <c r="Q1195" s="473">
        <v>5.01</v>
      </c>
      <c r="R1195" s="473">
        <v>0.501</v>
      </c>
      <c r="S1195" s="473">
        <v>0.06</v>
      </c>
      <c r="T1195" s="473">
        <v>3</v>
      </c>
    </row>
    <row r="1196" spans="17:20">
      <c r="Q1196" s="473">
        <v>5.01</v>
      </c>
      <c r="R1196" s="473">
        <v>0.501</v>
      </c>
      <c r="S1196" s="473">
        <v>0.08</v>
      </c>
      <c r="T1196" s="473">
        <v>2.5</v>
      </c>
    </row>
    <row r="1197" spans="17:20">
      <c r="Q1197" s="473">
        <v>5.01</v>
      </c>
      <c r="R1197" s="473">
        <v>0.501</v>
      </c>
      <c r="S1197" s="473">
        <v>0.1</v>
      </c>
      <c r="T1197" s="473">
        <v>2.5</v>
      </c>
    </row>
    <row r="1198" spans="17:20">
      <c r="Q1198" s="473">
        <v>5.01</v>
      </c>
      <c r="R1198" s="473">
        <v>0.501</v>
      </c>
      <c r="S1198" s="473">
        <v>0.15</v>
      </c>
      <c r="T1198" s="473">
        <v>2.5</v>
      </c>
    </row>
    <row r="1199" spans="17:20">
      <c r="Q1199" s="473">
        <v>5.01</v>
      </c>
      <c r="R1199" s="473">
        <v>0.501</v>
      </c>
      <c r="S1199" s="473">
        <v>0.2</v>
      </c>
      <c r="T1199" s="473">
        <v>2.5</v>
      </c>
    </row>
    <row r="1200" spans="17:20">
      <c r="Q1200" s="473">
        <v>5.01</v>
      </c>
      <c r="R1200" s="473">
        <v>0.501</v>
      </c>
      <c r="S1200" s="473">
        <v>0.25</v>
      </c>
      <c r="T1200" s="473">
        <v>2.5</v>
      </c>
    </row>
    <row r="1201" spans="17:20">
      <c r="Q1201" s="473">
        <v>5.01</v>
      </c>
      <c r="R1201" s="473">
        <v>0.501</v>
      </c>
      <c r="S1201" s="473">
        <v>1</v>
      </c>
      <c r="T1201" s="473">
        <v>2.5</v>
      </c>
    </row>
    <row r="1202" spans="17:20">
      <c r="Q1202" s="473">
        <v>5.01</v>
      </c>
      <c r="R1202" s="473">
        <v>0.8</v>
      </c>
      <c r="S1202" s="473">
        <v>0</v>
      </c>
      <c r="T1202" s="473">
        <v>4.5</v>
      </c>
    </row>
    <row r="1203" spans="17:20">
      <c r="Q1203" s="473">
        <v>5.01</v>
      </c>
      <c r="R1203" s="473">
        <v>0.8</v>
      </c>
      <c r="S1203" s="473">
        <v>0.02</v>
      </c>
      <c r="T1203" s="473">
        <v>4.5</v>
      </c>
    </row>
    <row r="1204" spans="17:20">
      <c r="Q1204" s="473">
        <v>5.01</v>
      </c>
      <c r="R1204" s="473">
        <v>0.8</v>
      </c>
      <c r="S1204" s="473">
        <v>0.04</v>
      </c>
      <c r="T1204" s="473">
        <v>4</v>
      </c>
    </row>
    <row r="1205" spans="17:20">
      <c r="Q1205" s="473">
        <v>5.01</v>
      </c>
      <c r="R1205" s="473">
        <v>0.8</v>
      </c>
      <c r="S1205" s="473">
        <v>0.05</v>
      </c>
      <c r="T1205" s="473">
        <v>3.5</v>
      </c>
    </row>
    <row r="1206" spans="17:20">
      <c r="Q1206" s="473">
        <v>5.01</v>
      </c>
      <c r="R1206" s="473">
        <v>0.8</v>
      </c>
      <c r="S1206" s="473">
        <v>0.06</v>
      </c>
      <c r="T1206" s="473">
        <v>3</v>
      </c>
    </row>
    <row r="1207" spans="17:20">
      <c r="Q1207" s="473">
        <v>5.01</v>
      </c>
      <c r="R1207" s="473">
        <v>0.8</v>
      </c>
      <c r="S1207" s="473">
        <v>0.08</v>
      </c>
      <c r="T1207" s="473">
        <v>2.5</v>
      </c>
    </row>
    <row r="1208" spans="17:20">
      <c r="Q1208" s="473">
        <v>5.01</v>
      </c>
      <c r="R1208" s="473">
        <v>0.8</v>
      </c>
      <c r="S1208" s="473">
        <v>0.1</v>
      </c>
      <c r="T1208" s="473">
        <v>2.5</v>
      </c>
    </row>
    <row r="1209" spans="17:20">
      <c r="Q1209" s="473">
        <v>5.01</v>
      </c>
      <c r="R1209" s="473">
        <v>0.8</v>
      </c>
      <c r="S1209" s="473">
        <v>0.15</v>
      </c>
      <c r="T1209" s="473">
        <v>2.5</v>
      </c>
    </row>
    <row r="1210" spans="17:20">
      <c r="Q1210" s="473">
        <v>5.01</v>
      </c>
      <c r="R1210" s="473">
        <v>0.8</v>
      </c>
      <c r="S1210" s="473">
        <v>0.2</v>
      </c>
      <c r="T1210" s="473">
        <v>2.5</v>
      </c>
    </row>
    <row r="1211" spans="17:20">
      <c r="Q1211" s="473">
        <v>5.01</v>
      </c>
      <c r="R1211" s="473">
        <v>0.8</v>
      </c>
      <c r="S1211" s="473">
        <v>0.25</v>
      </c>
      <c r="T1211" s="473">
        <v>2.5</v>
      </c>
    </row>
    <row r="1212" spans="17:20">
      <c r="Q1212" s="473">
        <v>5.01</v>
      </c>
      <c r="R1212" s="473">
        <v>0.8</v>
      </c>
      <c r="S1212" s="473">
        <v>1</v>
      </c>
      <c r="T1212" s="473">
        <v>2.5</v>
      </c>
    </row>
    <row r="1213" spans="17:20">
      <c r="Q1213" s="473">
        <v>5.01</v>
      </c>
      <c r="R1213" s="473">
        <v>0.80100000000000005</v>
      </c>
      <c r="S1213" s="473">
        <v>0</v>
      </c>
      <c r="T1213" s="473">
        <v>5</v>
      </c>
    </row>
    <row r="1214" spans="17:20">
      <c r="Q1214" s="473">
        <v>5.01</v>
      </c>
      <c r="R1214" s="473">
        <v>0.80100000000000005</v>
      </c>
      <c r="S1214" s="473">
        <v>0.02</v>
      </c>
      <c r="T1214" s="473">
        <v>5</v>
      </c>
    </row>
    <row r="1215" spans="17:20">
      <c r="Q1215" s="473">
        <v>5.01</v>
      </c>
      <c r="R1215" s="473">
        <v>0.80100000000000005</v>
      </c>
      <c r="S1215" s="473">
        <v>0.04</v>
      </c>
      <c r="T1215" s="473">
        <v>4.5</v>
      </c>
    </row>
    <row r="1216" spans="17:20">
      <c r="Q1216" s="473">
        <v>5.01</v>
      </c>
      <c r="R1216" s="473">
        <v>0.80100000000000005</v>
      </c>
      <c r="S1216" s="473">
        <v>0.05</v>
      </c>
      <c r="T1216" s="473">
        <v>4</v>
      </c>
    </row>
    <row r="1217" spans="17:20">
      <c r="Q1217" s="473">
        <v>5.01</v>
      </c>
      <c r="R1217" s="473">
        <v>0.80100000000000005</v>
      </c>
      <c r="S1217" s="473">
        <v>0.06</v>
      </c>
      <c r="T1217" s="473">
        <v>3.5</v>
      </c>
    </row>
    <row r="1218" spans="17:20">
      <c r="Q1218" s="473">
        <v>5.01</v>
      </c>
      <c r="R1218" s="473">
        <v>0.80100000000000005</v>
      </c>
      <c r="S1218" s="473">
        <v>0.08</v>
      </c>
      <c r="T1218" s="473">
        <v>3</v>
      </c>
    </row>
    <row r="1219" spans="17:20">
      <c r="Q1219" s="473">
        <v>5.01</v>
      </c>
      <c r="R1219" s="473">
        <v>0.80100000000000005</v>
      </c>
      <c r="S1219" s="473">
        <v>0.1</v>
      </c>
      <c r="T1219" s="473">
        <v>3</v>
      </c>
    </row>
    <row r="1220" spans="17:20">
      <c r="Q1220" s="473">
        <v>5.01</v>
      </c>
      <c r="R1220" s="473">
        <v>0.80100000000000005</v>
      </c>
      <c r="S1220" s="473">
        <v>0.15</v>
      </c>
      <c r="T1220" s="473">
        <v>3</v>
      </c>
    </row>
    <row r="1221" spans="17:20">
      <c r="Q1221" s="473">
        <v>5.01</v>
      </c>
      <c r="R1221" s="473">
        <v>0.80100000000000005</v>
      </c>
      <c r="S1221" s="473">
        <v>0.2</v>
      </c>
      <c r="T1221" s="473">
        <v>3</v>
      </c>
    </row>
    <row r="1222" spans="17:20">
      <c r="Q1222" s="473">
        <v>5.01</v>
      </c>
      <c r="R1222" s="473">
        <v>0.80100000000000005</v>
      </c>
      <c r="S1222" s="473">
        <v>0.25</v>
      </c>
      <c r="T1222" s="473">
        <v>3</v>
      </c>
    </row>
    <row r="1223" spans="17:20">
      <c r="Q1223" s="473">
        <v>5.01</v>
      </c>
      <c r="R1223" s="473">
        <v>0.80100000000000005</v>
      </c>
      <c r="S1223" s="473">
        <v>1</v>
      </c>
      <c r="T1223" s="473">
        <v>3</v>
      </c>
    </row>
    <row r="1224" spans="17:20">
      <c r="Q1224" s="473">
        <v>5.01</v>
      </c>
      <c r="R1224" s="473">
        <v>1.2</v>
      </c>
      <c r="S1224" s="473">
        <v>0</v>
      </c>
      <c r="T1224" s="473">
        <v>5</v>
      </c>
    </row>
    <row r="1225" spans="17:20">
      <c r="Q1225" s="473">
        <v>5.01</v>
      </c>
      <c r="R1225" s="473">
        <v>1.2</v>
      </c>
      <c r="S1225" s="473">
        <v>0.02</v>
      </c>
      <c r="T1225" s="473">
        <v>5</v>
      </c>
    </row>
    <row r="1226" spans="17:20">
      <c r="Q1226" s="473">
        <v>5.01</v>
      </c>
      <c r="R1226" s="473">
        <v>1.2</v>
      </c>
      <c r="S1226" s="473">
        <v>0.04</v>
      </c>
      <c r="T1226" s="473">
        <v>4.5</v>
      </c>
    </row>
    <row r="1227" spans="17:20">
      <c r="Q1227" s="473">
        <v>5.01</v>
      </c>
      <c r="R1227" s="473">
        <v>1.2</v>
      </c>
      <c r="S1227" s="473">
        <v>0.05</v>
      </c>
      <c r="T1227" s="473">
        <v>4</v>
      </c>
    </row>
    <row r="1228" spans="17:20">
      <c r="Q1228" s="473">
        <v>5.01</v>
      </c>
      <c r="R1228" s="473">
        <v>1.2</v>
      </c>
      <c r="S1228" s="473">
        <v>0.06</v>
      </c>
      <c r="T1228" s="473">
        <v>3.5</v>
      </c>
    </row>
    <row r="1229" spans="17:20">
      <c r="Q1229" s="473">
        <v>5.01</v>
      </c>
      <c r="R1229" s="473">
        <v>1.2</v>
      </c>
      <c r="S1229" s="473">
        <v>0.08</v>
      </c>
      <c r="T1229" s="473">
        <v>3</v>
      </c>
    </row>
    <row r="1230" spans="17:20">
      <c r="Q1230" s="473">
        <v>5.01</v>
      </c>
      <c r="R1230" s="473">
        <v>1.2</v>
      </c>
      <c r="S1230" s="473">
        <v>0.1</v>
      </c>
      <c r="T1230" s="473">
        <v>3</v>
      </c>
    </row>
    <row r="1231" spans="17:20">
      <c r="Q1231" s="473">
        <v>5.01</v>
      </c>
      <c r="R1231" s="473">
        <v>1.2</v>
      </c>
      <c r="S1231" s="473">
        <v>0.15</v>
      </c>
      <c r="T1231" s="473">
        <v>3</v>
      </c>
    </row>
    <row r="1232" spans="17:20">
      <c r="Q1232" s="473">
        <v>5.01</v>
      </c>
      <c r="R1232" s="473">
        <v>1.2</v>
      </c>
      <c r="S1232" s="473">
        <v>0.2</v>
      </c>
      <c r="T1232" s="473">
        <v>3</v>
      </c>
    </row>
    <row r="1233" spans="17:20">
      <c r="Q1233" s="473">
        <v>5.01</v>
      </c>
      <c r="R1233" s="473">
        <v>1.2</v>
      </c>
      <c r="S1233" s="473">
        <v>0.25</v>
      </c>
      <c r="T1233" s="473">
        <v>3</v>
      </c>
    </row>
    <row r="1234" spans="17:20">
      <c r="Q1234" s="473">
        <v>5.01</v>
      </c>
      <c r="R1234" s="473">
        <v>1.2</v>
      </c>
      <c r="S1234" s="473">
        <v>1</v>
      </c>
      <c r="T1234" s="473">
        <v>3</v>
      </c>
    </row>
    <row r="1235" spans="17:20">
      <c r="Q1235" s="473">
        <v>5.01</v>
      </c>
      <c r="R1235" s="473">
        <v>1.2010000000000001</v>
      </c>
      <c r="S1235" s="473">
        <v>0</v>
      </c>
      <c r="T1235" s="473">
        <v>5.5</v>
      </c>
    </row>
    <row r="1236" spans="17:20">
      <c r="Q1236" s="473">
        <v>5.01</v>
      </c>
      <c r="R1236" s="473">
        <v>1.2010000000000001</v>
      </c>
      <c r="S1236" s="473">
        <v>0.02</v>
      </c>
      <c r="T1236" s="473">
        <v>5.5</v>
      </c>
    </row>
    <row r="1237" spans="17:20">
      <c r="Q1237" s="473">
        <v>5.01</v>
      </c>
      <c r="R1237" s="473">
        <v>1.2010000000000001</v>
      </c>
      <c r="S1237" s="473">
        <v>0.04</v>
      </c>
      <c r="T1237" s="473">
        <v>5</v>
      </c>
    </row>
    <row r="1238" spans="17:20">
      <c r="Q1238" s="473">
        <v>5.01</v>
      </c>
      <c r="R1238" s="473">
        <v>1.2010000000000001</v>
      </c>
      <c r="S1238" s="473">
        <v>0.05</v>
      </c>
      <c r="T1238" s="473">
        <v>4.5</v>
      </c>
    </row>
    <row r="1239" spans="17:20">
      <c r="Q1239" s="473">
        <v>5.01</v>
      </c>
      <c r="R1239" s="473">
        <v>1.2010000000000001</v>
      </c>
      <c r="S1239" s="473">
        <v>0.06</v>
      </c>
      <c r="T1239" s="473">
        <v>4</v>
      </c>
    </row>
    <row r="1240" spans="17:20">
      <c r="Q1240" s="473">
        <v>5.01</v>
      </c>
      <c r="R1240" s="473">
        <v>1.2010000000000001</v>
      </c>
      <c r="S1240" s="473">
        <v>0.08</v>
      </c>
      <c r="T1240" s="473">
        <v>3</v>
      </c>
    </row>
    <row r="1241" spans="17:20">
      <c r="Q1241" s="473">
        <v>5.01</v>
      </c>
      <c r="R1241" s="473">
        <v>1.2010000000000001</v>
      </c>
      <c r="S1241" s="473">
        <v>0.1</v>
      </c>
      <c r="T1241" s="473">
        <v>3</v>
      </c>
    </row>
    <row r="1242" spans="17:20">
      <c r="Q1242" s="473">
        <v>5.01</v>
      </c>
      <c r="R1242" s="473">
        <v>1.2010000000000001</v>
      </c>
      <c r="S1242" s="473">
        <v>0.15</v>
      </c>
      <c r="T1242" s="473">
        <v>3</v>
      </c>
    </row>
    <row r="1243" spans="17:20">
      <c r="Q1243" s="473">
        <v>5.01</v>
      </c>
      <c r="R1243" s="473">
        <v>1.2010000000000001</v>
      </c>
      <c r="S1243" s="473">
        <v>0.2</v>
      </c>
      <c r="T1243" s="473">
        <v>3</v>
      </c>
    </row>
    <row r="1244" spans="17:20">
      <c r="Q1244" s="473">
        <v>5.01</v>
      </c>
      <c r="R1244" s="473">
        <v>1.2010000000000001</v>
      </c>
      <c r="S1244" s="473">
        <v>0.25</v>
      </c>
      <c r="T1244" s="473">
        <v>3</v>
      </c>
    </row>
    <row r="1245" spans="17:20">
      <c r="Q1245" s="473">
        <v>5.01</v>
      </c>
      <c r="R1245" s="473">
        <v>1.2010000000000001</v>
      </c>
      <c r="S1245" s="473">
        <v>1</v>
      </c>
      <c r="T1245" s="473">
        <v>3</v>
      </c>
    </row>
    <row r="1246" spans="17:20">
      <c r="Q1246" s="473">
        <v>5.01</v>
      </c>
      <c r="R1246" s="473">
        <v>1.6</v>
      </c>
      <c r="S1246" s="473">
        <v>0</v>
      </c>
      <c r="T1246" s="473">
        <v>5.5</v>
      </c>
    </row>
    <row r="1247" spans="17:20">
      <c r="Q1247" s="473">
        <v>5.01</v>
      </c>
      <c r="R1247" s="473">
        <v>1.6</v>
      </c>
      <c r="S1247" s="473">
        <v>0.02</v>
      </c>
      <c r="T1247" s="473">
        <v>5.5</v>
      </c>
    </row>
    <row r="1248" spans="17:20">
      <c r="Q1248" s="473">
        <v>5.01</v>
      </c>
      <c r="R1248" s="473">
        <v>1.6</v>
      </c>
      <c r="S1248" s="473">
        <v>0.04</v>
      </c>
      <c r="T1248" s="473">
        <v>5</v>
      </c>
    </row>
    <row r="1249" spans="17:20">
      <c r="Q1249" s="473">
        <v>5.01</v>
      </c>
      <c r="R1249" s="473">
        <v>1.6</v>
      </c>
      <c r="S1249" s="473">
        <v>0.05</v>
      </c>
      <c r="T1249" s="473">
        <v>4.5</v>
      </c>
    </row>
    <row r="1250" spans="17:20">
      <c r="Q1250" s="473">
        <v>5.01</v>
      </c>
      <c r="R1250" s="473">
        <v>1.6</v>
      </c>
      <c r="S1250" s="473">
        <v>0.06</v>
      </c>
      <c r="T1250" s="473">
        <v>4</v>
      </c>
    </row>
    <row r="1251" spans="17:20">
      <c r="Q1251" s="473">
        <v>5.01</v>
      </c>
      <c r="R1251" s="473">
        <v>1.6</v>
      </c>
      <c r="S1251" s="473">
        <v>0.08</v>
      </c>
      <c r="T1251" s="473">
        <v>3</v>
      </c>
    </row>
    <row r="1252" spans="17:20">
      <c r="Q1252" s="473">
        <v>5.01</v>
      </c>
      <c r="R1252" s="473">
        <v>1.6</v>
      </c>
      <c r="S1252" s="473">
        <v>0.1</v>
      </c>
      <c r="T1252" s="473">
        <v>3</v>
      </c>
    </row>
    <row r="1253" spans="17:20">
      <c r="Q1253" s="473">
        <v>5.01</v>
      </c>
      <c r="R1253" s="473">
        <v>1.6</v>
      </c>
      <c r="S1253" s="473">
        <v>0.15</v>
      </c>
      <c r="T1253" s="473">
        <v>3</v>
      </c>
    </row>
    <row r="1254" spans="17:20">
      <c r="Q1254" s="473">
        <v>5.01</v>
      </c>
      <c r="R1254" s="473">
        <v>1.6</v>
      </c>
      <c r="S1254" s="473">
        <v>0.2</v>
      </c>
      <c r="T1254" s="473">
        <v>3</v>
      </c>
    </row>
    <row r="1255" spans="17:20">
      <c r="Q1255" s="473">
        <v>5.01</v>
      </c>
      <c r="R1255" s="473">
        <v>1.6</v>
      </c>
      <c r="S1255" s="473">
        <v>0.25</v>
      </c>
      <c r="T1255" s="473">
        <v>3</v>
      </c>
    </row>
    <row r="1256" spans="17:20">
      <c r="Q1256" s="473">
        <v>5.01</v>
      </c>
      <c r="R1256" s="473">
        <v>1.6</v>
      </c>
      <c r="S1256" s="473">
        <v>1</v>
      </c>
      <c r="T1256" s="473">
        <v>3</v>
      </c>
    </row>
    <row r="1257" spans="17:20">
      <c r="Q1257" s="473">
        <v>5.01</v>
      </c>
      <c r="R1257" s="473">
        <v>1.601</v>
      </c>
      <c r="S1257" s="473">
        <v>0</v>
      </c>
      <c r="T1257" s="473">
        <v>6</v>
      </c>
    </row>
    <row r="1258" spans="17:20">
      <c r="Q1258" s="473">
        <v>5.01</v>
      </c>
      <c r="R1258" s="473">
        <v>1.601</v>
      </c>
      <c r="S1258" s="473">
        <v>0.02</v>
      </c>
      <c r="T1258" s="473">
        <v>6</v>
      </c>
    </row>
    <row r="1259" spans="17:20">
      <c r="Q1259" s="473">
        <v>5.01</v>
      </c>
      <c r="R1259" s="473">
        <v>1.601</v>
      </c>
      <c r="S1259" s="473">
        <v>0.04</v>
      </c>
      <c r="T1259" s="473">
        <v>5</v>
      </c>
    </row>
    <row r="1260" spans="17:20">
      <c r="Q1260" s="473">
        <v>5.01</v>
      </c>
      <c r="R1260" s="473">
        <v>1.601</v>
      </c>
      <c r="S1260" s="473">
        <v>0.05</v>
      </c>
      <c r="T1260" s="473">
        <v>5</v>
      </c>
    </row>
    <row r="1261" spans="17:20">
      <c r="Q1261" s="473">
        <v>5.01</v>
      </c>
      <c r="R1261" s="473">
        <v>1.601</v>
      </c>
      <c r="S1261" s="473">
        <v>0.06</v>
      </c>
      <c r="T1261" s="473">
        <v>4.5</v>
      </c>
    </row>
    <row r="1262" spans="17:20">
      <c r="Q1262" s="473">
        <v>5.01</v>
      </c>
      <c r="R1262" s="473">
        <v>1.601</v>
      </c>
      <c r="S1262" s="473">
        <v>0.08</v>
      </c>
      <c r="T1262" s="473">
        <v>3.5</v>
      </c>
    </row>
    <row r="1263" spans="17:20">
      <c r="Q1263" s="473">
        <v>5.01</v>
      </c>
      <c r="R1263" s="473">
        <v>1.601</v>
      </c>
      <c r="S1263" s="473">
        <v>0.1</v>
      </c>
      <c r="T1263" s="473">
        <v>3.5</v>
      </c>
    </row>
    <row r="1264" spans="17:20">
      <c r="Q1264" s="473">
        <v>5.01</v>
      </c>
      <c r="R1264" s="473">
        <v>1.601</v>
      </c>
      <c r="S1264" s="473">
        <v>0.15</v>
      </c>
      <c r="T1264" s="473">
        <v>3.5</v>
      </c>
    </row>
    <row r="1265" spans="17:20">
      <c r="Q1265" s="473">
        <v>5.01</v>
      </c>
      <c r="R1265" s="473">
        <v>1.601</v>
      </c>
      <c r="S1265" s="473">
        <v>0.2</v>
      </c>
      <c r="T1265" s="473">
        <v>3.5</v>
      </c>
    </row>
    <row r="1266" spans="17:20">
      <c r="Q1266" s="473">
        <v>5.01</v>
      </c>
      <c r="R1266" s="473">
        <v>1.601</v>
      </c>
      <c r="S1266" s="473">
        <v>0.25</v>
      </c>
      <c r="T1266" s="473">
        <v>3.5</v>
      </c>
    </row>
    <row r="1267" spans="17:20">
      <c r="Q1267" s="473">
        <v>5.01</v>
      </c>
      <c r="R1267" s="473">
        <v>1.601</v>
      </c>
      <c r="S1267" s="473">
        <v>1</v>
      </c>
      <c r="T1267" s="473">
        <v>3.5</v>
      </c>
    </row>
    <row r="1268" spans="17:20">
      <c r="Q1268" s="473">
        <v>5.01</v>
      </c>
      <c r="R1268" s="473">
        <v>2.4</v>
      </c>
      <c r="S1268" s="473">
        <v>0</v>
      </c>
      <c r="T1268" s="473">
        <v>6</v>
      </c>
    </row>
    <row r="1269" spans="17:20">
      <c r="Q1269" s="473">
        <v>5.01</v>
      </c>
      <c r="R1269" s="473">
        <v>2.4</v>
      </c>
      <c r="S1269" s="473">
        <v>0.02</v>
      </c>
      <c r="T1269" s="473">
        <v>6</v>
      </c>
    </row>
    <row r="1270" spans="17:20">
      <c r="Q1270" s="473">
        <v>5.01</v>
      </c>
      <c r="R1270" s="473">
        <v>2.4</v>
      </c>
      <c r="S1270" s="473">
        <v>0.04</v>
      </c>
      <c r="T1270" s="473">
        <v>5</v>
      </c>
    </row>
    <row r="1271" spans="17:20">
      <c r="Q1271" s="473">
        <v>5.01</v>
      </c>
      <c r="R1271" s="473">
        <v>2.4</v>
      </c>
      <c r="S1271" s="473">
        <v>0.05</v>
      </c>
      <c r="T1271" s="473">
        <v>5</v>
      </c>
    </row>
    <row r="1272" spans="17:20">
      <c r="Q1272" s="473">
        <v>5.01</v>
      </c>
      <c r="R1272" s="473">
        <v>2.4</v>
      </c>
      <c r="S1272" s="473">
        <v>0.06</v>
      </c>
      <c r="T1272" s="473">
        <v>4.5</v>
      </c>
    </row>
    <row r="1273" spans="17:20">
      <c r="Q1273" s="473">
        <v>5.01</v>
      </c>
      <c r="R1273" s="473">
        <v>2.4</v>
      </c>
      <c r="S1273" s="473">
        <v>0.08</v>
      </c>
      <c r="T1273" s="473">
        <v>3.5</v>
      </c>
    </row>
    <row r="1274" spans="17:20">
      <c r="Q1274" s="473">
        <v>5.01</v>
      </c>
      <c r="R1274" s="473">
        <v>2.4</v>
      </c>
      <c r="S1274" s="473">
        <v>0.1</v>
      </c>
      <c r="T1274" s="473">
        <v>3.5</v>
      </c>
    </row>
    <row r="1275" spans="17:20">
      <c r="Q1275" s="473">
        <v>5.01</v>
      </c>
      <c r="R1275" s="473">
        <v>2.4</v>
      </c>
      <c r="S1275" s="473">
        <v>0.15</v>
      </c>
      <c r="T1275" s="473">
        <v>3.5</v>
      </c>
    </row>
    <row r="1276" spans="17:20">
      <c r="Q1276" s="473">
        <v>5.01</v>
      </c>
      <c r="R1276" s="473">
        <v>2.4</v>
      </c>
      <c r="S1276" s="473">
        <v>0.2</v>
      </c>
      <c r="T1276" s="473">
        <v>3.5</v>
      </c>
    </row>
    <row r="1277" spans="17:20">
      <c r="Q1277" s="473">
        <v>5.01</v>
      </c>
      <c r="R1277" s="473">
        <v>2.4</v>
      </c>
      <c r="S1277" s="473">
        <v>0.25</v>
      </c>
      <c r="T1277" s="473">
        <v>3.5</v>
      </c>
    </row>
    <row r="1278" spans="17:20">
      <c r="Q1278" s="473">
        <v>5.01</v>
      </c>
      <c r="R1278" s="473">
        <v>2.4</v>
      </c>
      <c r="S1278" s="473">
        <v>1</v>
      </c>
      <c r="T1278" s="473">
        <v>3.5</v>
      </c>
    </row>
    <row r="1279" spans="17:20">
      <c r="Q1279" s="473">
        <v>5.01</v>
      </c>
      <c r="R1279" s="473">
        <v>100</v>
      </c>
      <c r="S1279" s="473">
        <v>0</v>
      </c>
      <c r="T1279" s="473">
        <v>6</v>
      </c>
    </row>
    <row r="1280" spans="17:20">
      <c r="Q1280" s="473">
        <v>5.01</v>
      </c>
      <c r="R1280" s="473">
        <v>100</v>
      </c>
      <c r="S1280" s="473">
        <v>0.02</v>
      </c>
      <c r="T1280" s="473">
        <v>6</v>
      </c>
    </row>
    <row r="1281" spans="17:20">
      <c r="Q1281" s="473">
        <v>5.01</v>
      </c>
      <c r="R1281" s="473">
        <v>100</v>
      </c>
      <c r="S1281" s="473">
        <v>0.04</v>
      </c>
      <c r="T1281" s="473">
        <v>5</v>
      </c>
    </row>
    <row r="1282" spans="17:20">
      <c r="Q1282" s="473">
        <v>5.01</v>
      </c>
      <c r="R1282" s="473">
        <v>100</v>
      </c>
      <c r="S1282" s="473">
        <v>0.05</v>
      </c>
      <c r="T1282" s="473">
        <v>5</v>
      </c>
    </row>
    <row r="1283" spans="17:20">
      <c r="Q1283" s="473">
        <v>5.01</v>
      </c>
      <c r="R1283" s="473">
        <v>100</v>
      </c>
      <c r="S1283" s="473">
        <v>0.06</v>
      </c>
      <c r="T1283" s="473">
        <v>4.5</v>
      </c>
    </row>
    <row r="1284" spans="17:20">
      <c r="Q1284" s="473">
        <v>5.01</v>
      </c>
      <c r="R1284" s="473">
        <v>100</v>
      </c>
      <c r="S1284" s="473">
        <v>0.08</v>
      </c>
      <c r="T1284" s="473">
        <v>3.5</v>
      </c>
    </row>
    <row r="1285" spans="17:20">
      <c r="Q1285" s="473">
        <v>5.01</v>
      </c>
      <c r="R1285" s="473">
        <v>100</v>
      </c>
      <c r="S1285" s="473">
        <v>0.1</v>
      </c>
      <c r="T1285" s="473">
        <v>3.5</v>
      </c>
    </row>
    <row r="1286" spans="17:20">
      <c r="Q1286" s="473">
        <v>5.01</v>
      </c>
      <c r="R1286" s="473">
        <v>100</v>
      </c>
      <c r="S1286" s="473">
        <v>0.15</v>
      </c>
      <c r="T1286" s="473">
        <v>3.5</v>
      </c>
    </row>
    <row r="1287" spans="17:20">
      <c r="Q1287" s="473">
        <v>5.01</v>
      </c>
      <c r="R1287" s="473">
        <v>100</v>
      </c>
      <c r="S1287" s="473">
        <v>0.2</v>
      </c>
      <c r="T1287" s="473">
        <v>3.5</v>
      </c>
    </row>
    <row r="1288" spans="17:20">
      <c r="Q1288" s="473">
        <v>5.01</v>
      </c>
      <c r="R1288" s="473">
        <v>100</v>
      </c>
      <c r="S1288" s="473">
        <v>0.25</v>
      </c>
      <c r="T1288" s="473">
        <v>3.5</v>
      </c>
    </row>
    <row r="1289" spans="17:20">
      <c r="Q1289" s="473">
        <v>5.01</v>
      </c>
      <c r="R1289" s="473">
        <v>100</v>
      </c>
      <c r="S1289" s="473">
        <v>1</v>
      </c>
      <c r="T1289" s="473">
        <v>3.5</v>
      </c>
    </row>
    <row r="1290" spans="17:20">
      <c r="Q1290" s="473">
        <v>6</v>
      </c>
      <c r="R1290" s="473">
        <v>0</v>
      </c>
      <c r="S1290" s="473">
        <v>0</v>
      </c>
      <c r="T1290" s="473">
        <v>2</v>
      </c>
    </row>
    <row r="1291" spans="17:20">
      <c r="Q1291" s="473">
        <v>6</v>
      </c>
      <c r="R1291" s="473">
        <v>0</v>
      </c>
      <c r="S1291" s="473">
        <v>0.02</v>
      </c>
      <c r="T1291" s="473">
        <v>2</v>
      </c>
    </row>
    <row r="1292" spans="17:20">
      <c r="Q1292" s="473">
        <v>6</v>
      </c>
      <c r="R1292" s="473">
        <v>0</v>
      </c>
      <c r="S1292" s="473">
        <v>0.04</v>
      </c>
      <c r="T1292" s="473">
        <v>2</v>
      </c>
    </row>
    <row r="1293" spans="17:20">
      <c r="Q1293" s="473">
        <v>6</v>
      </c>
      <c r="R1293" s="473">
        <v>0</v>
      </c>
      <c r="S1293" s="473">
        <v>0.05</v>
      </c>
      <c r="T1293" s="473">
        <v>1.5</v>
      </c>
    </row>
    <row r="1294" spans="17:20">
      <c r="Q1294" s="473">
        <v>6</v>
      </c>
      <c r="R1294" s="473">
        <v>0</v>
      </c>
      <c r="S1294" s="473">
        <v>0.06</v>
      </c>
      <c r="T1294" s="473">
        <v>1.5</v>
      </c>
    </row>
    <row r="1295" spans="17:20">
      <c r="Q1295" s="473">
        <v>6</v>
      </c>
      <c r="R1295" s="473">
        <v>0</v>
      </c>
      <c r="S1295" s="473">
        <v>0.08</v>
      </c>
      <c r="T1295" s="473">
        <v>1.5</v>
      </c>
    </row>
    <row r="1296" spans="17:20">
      <c r="Q1296" s="473">
        <v>6</v>
      </c>
      <c r="R1296" s="473">
        <v>0</v>
      </c>
      <c r="S1296" s="473">
        <v>0.1</v>
      </c>
      <c r="T1296" s="473">
        <v>1.5</v>
      </c>
    </row>
    <row r="1297" spans="17:20">
      <c r="Q1297" s="473">
        <v>6</v>
      </c>
      <c r="R1297" s="473">
        <v>0</v>
      </c>
      <c r="S1297" s="473">
        <v>0.15</v>
      </c>
      <c r="T1297" s="473">
        <v>1.5</v>
      </c>
    </row>
    <row r="1298" spans="17:20">
      <c r="Q1298" s="473">
        <v>6</v>
      </c>
      <c r="R1298" s="473">
        <v>0</v>
      </c>
      <c r="S1298" s="473">
        <v>0.2</v>
      </c>
      <c r="T1298" s="473">
        <v>1.5</v>
      </c>
    </row>
    <row r="1299" spans="17:20">
      <c r="Q1299" s="473">
        <v>6</v>
      </c>
      <c r="R1299" s="473">
        <v>0</v>
      </c>
      <c r="S1299" s="473">
        <v>0.25</v>
      </c>
      <c r="T1299" s="473">
        <v>1.5</v>
      </c>
    </row>
    <row r="1300" spans="17:20">
      <c r="Q1300" s="473">
        <v>6</v>
      </c>
      <c r="R1300" s="473">
        <v>0</v>
      </c>
      <c r="S1300" s="473">
        <v>1</v>
      </c>
      <c r="T1300" s="473">
        <v>1.5</v>
      </c>
    </row>
    <row r="1301" spans="17:20">
      <c r="Q1301" s="473">
        <v>6</v>
      </c>
      <c r="R1301" s="473">
        <v>0.4</v>
      </c>
      <c r="S1301" s="473">
        <v>0</v>
      </c>
      <c r="T1301" s="473">
        <v>2</v>
      </c>
    </row>
    <row r="1302" spans="17:20">
      <c r="Q1302" s="473">
        <v>6</v>
      </c>
      <c r="R1302" s="473">
        <v>0.4</v>
      </c>
      <c r="S1302" s="473">
        <v>0.02</v>
      </c>
      <c r="T1302" s="473">
        <v>2</v>
      </c>
    </row>
    <row r="1303" spans="17:20">
      <c r="Q1303" s="473">
        <v>6</v>
      </c>
      <c r="R1303" s="473">
        <v>0.4</v>
      </c>
      <c r="S1303" s="473">
        <v>0.04</v>
      </c>
      <c r="T1303" s="473">
        <v>2</v>
      </c>
    </row>
    <row r="1304" spans="17:20">
      <c r="Q1304" s="473">
        <v>6</v>
      </c>
      <c r="R1304" s="473">
        <v>0.4</v>
      </c>
      <c r="S1304" s="473">
        <v>0.05</v>
      </c>
      <c r="T1304" s="473">
        <v>1.5</v>
      </c>
    </row>
    <row r="1305" spans="17:20">
      <c r="Q1305" s="473">
        <v>6</v>
      </c>
      <c r="R1305" s="473">
        <v>0.4</v>
      </c>
      <c r="S1305" s="473">
        <v>0.06</v>
      </c>
      <c r="T1305" s="473">
        <v>1.5</v>
      </c>
    </row>
    <row r="1306" spans="17:20">
      <c r="Q1306" s="473">
        <v>6</v>
      </c>
      <c r="R1306" s="473">
        <v>0.4</v>
      </c>
      <c r="S1306" s="473">
        <v>0.08</v>
      </c>
      <c r="T1306" s="473">
        <v>1.5</v>
      </c>
    </row>
    <row r="1307" spans="17:20">
      <c r="Q1307" s="473">
        <v>6</v>
      </c>
      <c r="R1307" s="473">
        <v>0.4</v>
      </c>
      <c r="S1307" s="473">
        <v>0.1</v>
      </c>
      <c r="T1307" s="473">
        <v>1.5</v>
      </c>
    </row>
    <row r="1308" spans="17:20">
      <c r="Q1308" s="473">
        <v>6</v>
      </c>
      <c r="R1308" s="473">
        <v>0.4</v>
      </c>
      <c r="S1308" s="473">
        <v>0.15</v>
      </c>
      <c r="T1308" s="473">
        <v>1.5</v>
      </c>
    </row>
    <row r="1309" spans="17:20">
      <c r="Q1309" s="473">
        <v>6</v>
      </c>
      <c r="R1309" s="473">
        <v>0.4</v>
      </c>
      <c r="S1309" s="473">
        <v>0.2</v>
      </c>
      <c r="T1309" s="473">
        <v>1.5</v>
      </c>
    </row>
    <row r="1310" spans="17:20">
      <c r="Q1310" s="473">
        <v>6</v>
      </c>
      <c r="R1310" s="473">
        <v>0.4</v>
      </c>
      <c r="S1310" s="473">
        <v>0.25</v>
      </c>
      <c r="T1310" s="473">
        <v>1.5</v>
      </c>
    </row>
    <row r="1311" spans="17:20">
      <c r="Q1311" s="473">
        <v>6</v>
      </c>
      <c r="R1311" s="473">
        <v>0.4</v>
      </c>
      <c r="S1311" s="473">
        <v>1</v>
      </c>
      <c r="T1311" s="473">
        <v>1.5</v>
      </c>
    </row>
    <row r="1312" spans="17:20">
      <c r="Q1312" s="473">
        <v>6</v>
      </c>
      <c r="R1312" s="473">
        <v>0.40100000000000002</v>
      </c>
      <c r="S1312" s="473">
        <v>0</v>
      </c>
      <c r="T1312" s="473">
        <v>4</v>
      </c>
    </row>
    <row r="1313" spans="17:20">
      <c r="Q1313" s="473">
        <v>6</v>
      </c>
      <c r="R1313" s="473">
        <v>0.40100000000000002</v>
      </c>
      <c r="S1313" s="473">
        <v>0.02</v>
      </c>
      <c r="T1313" s="473">
        <v>4</v>
      </c>
    </row>
    <row r="1314" spans="17:20">
      <c r="Q1314" s="473">
        <v>6</v>
      </c>
      <c r="R1314" s="473">
        <v>0.40100000000000002</v>
      </c>
      <c r="S1314" s="473">
        <v>0.04</v>
      </c>
      <c r="T1314" s="473">
        <v>3</v>
      </c>
    </row>
    <row r="1315" spans="17:20">
      <c r="Q1315" s="473">
        <v>6</v>
      </c>
      <c r="R1315" s="473">
        <v>0.40100000000000002</v>
      </c>
      <c r="S1315" s="473">
        <v>0.05</v>
      </c>
      <c r="T1315" s="473">
        <v>2.5</v>
      </c>
    </row>
    <row r="1316" spans="17:20">
      <c r="Q1316" s="473">
        <v>6</v>
      </c>
      <c r="R1316" s="473">
        <v>0.40100000000000002</v>
      </c>
      <c r="S1316" s="473">
        <v>0.06</v>
      </c>
      <c r="T1316" s="473">
        <v>2.5</v>
      </c>
    </row>
    <row r="1317" spans="17:20">
      <c r="Q1317" s="473">
        <v>6</v>
      </c>
      <c r="R1317" s="473">
        <v>0.40100000000000002</v>
      </c>
      <c r="S1317" s="473">
        <v>0.08</v>
      </c>
      <c r="T1317" s="473">
        <v>2</v>
      </c>
    </row>
    <row r="1318" spans="17:20">
      <c r="Q1318" s="473">
        <v>6</v>
      </c>
      <c r="R1318" s="473">
        <v>0.40100000000000002</v>
      </c>
      <c r="S1318" s="473">
        <v>0.1</v>
      </c>
      <c r="T1318" s="473">
        <v>2</v>
      </c>
    </row>
    <row r="1319" spans="17:20">
      <c r="Q1319" s="473">
        <v>6</v>
      </c>
      <c r="R1319" s="473">
        <v>0.40100000000000002</v>
      </c>
      <c r="S1319" s="473">
        <v>0.15</v>
      </c>
      <c r="T1319" s="473">
        <v>2</v>
      </c>
    </row>
    <row r="1320" spans="17:20">
      <c r="Q1320" s="473">
        <v>6</v>
      </c>
      <c r="R1320" s="473">
        <v>0.40100000000000002</v>
      </c>
      <c r="S1320" s="473">
        <v>0.2</v>
      </c>
      <c r="T1320" s="473">
        <v>2</v>
      </c>
    </row>
    <row r="1321" spans="17:20">
      <c r="Q1321" s="473">
        <v>6</v>
      </c>
      <c r="R1321" s="473">
        <v>0.40100000000000002</v>
      </c>
      <c r="S1321" s="473">
        <v>0.25</v>
      </c>
      <c r="T1321" s="473">
        <v>2</v>
      </c>
    </row>
    <row r="1322" spans="17:20">
      <c r="Q1322" s="473">
        <v>6</v>
      </c>
      <c r="R1322" s="473">
        <v>0.40100000000000002</v>
      </c>
      <c r="S1322" s="473">
        <v>1</v>
      </c>
      <c r="T1322" s="473">
        <v>2</v>
      </c>
    </row>
    <row r="1323" spans="17:20">
      <c r="Q1323" s="473">
        <v>6</v>
      </c>
      <c r="R1323" s="473">
        <v>0.5</v>
      </c>
      <c r="S1323" s="473">
        <v>0</v>
      </c>
      <c r="T1323" s="473">
        <v>4</v>
      </c>
    </row>
    <row r="1324" spans="17:20">
      <c r="Q1324" s="473">
        <v>6</v>
      </c>
      <c r="R1324" s="473">
        <v>0.5</v>
      </c>
      <c r="S1324" s="473">
        <v>0.02</v>
      </c>
      <c r="T1324" s="473">
        <v>4</v>
      </c>
    </row>
    <row r="1325" spans="17:20">
      <c r="Q1325" s="473">
        <v>6</v>
      </c>
      <c r="R1325" s="473">
        <v>0.5</v>
      </c>
      <c r="S1325" s="473">
        <v>0.04</v>
      </c>
      <c r="T1325" s="473">
        <v>3</v>
      </c>
    </row>
    <row r="1326" spans="17:20">
      <c r="Q1326" s="473">
        <v>6</v>
      </c>
      <c r="R1326" s="473">
        <v>0.5</v>
      </c>
      <c r="S1326" s="473">
        <v>0.05</v>
      </c>
      <c r="T1326" s="473">
        <v>2.5</v>
      </c>
    </row>
    <row r="1327" spans="17:20">
      <c r="Q1327" s="473">
        <v>6</v>
      </c>
      <c r="R1327" s="473">
        <v>0.5</v>
      </c>
      <c r="S1327" s="473">
        <v>0.06</v>
      </c>
      <c r="T1327" s="473">
        <v>2.5</v>
      </c>
    </row>
    <row r="1328" spans="17:20">
      <c r="Q1328" s="473">
        <v>6</v>
      </c>
      <c r="R1328" s="473">
        <v>0.5</v>
      </c>
      <c r="S1328" s="473">
        <v>0.08</v>
      </c>
      <c r="T1328" s="473">
        <v>2</v>
      </c>
    </row>
    <row r="1329" spans="17:20">
      <c r="Q1329" s="473">
        <v>6</v>
      </c>
      <c r="R1329" s="473">
        <v>0.5</v>
      </c>
      <c r="S1329" s="473">
        <v>0.1</v>
      </c>
      <c r="T1329" s="473">
        <v>2</v>
      </c>
    </row>
    <row r="1330" spans="17:20">
      <c r="Q1330" s="473">
        <v>6</v>
      </c>
      <c r="R1330" s="473">
        <v>0.5</v>
      </c>
      <c r="S1330" s="473">
        <v>0.15</v>
      </c>
      <c r="T1330" s="473">
        <v>2</v>
      </c>
    </row>
    <row r="1331" spans="17:20">
      <c r="Q1331" s="473">
        <v>6</v>
      </c>
      <c r="R1331" s="473">
        <v>0.5</v>
      </c>
      <c r="S1331" s="473">
        <v>0.2</v>
      </c>
      <c r="T1331" s="473">
        <v>2</v>
      </c>
    </row>
    <row r="1332" spans="17:20">
      <c r="Q1332" s="473">
        <v>6</v>
      </c>
      <c r="R1332" s="473">
        <v>0.5</v>
      </c>
      <c r="S1332" s="473">
        <v>0.25</v>
      </c>
      <c r="T1332" s="473">
        <v>2</v>
      </c>
    </row>
    <row r="1333" spans="17:20">
      <c r="Q1333" s="473">
        <v>6</v>
      </c>
      <c r="R1333" s="473">
        <v>0.5</v>
      </c>
      <c r="S1333" s="473">
        <v>1</v>
      </c>
      <c r="T1333" s="473">
        <v>2</v>
      </c>
    </row>
    <row r="1334" spans="17:20">
      <c r="Q1334" s="473">
        <v>6</v>
      </c>
      <c r="R1334" s="473">
        <v>0.501</v>
      </c>
      <c r="S1334" s="473">
        <v>0</v>
      </c>
      <c r="T1334" s="473">
        <v>4.5</v>
      </c>
    </row>
    <row r="1335" spans="17:20">
      <c r="Q1335" s="473">
        <v>6</v>
      </c>
      <c r="R1335" s="473">
        <v>0.501</v>
      </c>
      <c r="S1335" s="473">
        <v>0.02</v>
      </c>
      <c r="T1335" s="473">
        <v>4.5</v>
      </c>
    </row>
    <row r="1336" spans="17:20">
      <c r="Q1336" s="473">
        <v>6</v>
      </c>
      <c r="R1336" s="473">
        <v>0.501</v>
      </c>
      <c r="S1336" s="473">
        <v>0.04</v>
      </c>
      <c r="T1336" s="473">
        <v>4</v>
      </c>
    </row>
    <row r="1337" spans="17:20">
      <c r="Q1337" s="473">
        <v>6</v>
      </c>
      <c r="R1337" s="473">
        <v>0.501</v>
      </c>
      <c r="S1337" s="473">
        <v>0.05</v>
      </c>
      <c r="T1337" s="473">
        <v>3.5</v>
      </c>
    </row>
    <row r="1338" spans="17:20">
      <c r="Q1338" s="473">
        <v>6</v>
      </c>
      <c r="R1338" s="473">
        <v>0.501</v>
      </c>
      <c r="S1338" s="473">
        <v>0.06</v>
      </c>
      <c r="T1338" s="473">
        <v>3</v>
      </c>
    </row>
    <row r="1339" spans="17:20">
      <c r="Q1339" s="473">
        <v>6</v>
      </c>
      <c r="R1339" s="473">
        <v>0.501</v>
      </c>
      <c r="S1339" s="473">
        <v>0.08</v>
      </c>
      <c r="T1339" s="473">
        <v>2.5</v>
      </c>
    </row>
    <row r="1340" spans="17:20">
      <c r="Q1340" s="473">
        <v>6</v>
      </c>
      <c r="R1340" s="473">
        <v>0.501</v>
      </c>
      <c r="S1340" s="473">
        <v>0.1</v>
      </c>
      <c r="T1340" s="473">
        <v>2.5</v>
      </c>
    </row>
    <row r="1341" spans="17:20">
      <c r="Q1341" s="473">
        <v>6</v>
      </c>
      <c r="R1341" s="473">
        <v>0.501</v>
      </c>
      <c r="S1341" s="473">
        <v>0.15</v>
      </c>
      <c r="T1341" s="473">
        <v>2.5</v>
      </c>
    </row>
    <row r="1342" spans="17:20">
      <c r="Q1342" s="473">
        <v>6</v>
      </c>
      <c r="R1342" s="473">
        <v>0.501</v>
      </c>
      <c r="S1342" s="473">
        <v>0.2</v>
      </c>
      <c r="T1342" s="473">
        <v>2.5</v>
      </c>
    </row>
    <row r="1343" spans="17:20">
      <c r="Q1343" s="473">
        <v>6</v>
      </c>
      <c r="R1343" s="473">
        <v>0.501</v>
      </c>
      <c r="S1343" s="473">
        <v>0.25</v>
      </c>
      <c r="T1343" s="473">
        <v>2.5</v>
      </c>
    </row>
    <row r="1344" spans="17:20">
      <c r="Q1344" s="473">
        <v>6</v>
      </c>
      <c r="R1344" s="473">
        <v>0.501</v>
      </c>
      <c r="S1344" s="473">
        <v>1</v>
      </c>
      <c r="T1344" s="473">
        <v>2.5</v>
      </c>
    </row>
    <row r="1345" spans="17:20">
      <c r="Q1345" s="473">
        <v>6</v>
      </c>
      <c r="R1345" s="473">
        <v>0.8</v>
      </c>
      <c r="S1345" s="473">
        <v>0</v>
      </c>
      <c r="T1345" s="473">
        <v>4.5</v>
      </c>
    </row>
    <row r="1346" spans="17:20">
      <c r="Q1346" s="473">
        <v>6</v>
      </c>
      <c r="R1346" s="473">
        <v>0.8</v>
      </c>
      <c r="S1346" s="473">
        <v>0.02</v>
      </c>
      <c r="T1346" s="473">
        <v>4.5</v>
      </c>
    </row>
    <row r="1347" spans="17:20">
      <c r="Q1347" s="473">
        <v>6</v>
      </c>
      <c r="R1347" s="473">
        <v>0.8</v>
      </c>
      <c r="S1347" s="473">
        <v>0.04</v>
      </c>
      <c r="T1347" s="473">
        <v>4</v>
      </c>
    </row>
    <row r="1348" spans="17:20">
      <c r="Q1348" s="473">
        <v>6</v>
      </c>
      <c r="R1348" s="473">
        <v>0.8</v>
      </c>
      <c r="S1348" s="473">
        <v>0.05</v>
      </c>
      <c r="T1348" s="473">
        <v>3.5</v>
      </c>
    </row>
    <row r="1349" spans="17:20">
      <c r="Q1349" s="473">
        <v>6</v>
      </c>
      <c r="R1349" s="473">
        <v>0.8</v>
      </c>
      <c r="S1349" s="473">
        <v>0.06</v>
      </c>
      <c r="T1349" s="473">
        <v>3</v>
      </c>
    </row>
    <row r="1350" spans="17:20">
      <c r="Q1350" s="473">
        <v>6</v>
      </c>
      <c r="R1350" s="473">
        <v>0.8</v>
      </c>
      <c r="S1350" s="473">
        <v>0.08</v>
      </c>
      <c r="T1350" s="473">
        <v>2.5</v>
      </c>
    </row>
    <row r="1351" spans="17:20">
      <c r="Q1351" s="473">
        <v>6</v>
      </c>
      <c r="R1351" s="473">
        <v>0.8</v>
      </c>
      <c r="S1351" s="473">
        <v>0.1</v>
      </c>
      <c r="T1351" s="473">
        <v>2.5</v>
      </c>
    </row>
    <row r="1352" spans="17:20">
      <c r="Q1352" s="473">
        <v>6</v>
      </c>
      <c r="R1352" s="473">
        <v>0.8</v>
      </c>
      <c r="S1352" s="473">
        <v>0.15</v>
      </c>
      <c r="T1352" s="473">
        <v>2.5</v>
      </c>
    </row>
    <row r="1353" spans="17:20">
      <c r="Q1353" s="473">
        <v>6</v>
      </c>
      <c r="R1353" s="473">
        <v>0.8</v>
      </c>
      <c r="S1353" s="473">
        <v>0.2</v>
      </c>
      <c r="T1353" s="473">
        <v>2.5</v>
      </c>
    </row>
    <row r="1354" spans="17:20">
      <c r="Q1354" s="473">
        <v>6</v>
      </c>
      <c r="R1354" s="473">
        <v>0.8</v>
      </c>
      <c r="S1354" s="473">
        <v>0.25</v>
      </c>
      <c r="T1354" s="473">
        <v>2.5</v>
      </c>
    </row>
    <row r="1355" spans="17:20">
      <c r="Q1355" s="473">
        <v>6</v>
      </c>
      <c r="R1355" s="473">
        <v>0.8</v>
      </c>
      <c r="S1355" s="473">
        <v>1</v>
      </c>
      <c r="T1355" s="473">
        <v>2.5</v>
      </c>
    </row>
    <row r="1356" spans="17:20">
      <c r="Q1356" s="473">
        <v>6</v>
      </c>
      <c r="R1356" s="473">
        <v>0.80100000000000005</v>
      </c>
      <c r="S1356" s="473">
        <v>0</v>
      </c>
      <c r="T1356" s="473">
        <v>5</v>
      </c>
    </row>
    <row r="1357" spans="17:20">
      <c r="Q1357" s="473">
        <v>6</v>
      </c>
      <c r="R1357" s="473">
        <v>0.80100000000000005</v>
      </c>
      <c r="S1357" s="473">
        <v>0.02</v>
      </c>
      <c r="T1357" s="473">
        <v>5</v>
      </c>
    </row>
    <row r="1358" spans="17:20">
      <c r="Q1358" s="473">
        <v>6</v>
      </c>
      <c r="R1358" s="473">
        <v>0.80100000000000005</v>
      </c>
      <c r="S1358" s="473">
        <v>0.04</v>
      </c>
      <c r="T1358" s="473">
        <v>4.5</v>
      </c>
    </row>
    <row r="1359" spans="17:20">
      <c r="Q1359" s="473">
        <v>6</v>
      </c>
      <c r="R1359" s="473">
        <v>0.80100000000000005</v>
      </c>
      <c r="S1359" s="473">
        <v>0.05</v>
      </c>
      <c r="T1359" s="473">
        <v>4</v>
      </c>
    </row>
    <row r="1360" spans="17:20">
      <c r="Q1360" s="473">
        <v>6</v>
      </c>
      <c r="R1360" s="473">
        <v>0.80100000000000005</v>
      </c>
      <c r="S1360" s="473">
        <v>0.06</v>
      </c>
      <c r="T1360" s="473">
        <v>3.5</v>
      </c>
    </row>
    <row r="1361" spans="17:20">
      <c r="Q1361" s="473">
        <v>6</v>
      </c>
      <c r="R1361" s="473">
        <v>0.80100000000000005</v>
      </c>
      <c r="S1361" s="473">
        <v>0.08</v>
      </c>
      <c r="T1361" s="473">
        <v>3</v>
      </c>
    </row>
    <row r="1362" spans="17:20">
      <c r="Q1362" s="473">
        <v>6</v>
      </c>
      <c r="R1362" s="473">
        <v>0.80100000000000005</v>
      </c>
      <c r="S1362" s="473">
        <v>0.1</v>
      </c>
      <c r="T1362" s="473">
        <v>3</v>
      </c>
    </row>
    <row r="1363" spans="17:20">
      <c r="Q1363" s="473">
        <v>6</v>
      </c>
      <c r="R1363" s="473">
        <v>0.80100000000000005</v>
      </c>
      <c r="S1363" s="473">
        <v>0.15</v>
      </c>
      <c r="T1363" s="473">
        <v>3</v>
      </c>
    </row>
    <row r="1364" spans="17:20">
      <c r="Q1364" s="473">
        <v>6</v>
      </c>
      <c r="R1364" s="473">
        <v>0.80100000000000005</v>
      </c>
      <c r="S1364" s="473">
        <v>0.2</v>
      </c>
      <c r="T1364" s="473">
        <v>3</v>
      </c>
    </row>
    <row r="1365" spans="17:20">
      <c r="Q1365" s="473">
        <v>6</v>
      </c>
      <c r="R1365" s="473">
        <v>0.80100000000000005</v>
      </c>
      <c r="S1365" s="473">
        <v>0.25</v>
      </c>
      <c r="T1365" s="473">
        <v>3</v>
      </c>
    </row>
    <row r="1366" spans="17:20">
      <c r="Q1366" s="473">
        <v>6</v>
      </c>
      <c r="R1366" s="473">
        <v>0.80100000000000005</v>
      </c>
      <c r="S1366" s="473">
        <v>1</v>
      </c>
      <c r="T1366" s="473">
        <v>3</v>
      </c>
    </row>
    <row r="1367" spans="17:20">
      <c r="Q1367" s="473">
        <v>6</v>
      </c>
      <c r="R1367" s="473">
        <v>1.2</v>
      </c>
      <c r="S1367" s="473">
        <v>0</v>
      </c>
      <c r="T1367" s="473">
        <v>5</v>
      </c>
    </row>
    <row r="1368" spans="17:20">
      <c r="Q1368" s="473">
        <v>6</v>
      </c>
      <c r="R1368" s="473">
        <v>1.2</v>
      </c>
      <c r="S1368" s="473">
        <v>0.02</v>
      </c>
      <c r="T1368" s="473">
        <v>5</v>
      </c>
    </row>
    <row r="1369" spans="17:20">
      <c r="Q1369" s="473">
        <v>6</v>
      </c>
      <c r="R1369" s="473">
        <v>1.2</v>
      </c>
      <c r="S1369" s="473">
        <v>0.04</v>
      </c>
      <c r="T1369" s="473">
        <v>4.5</v>
      </c>
    </row>
    <row r="1370" spans="17:20">
      <c r="Q1370" s="473">
        <v>6</v>
      </c>
      <c r="R1370" s="473">
        <v>1.2</v>
      </c>
      <c r="S1370" s="473">
        <v>0.05</v>
      </c>
      <c r="T1370" s="473">
        <v>4</v>
      </c>
    </row>
    <row r="1371" spans="17:20">
      <c r="Q1371" s="473">
        <v>6</v>
      </c>
      <c r="R1371" s="473">
        <v>1.2</v>
      </c>
      <c r="S1371" s="473">
        <v>0.06</v>
      </c>
      <c r="T1371" s="473">
        <v>3.5</v>
      </c>
    </row>
    <row r="1372" spans="17:20">
      <c r="Q1372" s="473">
        <v>6</v>
      </c>
      <c r="R1372" s="473">
        <v>1.2</v>
      </c>
      <c r="S1372" s="473">
        <v>0.08</v>
      </c>
      <c r="T1372" s="473">
        <v>3</v>
      </c>
    </row>
    <row r="1373" spans="17:20">
      <c r="Q1373" s="473">
        <v>6</v>
      </c>
      <c r="R1373" s="473">
        <v>1.2</v>
      </c>
      <c r="S1373" s="473">
        <v>0.1</v>
      </c>
      <c r="T1373" s="473">
        <v>3</v>
      </c>
    </row>
    <row r="1374" spans="17:20">
      <c r="Q1374" s="473">
        <v>6</v>
      </c>
      <c r="R1374" s="473">
        <v>1.2</v>
      </c>
      <c r="S1374" s="473">
        <v>0.15</v>
      </c>
      <c r="T1374" s="473">
        <v>3</v>
      </c>
    </row>
    <row r="1375" spans="17:20">
      <c r="Q1375" s="473">
        <v>6</v>
      </c>
      <c r="R1375" s="473">
        <v>1.2</v>
      </c>
      <c r="S1375" s="473">
        <v>0.2</v>
      </c>
      <c r="T1375" s="473">
        <v>3</v>
      </c>
    </row>
    <row r="1376" spans="17:20">
      <c r="Q1376" s="473">
        <v>6</v>
      </c>
      <c r="R1376" s="473">
        <v>1.2</v>
      </c>
      <c r="S1376" s="473">
        <v>0.25</v>
      </c>
      <c r="T1376" s="473">
        <v>3</v>
      </c>
    </row>
    <row r="1377" spans="17:20">
      <c r="Q1377" s="473">
        <v>6</v>
      </c>
      <c r="R1377" s="473">
        <v>1.2</v>
      </c>
      <c r="S1377" s="473">
        <v>1</v>
      </c>
      <c r="T1377" s="473">
        <v>3</v>
      </c>
    </row>
    <row r="1378" spans="17:20">
      <c r="Q1378" s="473">
        <v>6</v>
      </c>
      <c r="R1378" s="473">
        <v>1.2010000000000001</v>
      </c>
      <c r="S1378" s="473">
        <v>0</v>
      </c>
      <c r="T1378" s="473">
        <v>5.5</v>
      </c>
    </row>
    <row r="1379" spans="17:20">
      <c r="Q1379" s="473">
        <v>6</v>
      </c>
      <c r="R1379" s="473">
        <v>1.2010000000000001</v>
      </c>
      <c r="S1379" s="473">
        <v>0.02</v>
      </c>
      <c r="T1379" s="473">
        <v>5.5</v>
      </c>
    </row>
    <row r="1380" spans="17:20">
      <c r="Q1380" s="473">
        <v>6</v>
      </c>
      <c r="R1380" s="473">
        <v>1.2010000000000001</v>
      </c>
      <c r="S1380" s="473">
        <v>0.04</v>
      </c>
      <c r="T1380" s="473">
        <v>5</v>
      </c>
    </row>
    <row r="1381" spans="17:20">
      <c r="Q1381" s="473">
        <v>6</v>
      </c>
      <c r="R1381" s="473">
        <v>1.2010000000000001</v>
      </c>
      <c r="S1381" s="473">
        <v>0.05</v>
      </c>
      <c r="T1381" s="473">
        <v>4.5</v>
      </c>
    </row>
    <row r="1382" spans="17:20">
      <c r="Q1382" s="473">
        <v>6</v>
      </c>
      <c r="R1382" s="473">
        <v>1.2010000000000001</v>
      </c>
      <c r="S1382" s="473">
        <v>0.06</v>
      </c>
      <c r="T1382" s="473">
        <v>4</v>
      </c>
    </row>
    <row r="1383" spans="17:20">
      <c r="Q1383" s="473">
        <v>6</v>
      </c>
      <c r="R1383" s="473">
        <v>1.2010000000000001</v>
      </c>
      <c r="S1383" s="473">
        <v>0.08</v>
      </c>
      <c r="T1383" s="473">
        <v>3</v>
      </c>
    </row>
    <row r="1384" spans="17:20">
      <c r="Q1384" s="473">
        <v>6</v>
      </c>
      <c r="R1384" s="473">
        <v>1.2010000000000001</v>
      </c>
      <c r="S1384" s="473">
        <v>0.1</v>
      </c>
      <c r="T1384" s="473">
        <v>3</v>
      </c>
    </row>
    <row r="1385" spans="17:20">
      <c r="Q1385" s="473">
        <v>6</v>
      </c>
      <c r="R1385" s="473">
        <v>1.2010000000000001</v>
      </c>
      <c r="S1385" s="473">
        <v>0.15</v>
      </c>
      <c r="T1385" s="473">
        <v>3</v>
      </c>
    </row>
    <row r="1386" spans="17:20">
      <c r="Q1386" s="473">
        <v>6</v>
      </c>
      <c r="R1386" s="473">
        <v>1.2010000000000001</v>
      </c>
      <c r="S1386" s="473">
        <v>0.2</v>
      </c>
      <c r="T1386" s="473">
        <v>3</v>
      </c>
    </row>
    <row r="1387" spans="17:20">
      <c r="Q1387" s="473">
        <v>6</v>
      </c>
      <c r="R1387" s="473">
        <v>1.2010000000000001</v>
      </c>
      <c r="S1387" s="473">
        <v>0.25</v>
      </c>
      <c r="T1387" s="473">
        <v>3</v>
      </c>
    </row>
    <row r="1388" spans="17:20">
      <c r="Q1388" s="473">
        <v>6</v>
      </c>
      <c r="R1388" s="473">
        <v>1.2010000000000001</v>
      </c>
      <c r="S1388" s="473">
        <v>1</v>
      </c>
      <c r="T1388" s="473">
        <v>3</v>
      </c>
    </row>
    <row r="1389" spans="17:20">
      <c r="Q1389" s="473">
        <v>6</v>
      </c>
      <c r="R1389" s="473">
        <v>1.6</v>
      </c>
      <c r="S1389" s="473">
        <v>0</v>
      </c>
      <c r="T1389" s="473">
        <v>5.5</v>
      </c>
    </row>
    <row r="1390" spans="17:20">
      <c r="Q1390" s="473">
        <v>6</v>
      </c>
      <c r="R1390" s="473">
        <v>1.6</v>
      </c>
      <c r="S1390" s="473">
        <v>0.02</v>
      </c>
      <c r="T1390" s="473">
        <v>5.5</v>
      </c>
    </row>
    <row r="1391" spans="17:20">
      <c r="Q1391" s="473">
        <v>6</v>
      </c>
      <c r="R1391" s="473">
        <v>1.6</v>
      </c>
      <c r="S1391" s="473">
        <v>0.04</v>
      </c>
      <c r="T1391" s="473">
        <v>5</v>
      </c>
    </row>
    <row r="1392" spans="17:20">
      <c r="Q1392" s="473">
        <v>6</v>
      </c>
      <c r="R1392" s="473">
        <v>1.6</v>
      </c>
      <c r="S1392" s="473">
        <v>0.05</v>
      </c>
      <c r="T1392" s="473">
        <v>4.5</v>
      </c>
    </row>
    <row r="1393" spans="17:20">
      <c r="Q1393" s="473">
        <v>6</v>
      </c>
      <c r="R1393" s="473">
        <v>1.6</v>
      </c>
      <c r="S1393" s="473">
        <v>0.06</v>
      </c>
      <c r="T1393" s="473">
        <v>4</v>
      </c>
    </row>
    <row r="1394" spans="17:20">
      <c r="Q1394" s="473">
        <v>6</v>
      </c>
      <c r="R1394" s="473">
        <v>1.6</v>
      </c>
      <c r="S1394" s="473">
        <v>0.08</v>
      </c>
      <c r="T1394" s="473">
        <v>3</v>
      </c>
    </row>
    <row r="1395" spans="17:20">
      <c r="Q1395" s="473">
        <v>6</v>
      </c>
      <c r="R1395" s="473">
        <v>1.6</v>
      </c>
      <c r="S1395" s="473">
        <v>0.1</v>
      </c>
      <c r="T1395" s="473">
        <v>3</v>
      </c>
    </row>
    <row r="1396" spans="17:20">
      <c r="Q1396" s="473">
        <v>6</v>
      </c>
      <c r="R1396" s="473">
        <v>1.6</v>
      </c>
      <c r="S1396" s="473">
        <v>0.15</v>
      </c>
      <c r="T1396" s="473">
        <v>3</v>
      </c>
    </row>
    <row r="1397" spans="17:20">
      <c r="Q1397" s="473">
        <v>6</v>
      </c>
      <c r="R1397" s="473">
        <v>1.6</v>
      </c>
      <c r="S1397" s="473">
        <v>0.2</v>
      </c>
      <c r="T1397" s="473">
        <v>3</v>
      </c>
    </row>
    <row r="1398" spans="17:20">
      <c r="Q1398" s="473">
        <v>6</v>
      </c>
      <c r="R1398" s="473">
        <v>1.6</v>
      </c>
      <c r="S1398" s="473">
        <v>0.25</v>
      </c>
      <c r="T1398" s="473">
        <v>3</v>
      </c>
    </row>
    <row r="1399" spans="17:20">
      <c r="Q1399" s="473">
        <v>6</v>
      </c>
      <c r="R1399" s="473">
        <v>1.6</v>
      </c>
      <c r="S1399" s="473">
        <v>1</v>
      </c>
      <c r="T1399" s="473">
        <v>3</v>
      </c>
    </row>
    <row r="1400" spans="17:20">
      <c r="Q1400" s="473">
        <v>6</v>
      </c>
      <c r="R1400" s="473">
        <v>1.601</v>
      </c>
      <c r="S1400" s="473">
        <v>0</v>
      </c>
      <c r="T1400" s="473">
        <v>6</v>
      </c>
    </row>
    <row r="1401" spans="17:20">
      <c r="Q1401" s="473">
        <v>6</v>
      </c>
      <c r="R1401" s="473">
        <v>1.601</v>
      </c>
      <c r="S1401" s="473">
        <v>0.02</v>
      </c>
      <c r="T1401" s="473">
        <v>6</v>
      </c>
    </row>
    <row r="1402" spans="17:20">
      <c r="Q1402" s="473">
        <v>6</v>
      </c>
      <c r="R1402" s="473">
        <v>1.601</v>
      </c>
      <c r="S1402" s="473">
        <v>0.04</v>
      </c>
      <c r="T1402" s="473">
        <v>5</v>
      </c>
    </row>
    <row r="1403" spans="17:20">
      <c r="Q1403" s="473">
        <v>6</v>
      </c>
      <c r="R1403" s="473">
        <v>1.601</v>
      </c>
      <c r="S1403" s="473">
        <v>0.05</v>
      </c>
      <c r="T1403" s="473">
        <v>5</v>
      </c>
    </row>
    <row r="1404" spans="17:20">
      <c r="Q1404" s="473">
        <v>6</v>
      </c>
      <c r="R1404" s="473">
        <v>1.601</v>
      </c>
      <c r="S1404" s="473">
        <v>0.06</v>
      </c>
      <c r="T1404" s="473">
        <v>4.5</v>
      </c>
    </row>
    <row r="1405" spans="17:20">
      <c r="Q1405" s="473">
        <v>6</v>
      </c>
      <c r="R1405" s="473">
        <v>1.601</v>
      </c>
      <c r="S1405" s="473">
        <v>0.08</v>
      </c>
      <c r="T1405" s="473">
        <v>3.5</v>
      </c>
    </row>
    <row r="1406" spans="17:20">
      <c r="Q1406" s="473">
        <v>6</v>
      </c>
      <c r="R1406" s="473">
        <v>1.601</v>
      </c>
      <c r="S1406" s="473">
        <v>0.1</v>
      </c>
      <c r="T1406" s="473">
        <v>3.5</v>
      </c>
    </row>
    <row r="1407" spans="17:20">
      <c r="Q1407" s="473">
        <v>6</v>
      </c>
      <c r="R1407" s="473">
        <v>1.601</v>
      </c>
      <c r="S1407" s="473">
        <v>0.15</v>
      </c>
      <c r="T1407" s="473">
        <v>3.5</v>
      </c>
    </row>
    <row r="1408" spans="17:20">
      <c r="Q1408" s="473">
        <v>6</v>
      </c>
      <c r="R1408" s="473">
        <v>1.601</v>
      </c>
      <c r="S1408" s="473">
        <v>0.2</v>
      </c>
      <c r="T1408" s="473">
        <v>3.5</v>
      </c>
    </row>
    <row r="1409" spans="17:20">
      <c r="Q1409" s="473">
        <v>6</v>
      </c>
      <c r="R1409" s="473">
        <v>1.601</v>
      </c>
      <c r="S1409" s="473">
        <v>0.25</v>
      </c>
      <c r="T1409" s="473">
        <v>3.5</v>
      </c>
    </row>
    <row r="1410" spans="17:20">
      <c r="Q1410" s="473">
        <v>6</v>
      </c>
      <c r="R1410" s="473">
        <v>1.601</v>
      </c>
      <c r="S1410" s="473">
        <v>1</v>
      </c>
      <c r="T1410" s="473">
        <v>3.5</v>
      </c>
    </row>
    <row r="1411" spans="17:20">
      <c r="Q1411" s="473">
        <v>6</v>
      </c>
      <c r="R1411" s="473">
        <v>2.4</v>
      </c>
      <c r="S1411" s="473">
        <v>0</v>
      </c>
      <c r="T1411" s="473">
        <v>6</v>
      </c>
    </row>
    <row r="1412" spans="17:20">
      <c r="Q1412" s="473">
        <v>6</v>
      </c>
      <c r="R1412" s="473">
        <v>2.4</v>
      </c>
      <c r="S1412" s="473">
        <v>0.02</v>
      </c>
      <c r="T1412" s="473">
        <v>6</v>
      </c>
    </row>
    <row r="1413" spans="17:20">
      <c r="Q1413" s="473">
        <v>6</v>
      </c>
      <c r="R1413" s="473">
        <v>2.4</v>
      </c>
      <c r="S1413" s="473">
        <v>0.04</v>
      </c>
      <c r="T1413" s="473">
        <v>5</v>
      </c>
    </row>
    <row r="1414" spans="17:20">
      <c r="Q1414" s="473">
        <v>6</v>
      </c>
      <c r="R1414" s="473">
        <v>2.4</v>
      </c>
      <c r="S1414" s="473">
        <v>0.05</v>
      </c>
      <c r="T1414" s="473">
        <v>5</v>
      </c>
    </row>
    <row r="1415" spans="17:20">
      <c r="Q1415" s="473">
        <v>6</v>
      </c>
      <c r="R1415" s="473">
        <v>2.4</v>
      </c>
      <c r="S1415" s="473">
        <v>0.06</v>
      </c>
      <c r="T1415" s="473">
        <v>4.5</v>
      </c>
    </row>
    <row r="1416" spans="17:20">
      <c r="Q1416" s="473">
        <v>6</v>
      </c>
      <c r="R1416" s="473">
        <v>2.4</v>
      </c>
      <c r="S1416" s="473">
        <v>0.08</v>
      </c>
      <c r="T1416" s="473">
        <v>3.5</v>
      </c>
    </row>
    <row r="1417" spans="17:20">
      <c r="Q1417" s="473">
        <v>6</v>
      </c>
      <c r="R1417" s="473">
        <v>2.4</v>
      </c>
      <c r="S1417" s="473">
        <v>0.1</v>
      </c>
      <c r="T1417" s="473">
        <v>3.5</v>
      </c>
    </row>
    <row r="1418" spans="17:20">
      <c r="Q1418" s="473">
        <v>6</v>
      </c>
      <c r="R1418" s="473">
        <v>2.4</v>
      </c>
      <c r="S1418" s="473">
        <v>0.15</v>
      </c>
      <c r="T1418" s="473">
        <v>3.5</v>
      </c>
    </row>
    <row r="1419" spans="17:20">
      <c r="Q1419" s="473">
        <v>6</v>
      </c>
      <c r="R1419" s="473">
        <v>2.4</v>
      </c>
      <c r="S1419" s="473">
        <v>0.2</v>
      </c>
      <c r="T1419" s="473">
        <v>3.5</v>
      </c>
    </row>
    <row r="1420" spans="17:20">
      <c r="Q1420" s="473">
        <v>6</v>
      </c>
      <c r="R1420" s="473">
        <v>2.4</v>
      </c>
      <c r="S1420" s="473">
        <v>0.25</v>
      </c>
      <c r="T1420" s="473">
        <v>3.5</v>
      </c>
    </row>
    <row r="1421" spans="17:20">
      <c r="Q1421" s="473">
        <v>6</v>
      </c>
      <c r="R1421" s="473">
        <v>2.4</v>
      </c>
      <c r="S1421" s="473">
        <v>1</v>
      </c>
      <c r="T1421" s="473">
        <v>3.5</v>
      </c>
    </row>
    <row r="1422" spans="17:20">
      <c r="Q1422" s="473">
        <v>6</v>
      </c>
      <c r="R1422" s="473">
        <v>100</v>
      </c>
      <c r="S1422" s="473">
        <v>0</v>
      </c>
      <c r="T1422" s="473">
        <v>6</v>
      </c>
    </row>
    <row r="1423" spans="17:20">
      <c r="Q1423" s="473">
        <v>6</v>
      </c>
      <c r="R1423" s="473">
        <v>100</v>
      </c>
      <c r="S1423" s="473">
        <v>0.02</v>
      </c>
      <c r="T1423" s="473">
        <v>6</v>
      </c>
    </row>
    <row r="1424" spans="17:20">
      <c r="Q1424" s="473">
        <v>6</v>
      </c>
      <c r="R1424" s="473">
        <v>100</v>
      </c>
      <c r="S1424" s="473">
        <v>0.04</v>
      </c>
      <c r="T1424" s="473">
        <v>5</v>
      </c>
    </row>
    <row r="1425" spans="17:20">
      <c r="Q1425" s="473">
        <v>6</v>
      </c>
      <c r="R1425" s="473">
        <v>100</v>
      </c>
      <c r="S1425" s="473">
        <v>0.05</v>
      </c>
      <c r="T1425" s="473">
        <v>5</v>
      </c>
    </row>
    <row r="1426" spans="17:20">
      <c r="Q1426" s="473">
        <v>6</v>
      </c>
      <c r="R1426" s="473">
        <v>100</v>
      </c>
      <c r="S1426" s="473">
        <v>0.06</v>
      </c>
      <c r="T1426" s="473">
        <v>4.5</v>
      </c>
    </row>
    <row r="1427" spans="17:20">
      <c r="Q1427" s="473">
        <v>6</v>
      </c>
      <c r="R1427" s="473">
        <v>100</v>
      </c>
      <c r="S1427" s="473">
        <v>0.08</v>
      </c>
      <c r="T1427" s="473">
        <v>3.5</v>
      </c>
    </row>
    <row r="1428" spans="17:20">
      <c r="Q1428" s="473">
        <v>6</v>
      </c>
      <c r="R1428" s="473">
        <v>100</v>
      </c>
      <c r="S1428" s="473">
        <v>0.1</v>
      </c>
      <c r="T1428" s="473">
        <v>3.5</v>
      </c>
    </row>
    <row r="1429" spans="17:20">
      <c r="Q1429" s="473">
        <v>6</v>
      </c>
      <c r="R1429" s="473">
        <v>100</v>
      </c>
      <c r="S1429" s="473">
        <v>0.15</v>
      </c>
      <c r="T1429" s="473">
        <v>3.5</v>
      </c>
    </row>
    <row r="1430" spans="17:20">
      <c r="Q1430" s="473">
        <v>6</v>
      </c>
      <c r="R1430" s="473">
        <v>100</v>
      </c>
      <c r="S1430" s="473">
        <v>0.2</v>
      </c>
      <c r="T1430" s="473">
        <v>3.5</v>
      </c>
    </row>
    <row r="1431" spans="17:20">
      <c r="Q1431" s="473">
        <v>6</v>
      </c>
      <c r="R1431" s="473">
        <v>100</v>
      </c>
      <c r="S1431" s="473">
        <v>0.25</v>
      </c>
      <c r="T1431" s="473">
        <v>3.5</v>
      </c>
    </row>
    <row r="1432" spans="17:20">
      <c r="Q1432" s="473">
        <v>6</v>
      </c>
      <c r="R1432" s="473">
        <v>100</v>
      </c>
      <c r="S1432" s="473">
        <v>1</v>
      </c>
      <c r="T1432" s="473">
        <v>3.5</v>
      </c>
    </row>
    <row r="1433" spans="17:20">
      <c r="Q1433" s="473">
        <v>6.01</v>
      </c>
      <c r="R1433" s="473">
        <v>0</v>
      </c>
      <c r="S1433" s="473">
        <v>0</v>
      </c>
      <c r="T1433" s="473">
        <v>4</v>
      </c>
    </row>
    <row r="1434" spans="17:20">
      <c r="Q1434" s="473">
        <v>6.01</v>
      </c>
      <c r="R1434" s="473">
        <v>0</v>
      </c>
      <c r="S1434" s="473">
        <v>0.02</v>
      </c>
      <c r="T1434" s="473">
        <v>4</v>
      </c>
    </row>
    <row r="1435" spans="17:20">
      <c r="Q1435" s="473">
        <v>6.01</v>
      </c>
      <c r="R1435" s="473">
        <v>0</v>
      </c>
      <c r="S1435" s="473">
        <v>0.04</v>
      </c>
      <c r="T1435" s="473">
        <v>3</v>
      </c>
    </row>
    <row r="1436" spans="17:20">
      <c r="Q1436" s="473">
        <v>6.01</v>
      </c>
      <c r="R1436" s="473">
        <v>0</v>
      </c>
      <c r="S1436" s="473">
        <v>0.05</v>
      </c>
      <c r="T1436" s="473">
        <v>2.5</v>
      </c>
    </row>
    <row r="1437" spans="17:20">
      <c r="Q1437" s="473">
        <v>6.01</v>
      </c>
      <c r="R1437" s="473">
        <v>0</v>
      </c>
      <c r="S1437" s="473">
        <v>0.06</v>
      </c>
      <c r="T1437" s="473">
        <v>2.5</v>
      </c>
    </row>
    <row r="1438" spans="17:20">
      <c r="Q1438" s="473">
        <v>6.01</v>
      </c>
      <c r="R1438" s="473">
        <v>0</v>
      </c>
      <c r="S1438" s="473">
        <v>0.08</v>
      </c>
      <c r="T1438" s="473">
        <v>2.5</v>
      </c>
    </row>
    <row r="1439" spans="17:20">
      <c r="Q1439" s="473">
        <v>6.01</v>
      </c>
      <c r="R1439" s="473">
        <v>0</v>
      </c>
      <c r="S1439" s="473">
        <v>0.1</v>
      </c>
      <c r="T1439" s="473">
        <v>2.5</v>
      </c>
    </row>
    <row r="1440" spans="17:20">
      <c r="Q1440" s="473">
        <v>6.01</v>
      </c>
      <c r="R1440" s="473">
        <v>0</v>
      </c>
      <c r="S1440" s="473">
        <v>0.15</v>
      </c>
      <c r="T1440" s="473">
        <v>2</v>
      </c>
    </row>
    <row r="1441" spans="17:20">
      <c r="Q1441" s="473">
        <v>6.01</v>
      </c>
      <c r="R1441" s="473">
        <v>0</v>
      </c>
      <c r="S1441" s="473">
        <v>0.2</v>
      </c>
      <c r="T1441" s="473">
        <v>2</v>
      </c>
    </row>
    <row r="1442" spans="17:20">
      <c r="Q1442" s="473">
        <v>6.01</v>
      </c>
      <c r="R1442" s="473">
        <v>0</v>
      </c>
      <c r="S1442" s="473">
        <v>0.25</v>
      </c>
      <c r="T1442" s="473">
        <v>2</v>
      </c>
    </row>
    <row r="1443" spans="17:20">
      <c r="Q1443" s="473">
        <v>6.01</v>
      </c>
      <c r="R1443" s="473">
        <v>0</v>
      </c>
      <c r="S1443" s="473">
        <v>1</v>
      </c>
      <c r="T1443" s="473">
        <v>2</v>
      </c>
    </row>
    <row r="1444" spans="17:20">
      <c r="Q1444" s="473">
        <v>6.01</v>
      </c>
      <c r="R1444" s="473">
        <v>0.4</v>
      </c>
      <c r="S1444" s="473">
        <v>0</v>
      </c>
      <c r="T1444" s="473">
        <v>4</v>
      </c>
    </row>
    <row r="1445" spans="17:20">
      <c r="Q1445" s="473">
        <v>6.01</v>
      </c>
      <c r="R1445" s="473">
        <v>0.4</v>
      </c>
      <c r="S1445" s="473">
        <v>0.02</v>
      </c>
      <c r="T1445" s="473">
        <v>4</v>
      </c>
    </row>
    <row r="1446" spans="17:20">
      <c r="Q1446" s="473">
        <v>6.01</v>
      </c>
      <c r="R1446" s="473">
        <v>0.4</v>
      </c>
      <c r="S1446" s="473">
        <v>0.04</v>
      </c>
      <c r="T1446" s="473">
        <v>3</v>
      </c>
    </row>
    <row r="1447" spans="17:20">
      <c r="Q1447" s="473">
        <v>6.01</v>
      </c>
      <c r="R1447" s="473">
        <v>0.4</v>
      </c>
      <c r="S1447" s="473">
        <v>0.05</v>
      </c>
      <c r="T1447" s="473">
        <v>2.5</v>
      </c>
    </row>
    <row r="1448" spans="17:20">
      <c r="Q1448" s="473">
        <v>6.01</v>
      </c>
      <c r="R1448" s="473">
        <v>0.4</v>
      </c>
      <c r="S1448" s="473">
        <v>0.06</v>
      </c>
      <c r="T1448" s="473">
        <v>2.5</v>
      </c>
    </row>
    <row r="1449" spans="17:20">
      <c r="Q1449" s="473">
        <v>6.01</v>
      </c>
      <c r="R1449" s="473">
        <v>0.4</v>
      </c>
      <c r="S1449" s="473">
        <v>0.08</v>
      </c>
      <c r="T1449" s="473">
        <v>2.5</v>
      </c>
    </row>
    <row r="1450" spans="17:20">
      <c r="Q1450" s="473">
        <v>6.01</v>
      </c>
      <c r="R1450" s="473">
        <v>0.4</v>
      </c>
      <c r="S1450" s="473">
        <v>0.1</v>
      </c>
      <c r="T1450" s="473">
        <v>2.5</v>
      </c>
    </row>
    <row r="1451" spans="17:20">
      <c r="Q1451" s="473">
        <v>6.01</v>
      </c>
      <c r="R1451" s="473">
        <v>0.4</v>
      </c>
      <c r="S1451" s="473">
        <v>0.15</v>
      </c>
      <c r="T1451" s="473">
        <v>2</v>
      </c>
    </row>
    <row r="1452" spans="17:20">
      <c r="Q1452" s="473">
        <v>6.01</v>
      </c>
      <c r="R1452" s="473">
        <v>0.4</v>
      </c>
      <c r="S1452" s="473">
        <v>0.2</v>
      </c>
      <c r="T1452" s="473">
        <v>2</v>
      </c>
    </row>
    <row r="1453" spans="17:20">
      <c r="Q1453" s="473">
        <v>6.01</v>
      </c>
      <c r="R1453" s="473">
        <v>0.4</v>
      </c>
      <c r="S1453" s="473">
        <v>0.25</v>
      </c>
      <c r="T1453" s="473">
        <v>2</v>
      </c>
    </row>
    <row r="1454" spans="17:20">
      <c r="Q1454" s="473">
        <v>6.01</v>
      </c>
      <c r="R1454" s="473">
        <v>0.4</v>
      </c>
      <c r="S1454" s="473">
        <v>1</v>
      </c>
      <c r="T1454" s="473">
        <v>2</v>
      </c>
    </row>
    <row r="1455" spans="17:20">
      <c r="Q1455" s="473">
        <v>6.01</v>
      </c>
      <c r="R1455" s="473">
        <v>0.40100000000000002</v>
      </c>
      <c r="S1455" s="473">
        <v>0</v>
      </c>
      <c r="T1455" s="473">
        <v>4.5</v>
      </c>
    </row>
    <row r="1456" spans="17:20">
      <c r="Q1456" s="473">
        <v>6.01</v>
      </c>
      <c r="R1456" s="473">
        <v>0.40100000000000002</v>
      </c>
      <c r="S1456" s="473">
        <v>0.02</v>
      </c>
      <c r="T1456" s="473">
        <v>4.5</v>
      </c>
    </row>
    <row r="1457" spans="17:20">
      <c r="Q1457" s="473">
        <v>6.01</v>
      </c>
      <c r="R1457" s="473">
        <v>0.40100000000000002</v>
      </c>
      <c r="S1457" s="473">
        <v>0.04</v>
      </c>
      <c r="T1457" s="473">
        <v>4</v>
      </c>
    </row>
    <row r="1458" spans="17:20">
      <c r="Q1458" s="473">
        <v>6.01</v>
      </c>
      <c r="R1458" s="473">
        <v>0.40100000000000002</v>
      </c>
      <c r="S1458" s="473">
        <v>0.05</v>
      </c>
      <c r="T1458" s="473">
        <v>3.5</v>
      </c>
    </row>
    <row r="1459" spans="17:20">
      <c r="Q1459" s="473">
        <v>6.01</v>
      </c>
      <c r="R1459" s="473">
        <v>0.40100000000000002</v>
      </c>
      <c r="S1459" s="473">
        <v>0.06</v>
      </c>
      <c r="T1459" s="473">
        <v>3.5</v>
      </c>
    </row>
    <row r="1460" spans="17:20">
      <c r="Q1460" s="473">
        <v>6.01</v>
      </c>
      <c r="R1460" s="473">
        <v>0.40100000000000002</v>
      </c>
      <c r="S1460" s="473">
        <v>0.08</v>
      </c>
      <c r="T1460" s="473">
        <v>3.5</v>
      </c>
    </row>
    <row r="1461" spans="17:20">
      <c r="Q1461" s="473">
        <v>6.01</v>
      </c>
      <c r="R1461" s="473">
        <v>0.40100000000000002</v>
      </c>
      <c r="S1461" s="473">
        <v>0.1</v>
      </c>
      <c r="T1461" s="473">
        <v>3</v>
      </c>
    </row>
    <row r="1462" spans="17:20">
      <c r="Q1462" s="473">
        <v>6.01</v>
      </c>
      <c r="R1462" s="473">
        <v>0.40100000000000002</v>
      </c>
      <c r="S1462" s="473">
        <v>0.15</v>
      </c>
      <c r="T1462" s="473">
        <v>2.5</v>
      </c>
    </row>
    <row r="1463" spans="17:20">
      <c r="Q1463" s="473">
        <v>6.01</v>
      </c>
      <c r="R1463" s="473">
        <v>0.40100000000000002</v>
      </c>
      <c r="S1463" s="473">
        <v>0.2</v>
      </c>
      <c r="T1463" s="473">
        <v>2.5</v>
      </c>
    </row>
    <row r="1464" spans="17:20">
      <c r="Q1464" s="473">
        <v>6.01</v>
      </c>
      <c r="R1464" s="473">
        <v>0.40100000000000002</v>
      </c>
      <c r="S1464" s="473">
        <v>0.25</v>
      </c>
      <c r="T1464" s="473">
        <v>2.5</v>
      </c>
    </row>
    <row r="1465" spans="17:20">
      <c r="Q1465" s="473">
        <v>6.01</v>
      </c>
      <c r="R1465" s="473">
        <v>0.40100000000000002</v>
      </c>
      <c r="S1465" s="473">
        <v>1</v>
      </c>
      <c r="T1465" s="473">
        <v>2.5</v>
      </c>
    </row>
    <row r="1466" spans="17:20">
      <c r="Q1466" s="473">
        <v>6.01</v>
      </c>
      <c r="R1466" s="473">
        <v>0.5</v>
      </c>
      <c r="S1466" s="473">
        <v>0</v>
      </c>
      <c r="T1466" s="473">
        <v>4.5</v>
      </c>
    </row>
    <row r="1467" spans="17:20">
      <c r="Q1467" s="473">
        <v>6.01</v>
      </c>
      <c r="R1467" s="473">
        <v>0.5</v>
      </c>
      <c r="S1467" s="473">
        <v>0.02</v>
      </c>
      <c r="T1467" s="473">
        <v>4.5</v>
      </c>
    </row>
    <row r="1468" spans="17:20">
      <c r="Q1468" s="473">
        <v>6.01</v>
      </c>
      <c r="R1468" s="473">
        <v>0.5</v>
      </c>
      <c r="S1468" s="473">
        <v>0.04</v>
      </c>
      <c r="T1468" s="473">
        <v>4</v>
      </c>
    </row>
    <row r="1469" spans="17:20">
      <c r="Q1469" s="473">
        <v>6.01</v>
      </c>
      <c r="R1469" s="473">
        <v>0.5</v>
      </c>
      <c r="S1469" s="473">
        <v>0.05</v>
      </c>
      <c r="T1469" s="473">
        <v>3.5</v>
      </c>
    </row>
    <row r="1470" spans="17:20">
      <c r="Q1470" s="473">
        <v>6.01</v>
      </c>
      <c r="R1470" s="473">
        <v>0.5</v>
      </c>
      <c r="S1470" s="473">
        <v>0.06</v>
      </c>
      <c r="T1470" s="473">
        <v>3.5</v>
      </c>
    </row>
    <row r="1471" spans="17:20">
      <c r="Q1471" s="473">
        <v>6.01</v>
      </c>
      <c r="R1471" s="473">
        <v>0.5</v>
      </c>
      <c r="S1471" s="473">
        <v>0.08</v>
      </c>
      <c r="T1471" s="473">
        <v>3.5</v>
      </c>
    </row>
    <row r="1472" spans="17:20">
      <c r="Q1472" s="473">
        <v>6.01</v>
      </c>
      <c r="R1472" s="473">
        <v>0.5</v>
      </c>
      <c r="S1472" s="473">
        <v>0.1</v>
      </c>
      <c r="T1472" s="473">
        <v>3</v>
      </c>
    </row>
    <row r="1473" spans="17:20">
      <c r="Q1473" s="473">
        <v>6.01</v>
      </c>
      <c r="R1473" s="473">
        <v>0.5</v>
      </c>
      <c r="S1473" s="473">
        <v>0.15</v>
      </c>
      <c r="T1473" s="473">
        <v>2.5</v>
      </c>
    </row>
    <row r="1474" spans="17:20">
      <c r="Q1474" s="473">
        <v>6.01</v>
      </c>
      <c r="R1474" s="473">
        <v>0.5</v>
      </c>
      <c r="S1474" s="473">
        <v>0.2</v>
      </c>
      <c r="T1474" s="473">
        <v>2.5</v>
      </c>
    </row>
    <row r="1475" spans="17:20">
      <c r="Q1475" s="473">
        <v>6.01</v>
      </c>
      <c r="R1475" s="473">
        <v>0.5</v>
      </c>
      <c r="S1475" s="473">
        <v>0.25</v>
      </c>
      <c r="T1475" s="473">
        <v>2.5</v>
      </c>
    </row>
    <row r="1476" spans="17:20">
      <c r="Q1476" s="473">
        <v>6.01</v>
      </c>
      <c r="R1476" s="473">
        <v>0.5</v>
      </c>
      <c r="S1476" s="473">
        <v>1</v>
      </c>
      <c r="T1476" s="473">
        <v>2.5</v>
      </c>
    </row>
    <row r="1477" spans="17:20">
      <c r="Q1477" s="473">
        <v>6.01</v>
      </c>
      <c r="R1477" s="473">
        <v>0.501</v>
      </c>
      <c r="S1477" s="473">
        <v>0</v>
      </c>
      <c r="T1477" s="473">
        <v>5</v>
      </c>
    </row>
    <row r="1478" spans="17:20">
      <c r="Q1478" s="473">
        <v>6.01</v>
      </c>
      <c r="R1478" s="473">
        <v>0.501</v>
      </c>
      <c r="S1478" s="473">
        <v>0.02</v>
      </c>
      <c r="T1478" s="473">
        <v>5</v>
      </c>
    </row>
    <row r="1479" spans="17:20">
      <c r="Q1479" s="473">
        <v>6.01</v>
      </c>
      <c r="R1479" s="473">
        <v>0.501</v>
      </c>
      <c r="S1479" s="473">
        <v>0.04</v>
      </c>
      <c r="T1479" s="473">
        <v>4.5</v>
      </c>
    </row>
    <row r="1480" spans="17:20">
      <c r="Q1480" s="473">
        <v>6.01</v>
      </c>
      <c r="R1480" s="473">
        <v>0.501</v>
      </c>
      <c r="S1480" s="473">
        <v>0.05</v>
      </c>
      <c r="T1480" s="473">
        <v>4</v>
      </c>
    </row>
    <row r="1481" spans="17:20">
      <c r="Q1481" s="473">
        <v>6.01</v>
      </c>
      <c r="R1481" s="473">
        <v>0.501</v>
      </c>
      <c r="S1481" s="473">
        <v>0.06</v>
      </c>
      <c r="T1481" s="473">
        <v>4</v>
      </c>
    </row>
    <row r="1482" spans="17:20">
      <c r="Q1482" s="473">
        <v>6.01</v>
      </c>
      <c r="R1482" s="473">
        <v>0.501</v>
      </c>
      <c r="S1482" s="473">
        <v>0.08</v>
      </c>
      <c r="T1482" s="473">
        <v>3.5</v>
      </c>
    </row>
    <row r="1483" spans="17:20">
      <c r="Q1483" s="473">
        <v>6.01</v>
      </c>
      <c r="R1483" s="473">
        <v>0.501</v>
      </c>
      <c r="S1483" s="473">
        <v>0.1</v>
      </c>
      <c r="T1483" s="473">
        <v>3</v>
      </c>
    </row>
    <row r="1484" spans="17:20">
      <c r="Q1484" s="473">
        <v>6.01</v>
      </c>
      <c r="R1484" s="473">
        <v>0.501</v>
      </c>
      <c r="S1484" s="473">
        <v>0.15</v>
      </c>
      <c r="T1484" s="473">
        <v>2.5</v>
      </c>
    </row>
    <row r="1485" spans="17:20">
      <c r="Q1485" s="473">
        <v>6.01</v>
      </c>
      <c r="R1485" s="473">
        <v>0.501</v>
      </c>
      <c r="S1485" s="473">
        <v>0.2</v>
      </c>
      <c r="T1485" s="473">
        <v>2.5</v>
      </c>
    </row>
    <row r="1486" spans="17:20">
      <c r="Q1486" s="473">
        <v>6.01</v>
      </c>
      <c r="R1486" s="473">
        <v>0.501</v>
      </c>
      <c r="S1486" s="473">
        <v>0.25</v>
      </c>
      <c r="T1486" s="473">
        <v>2.5</v>
      </c>
    </row>
    <row r="1487" spans="17:20">
      <c r="Q1487" s="473">
        <v>6.01</v>
      </c>
      <c r="R1487" s="473">
        <v>0.501</v>
      </c>
      <c r="S1487" s="473">
        <v>1</v>
      </c>
      <c r="T1487" s="473">
        <v>2.5</v>
      </c>
    </row>
    <row r="1488" spans="17:20">
      <c r="Q1488" s="473">
        <v>6.01</v>
      </c>
      <c r="R1488" s="473">
        <v>0.8</v>
      </c>
      <c r="S1488" s="473">
        <v>0</v>
      </c>
      <c r="T1488" s="473">
        <v>5</v>
      </c>
    </row>
    <row r="1489" spans="17:20">
      <c r="Q1489" s="473">
        <v>6.01</v>
      </c>
      <c r="R1489" s="473">
        <v>0.8</v>
      </c>
      <c r="S1489" s="473">
        <v>0.02</v>
      </c>
      <c r="T1489" s="473">
        <v>5</v>
      </c>
    </row>
    <row r="1490" spans="17:20">
      <c r="Q1490" s="473">
        <v>6.01</v>
      </c>
      <c r="R1490" s="473">
        <v>0.8</v>
      </c>
      <c r="S1490" s="473">
        <v>0.04</v>
      </c>
      <c r="T1490" s="473">
        <v>4.5</v>
      </c>
    </row>
    <row r="1491" spans="17:20">
      <c r="Q1491" s="473">
        <v>6.01</v>
      </c>
      <c r="R1491" s="473">
        <v>0.8</v>
      </c>
      <c r="S1491" s="473">
        <v>0.05</v>
      </c>
      <c r="T1491" s="473">
        <v>4</v>
      </c>
    </row>
    <row r="1492" spans="17:20">
      <c r="Q1492" s="473">
        <v>6.01</v>
      </c>
      <c r="R1492" s="473">
        <v>0.8</v>
      </c>
      <c r="S1492" s="473">
        <v>0.06</v>
      </c>
      <c r="T1492" s="473">
        <v>4</v>
      </c>
    </row>
    <row r="1493" spans="17:20">
      <c r="Q1493" s="473">
        <v>6.01</v>
      </c>
      <c r="R1493" s="473">
        <v>0.8</v>
      </c>
      <c r="S1493" s="473">
        <v>0.08</v>
      </c>
      <c r="T1493" s="473">
        <v>3.5</v>
      </c>
    </row>
    <row r="1494" spans="17:20">
      <c r="Q1494" s="473">
        <v>6.01</v>
      </c>
      <c r="R1494" s="473">
        <v>0.8</v>
      </c>
      <c r="S1494" s="473">
        <v>0.1</v>
      </c>
      <c r="T1494" s="473">
        <v>3</v>
      </c>
    </row>
    <row r="1495" spans="17:20">
      <c r="Q1495" s="473">
        <v>6.01</v>
      </c>
      <c r="R1495" s="473">
        <v>0.8</v>
      </c>
      <c r="S1495" s="473">
        <v>0.15</v>
      </c>
      <c r="T1495" s="473">
        <v>2.5</v>
      </c>
    </row>
    <row r="1496" spans="17:20">
      <c r="Q1496" s="473">
        <v>6.01</v>
      </c>
      <c r="R1496" s="473">
        <v>0.8</v>
      </c>
      <c r="S1496" s="473">
        <v>0.2</v>
      </c>
      <c r="T1496" s="473">
        <v>2.5</v>
      </c>
    </row>
    <row r="1497" spans="17:20">
      <c r="Q1497" s="473">
        <v>6.01</v>
      </c>
      <c r="R1497" s="473">
        <v>0.8</v>
      </c>
      <c r="S1497" s="473">
        <v>0.25</v>
      </c>
      <c r="T1497" s="473">
        <v>2.5</v>
      </c>
    </row>
    <row r="1498" spans="17:20">
      <c r="Q1498" s="473">
        <v>6.01</v>
      </c>
      <c r="R1498" s="473">
        <v>0.8</v>
      </c>
      <c r="S1498" s="473">
        <v>1</v>
      </c>
      <c r="T1498" s="473">
        <v>2.5</v>
      </c>
    </row>
    <row r="1499" spans="17:20">
      <c r="Q1499" s="473">
        <v>6.01</v>
      </c>
      <c r="R1499" s="473">
        <v>0.80100000000000005</v>
      </c>
      <c r="S1499" s="473">
        <v>0</v>
      </c>
      <c r="T1499" s="473">
        <v>5.5</v>
      </c>
    </row>
    <row r="1500" spans="17:20">
      <c r="Q1500" s="473">
        <v>6.01</v>
      </c>
      <c r="R1500" s="473">
        <v>0.80100000000000005</v>
      </c>
      <c r="S1500" s="473">
        <v>0.02</v>
      </c>
      <c r="T1500" s="473">
        <v>5.5</v>
      </c>
    </row>
    <row r="1501" spans="17:20">
      <c r="Q1501" s="473">
        <v>6.01</v>
      </c>
      <c r="R1501" s="473">
        <v>0.80100000000000005</v>
      </c>
      <c r="S1501" s="473">
        <v>0.04</v>
      </c>
      <c r="T1501" s="473">
        <v>5</v>
      </c>
    </row>
    <row r="1502" spans="17:20">
      <c r="Q1502" s="473">
        <v>6.01</v>
      </c>
      <c r="R1502" s="473">
        <v>0.80100000000000005</v>
      </c>
      <c r="S1502" s="473">
        <v>0.05</v>
      </c>
      <c r="T1502" s="473">
        <v>4.5</v>
      </c>
    </row>
    <row r="1503" spans="17:20">
      <c r="Q1503" s="473">
        <v>6.01</v>
      </c>
      <c r="R1503" s="473">
        <v>0.80100000000000005</v>
      </c>
      <c r="S1503" s="473">
        <v>0.06</v>
      </c>
      <c r="T1503" s="473">
        <v>4.5</v>
      </c>
    </row>
    <row r="1504" spans="17:20">
      <c r="Q1504" s="473">
        <v>6.01</v>
      </c>
      <c r="R1504" s="473">
        <v>0.80100000000000005</v>
      </c>
      <c r="S1504" s="473">
        <v>0.08</v>
      </c>
      <c r="T1504" s="473">
        <v>4</v>
      </c>
    </row>
    <row r="1505" spans="17:20">
      <c r="Q1505" s="473">
        <v>6.01</v>
      </c>
      <c r="R1505" s="473">
        <v>0.80100000000000005</v>
      </c>
      <c r="S1505" s="473">
        <v>0.1</v>
      </c>
      <c r="T1505" s="473">
        <v>3.5</v>
      </c>
    </row>
    <row r="1506" spans="17:20">
      <c r="Q1506" s="473">
        <v>6.01</v>
      </c>
      <c r="R1506" s="473">
        <v>0.80100000000000005</v>
      </c>
      <c r="S1506" s="473">
        <v>0.15</v>
      </c>
      <c r="T1506" s="473">
        <v>3</v>
      </c>
    </row>
    <row r="1507" spans="17:20">
      <c r="Q1507" s="473">
        <v>6.01</v>
      </c>
      <c r="R1507" s="473">
        <v>0.80100000000000005</v>
      </c>
      <c r="S1507" s="473">
        <v>0.2</v>
      </c>
      <c r="T1507" s="473">
        <v>3</v>
      </c>
    </row>
    <row r="1508" spans="17:20">
      <c r="Q1508" s="473">
        <v>6.01</v>
      </c>
      <c r="R1508" s="473">
        <v>0.80100000000000005</v>
      </c>
      <c r="S1508" s="473">
        <v>0.25</v>
      </c>
      <c r="T1508" s="473">
        <v>3</v>
      </c>
    </row>
    <row r="1509" spans="17:20">
      <c r="Q1509" s="473">
        <v>6.01</v>
      </c>
      <c r="R1509" s="473">
        <v>0.80100000000000005</v>
      </c>
      <c r="S1509" s="473">
        <v>1</v>
      </c>
      <c r="T1509" s="473">
        <v>3</v>
      </c>
    </row>
    <row r="1510" spans="17:20">
      <c r="Q1510" s="473">
        <v>6.01</v>
      </c>
      <c r="R1510" s="473">
        <v>1.2</v>
      </c>
      <c r="S1510" s="473">
        <v>0</v>
      </c>
      <c r="T1510" s="473">
        <v>5.5</v>
      </c>
    </row>
    <row r="1511" spans="17:20">
      <c r="Q1511" s="473">
        <v>6.01</v>
      </c>
      <c r="R1511" s="473">
        <v>1.2</v>
      </c>
      <c r="S1511" s="473">
        <v>0.02</v>
      </c>
      <c r="T1511" s="473">
        <v>5.5</v>
      </c>
    </row>
    <row r="1512" spans="17:20">
      <c r="Q1512" s="473">
        <v>6.01</v>
      </c>
      <c r="R1512" s="473">
        <v>1.2</v>
      </c>
      <c r="S1512" s="473">
        <v>0.04</v>
      </c>
      <c r="T1512" s="473">
        <v>5</v>
      </c>
    </row>
    <row r="1513" spans="17:20">
      <c r="Q1513" s="473">
        <v>6.01</v>
      </c>
      <c r="R1513" s="473">
        <v>1.2</v>
      </c>
      <c r="S1513" s="473">
        <v>0.05</v>
      </c>
      <c r="T1513" s="473">
        <v>4.5</v>
      </c>
    </row>
    <row r="1514" spans="17:20">
      <c r="Q1514" s="473">
        <v>6.01</v>
      </c>
      <c r="R1514" s="473">
        <v>1.2</v>
      </c>
      <c r="S1514" s="473">
        <v>0.06</v>
      </c>
      <c r="T1514" s="473">
        <v>4.5</v>
      </c>
    </row>
    <row r="1515" spans="17:20">
      <c r="Q1515" s="473">
        <v>6.01</v>
      </c>
      <c r="R1515" s="473">
        <v>1.2</v>
      </c>
      <c r="S1515" s="473">
        <v>0.08</v>
      </c>
      <c r="T1515" s="473">
        <v>4</v>
      </c>
    </row>
    <row r="1516" spans="17:20">
      <c r="Q1516" s="473">
        <v>6.01</v>
      </c>
      <c r="R1516" s="473">
        <v>1.2</v>
      </c>
      <c r="S1516" s="473">
        <v>0.1</v>
      </c>
      <c r="T1516" s="473">
        <v>3.5</v>
      </c>
    </row>
    <row r="1517" spans="17:20">
      <c r="Q1517" s="473">
        <v>6.01</v>
      </c>
      <c r="R1517" s="473">
        <v>1.2</v>
      </c>
      <c r="S1517" s="473">
        <v>0.15</v>
      </c>
      <c r="T1517" s="473">
        <v>3</v>
      </c>
    </row>
    <row r="1518" spans="17:20">
      <c r="Q1518" s="473">
        <v>6.01</v>
      </c>
      <c r="R1518" s="473">
        <v>1.2</v>
      </c>
      <c r="S1518" s="473">
        <v>0.2</v>
      </c>
      <c r="T1518" s="473">
        <v>3</v>
      </c>
    </row>
    <row r="1519" spans="17:20">
      <c r="Q1519" s="473">
        <v>6.01</v>
      </c>
      <c r="R1519" s="473">
        <v>1.2</v>
      </c>
      <c r="S1519" s="473">
        <v>0.25</v>
      </c>
      <c r="T1519" s="473">
        <v>3</v>
      </c>
    </row>
    <row r="1520" spans="17:20">
      <c r="Q1520" s="473">
        <v>6.01</v>
      </c>
      <c r="R1520" s="473">
        <v>1.2</v>
      </c>
      <c r="S1520" s="473">
        <v>1</v>
      </c>
      <c r="T1520" s="473">
        <v>3</v>
      </c>
    </row>
    <row r="1521" spans="17:20">
      <c r="Q1521" s="473">
        <v>6.01</v>
      </c>
      <c r="R1521" s="473">
        <v>1.2010000000000001</v>
      </c>
      <c r="S1521" s="473">
        <v>0</v>
      </c>
      <c r="T1521" s="473">
        <v>6</v>
      </c>
    </row>
    <row r="1522" spans="17:20">
      <c r="Q1522" s="473">
        <v>6.01</v>
      </c>
      <c r="R1522" s="473">
        <v>1.2010000000000001</v>
      </c>
      <c r="S1522" s="473">
        <v>0.02</v>
      </c>
      <c r="T1522" s="473">
        <v>6</v>
      </c>
    </row>
    <row r="1523" spans="17:20">
      <c r="Q1523" s="473">
        <v>6.01</v>
      </c>
      <c r="R1523" s="473">
        <v>1.2010000000000001</v>
      </c>
      <c r="S1523" s="473">
        <v>0.04</v>
      </c>
      <c r="T1523" s="473">
        <v>5.5</v>
      </c>
    </row>
    <row r="1524" spans="17:20">
      <c r="Q1524" s="473">
        <v>6.01</v>
      </c>
      <c r="R1524" s="473">
        <v>1.2010000000000001</v>
      </c>
      <c r="S1524" s="473">
        <v>0.05</v>
      </c>
      <c r="T1524" s="473">
        <v>5</v>
      </c>
    </row>
    <row r="1525" spans="17:20">
      <c r="Q1525" s="473">
        <v>6.01</v>
      </c>
      <c r="R1525" s="473">
        <v>1.2010000000000001</v>
      </c>
      <c r="S1525" s="473">
        <v>0.06</v>
      </c>
      <c r="T1525" s="473">
        <v>5</v>
      </c>
    </row>
    <row r="1526" spans="17:20">
      <c r="Q1526" s="473">
        <v>6.01</v>
      </c>
      <c r="R1526" s="473">
        <v>1.2010000000000001</v>
      </c>
      <c r="S1526" s="473">
        <v>0.08</v>
      </c>
      <c r="T1526" s="473">
        <v>4.5</v>
      </c>
    </row>
    <row r="1527" spans="17:20">
      <c r="Q1527" s="473">
        <v>6.01</v>
      </c>
      <c r="R1527" s="473">
        <v>1.2010000000000001</v>
      </c>
      <c r="S1527" s="473">
        <v>0.1</v>
      </c>
      <c r="T1527" s="473">
        <v>4</v>
      </c>
    </row>
    <row r="1528" spans="17:20">
      <c r="Q1528" s="473">
        <v>6.01</v>
      </c>
      <c r="R1528" s="473">
        <v>1.2010000000000001</v>
      </c>
      <c r="S1528" s="473">
        <v>0.15</v>
      </c>
      <c r="T1528" s="473">
        <v>3.5</v>
      </c>
    </row>
    <row r="1529" spans="17:20">
      <c r="Q1529" s="473">
        <v>6.01</v>
      </c>
      <c r="R1529" s="473">
        <v>1.2010000000000001</v>
      </c>
      <c r="S1529" s="473">
        <v>0.2</v>
      </c>
      <c r="T1529" s="473">
        <v>3.5</v>
      </c>
    </row>
    <row r="1530" spans="17:20">
      <c r="Q1530" s="473">
        <v>6.01</v>
      </c>
      <c r="R1530" s="473">
        <v>1.2010000000000001</v>
      </c>
      <c r="S1530" s="473">
        <v>0.25</v>
      </c>
      <c r="T1530" s="473">
        <v>3.5</v>
      </c>
    </row>
    <row r="1531" spans="17:20">
      <c r="Q1531" s="473">
        <v>6.01</v>
      </c>
      <c r="R1531" s="473">
        <v>1.2010000000000001</v>
      </c>
      <c r="S1531" s="473">
        <v>1</v>
      </c>
      <c r="T1531" s="473">
        <v>3.5</v>
      </c>
    </row>
    <row r="1532" spans="17:20">
      <c r="Q1532" s="473">
        <v>6.01</v>
      </c>
      <c r="R1532" s="473">
        <v>1.6</v>
      </c>
      <c r="S1532" s="473">
        <v>0</v>
      </c>
      <c r="T1532" s="473">
        <v>6</v>
      </c>
    </row>
    <row r="1533" spans="17:20">
      <c r="Q1533" s="473">
        <v>6.01</v>
      </c>
      <c r="R1533" s="473">
        <v>1.6</v>
      </c>
      <c r="S1533" s="473">
        <v>0.02</v>
      </c>
      <c r="T1533" s="473">
        <v>6</v>
      </c>
    </row>
    <row r="1534" spans="17:20">
      <c r="Q1534" s="473">
        <v>6.01</v>
      </c>
      <c r="R1534" s="473">
        <v>1.6</v>
      </c>
      <c r="S1534" s="473">
        <v>0.04</v>
      </c>
      <c r="T1534" s="473">
        <v>5.5</v>
      </c>
    </row>
    <row r="1535" spans="17:20">
      <c r="Q1535" s="473">
        <v>6.01</v>
      </c>
      <c r="R1535" s="473">
        <v>1.6</v>
      </c>
      <c r="S1535" s="473">
        <v>0.05</v>
      </c>
      <c r="T1535" s="473">
        <v>5</v>
      </c>
    </row>
    <row r="1536" spans="17:20">
      <c r="Q1536" s="473">
        <v>6.01</v>
      </c>
      <c r="R1536" s="473">
        <v>1.6</v>
      </c>
      <c r="S1536" s="473">
        <v>0.06</v>
      </c>
      <c r="T1536" s="473">
        <v>5</v>
      </c>
    </row>
    <row r="1537" spans="17:20">
      <c r="Q1537" s="473">
        <v>6.01</v>
      </c>
      <c r="R1537" s="473">
        <v>1.6</v>
      </c>
      <c r="S1537" s="473">
        <v>0.08</v>
      </c>
      <c r="T1537" s="473">
        <v>4.5</v>
      </c>
    </row>
    <row r="1538" spans="17:20">
      <c r="Q1538" s="473">
        <v>6.01</v>
      </c>
      <c r="R1538" s="473">
        <v>1.6</v>
      </c>
      <c r="S1538" s="473">
        <v>0.1</v>
      </c>
      <c r="T1538" s="473">
        <v>4</v>
      </c>
    </row>
    <row r="1539" spans="17:20">
      <c r="Q1539" s="473">
        <v>6.01</v>
      </c>
      <c r="R1539" s="473">
        <v>1.6</v>
      </c>
      <c r="S1539" s="473">
        <v>0.15</v>
      </c>
      <c r="T1539" s="473">
        <v>3.5</v>
      </c>
    </row>
    <row r="1540" spans="17:20">
      <c r="Q1540" s="473">
        <v>6.01</v>
      </c>
      <c r="R1540" s="473">
        <v>1.6</v>
      </c>
      <c r="S1540" s="473">
        <v>0.2</v>
      </c>
      <c r="T1540" s="473">
        <v>3.5</v>
      </c>
    </row>
    <row r="1541" spans="17:20">
      <c r="Q1541" s="473">
        <v>6.01</v>
      </c>
      <c r="R1541" s="473">
        <v>1.6</v>
      </c>
      <c r="S1541" s="473">
        <v>0.25</v>
      </c>
      <c r="T1541" s="473">
        <v>3.5</v>
      </c>
    </row>
    <row r="1542" spans="17:20">
      <c r="Q1542" s="473">
        <v>6.01</v>
      </c>
      <c r="R1542" s="473">
        <v>1.6</v>
      </c>
      <c r="S1542" s="473">
        <v>1</v>
      </c>
      <c r="T1542" s="473">
        <v>3.5</v>
      </c>
    </row>
    <row r="1543" spans="17:20">
      <c r="Q1543" s="473">
        <v>6.01</v>
      </c>
      <c r="R1543" s="473">
        <v>1.601</v>
      </c>
      <c r="S1543" s="473">
        <v>0</v>
      </c>
      <c r="T1543" s="473">
        <v>7</v>
      </c>
    </row>
    <row r="1544" spans="17:20">
      <c r="Q1544" s="473">
        <v>6.01</v>
      </c>
      <c r="R1544" s="473">
        <v>1.601</v>
      </c>
      <c r="S1544" s="473">
        <v>0.02</v>
      </c>
      <c r="T1544" s="473">
        <v>7</v>
      </c>
    </row>
    <row r="1545" spans="17:20">
      <c r="Q1545" s="473">
        <v>6.01</v>
      </c>
      <c r="R1545" s="473">
        <v>1.601</v>
      </c>
      <c r="S1545" s="473">
        <v>0.04</v>
      </c>
      <c r="T1545" s="473">
        <v>6</v>
      </c>
    </row>
    <row r="1546" spans="17:20">
      <c r="Q1546" s="473">
        <v>6.01</v>
      </c>
      <c r="R1546" s="473">
        <v>1.601</v>
      </c>
      <c r="S1546" s="473">
        <v>0.05</v>
      </c>
      <c r="T1546" s="473">
        <v>5.5</v>
      </c>
    </row>
    <row r="1547" spans="17:20">
      <c r="Q1547" s="473">
        <v>6.01</v>
      </c>
      <c r="R1547" s="473">
        <v>1.601</v>
      </c>
      <c r="S1547" s="473">
        <v>0.06</v>
      </c>
      <c r="T1547" s="473">
        <v>5.5</v>
      </c>
    </row>
    <row r="1548" spans="17:20">
      <c r="Q1548" s="473">
        <v>6.01</v>
      </c>
      <c r="R1548" s="473">
        <v>1.601</v>
      </c>
      <c r="S1548" s="473">
        <v>0.08</v>
      </c>
      <c r="T1548" s="473">
        <v>5</v>
      </c>
    </row>
    <row r="1549" spans="17:20">
      <c r="Q1549" s="473">
        <v>6.01</v>
      </c>
      <c r="R1549" s="473">
        <v>1.601</v>
      </c>
      <c r="S1549" s="473">
        <v>0.1</v>
      </c>
      <c r="T1549" s="473">
        <v>4.5</v>
      </c>
    </row>
    <row r="1550" spans="17:20">
      <c r="Q1550" s="473">
        <v>6.01</v>
      </c>
      <c r="R1550" s="473">
        <v>1.601</v>
      </c>
      <c r="S1550" s="473">
        <v>0.15</v>
      </c>
      <c r="T1550" s="473">
        <v>4</v>
      </c>
    </row>
    <row r="1551" spans="17:20">
      <c r="Q1551" s="473">
        <v>6.01</v>
      </c>
      <c r="R1551" s="473">
        <v>1.601</v>
      </c>
      <c r="S1551" s="473">
        <v>0.2</v>
      </c>
      <c r="T1551" s="473">
        <v>4</v>
      </c>
    </row>
    <row r="1552" spans="17:20">
      <c r="Q1552" s="473">
        <v>6.01</v>
      </c>
      <c r="R1552" s="473">
        <v>1.601</v>
      </c>
      <c r="S1552" s="473">
        <v>0.25</v>
      </c>
      <c r="T1552" s="473">
        <v>4</v>
      </c>
    </row>
    <row r="1553" spans="17:20">
      <c r="Q1553" s="473">
        <v>6.01</v>
      </c>
      <c r="R1553" s="473">
        <v>1.601</v>
      </c>
      <c r="S1553" s="473">
        <v>1</v>
      </c>
      <c r="T1553" s="473">
        <v>4</v>
      </c>
    </row>
    <row r="1554" spans="17:20">
      <c r="Q1554" s="473">
        <v>6.01</v>
      </c>
      <c r="R1554" s="473">
        <v>2.4</v>
      </c>
      <c r="S1554" s="473">
        <v>0</v>
      </c>
      <c r="T1554" s="473">
        <v>7</v>
      </c>
    </row>
    <row r="1555" spans="17:20">
      <c r="Q1555" s="473">
        <v>6.01</v>
      </c>
      <c r="R1555" s="473">
        <v>2.4</v>
      </c>
      <c r="S1555" s="473">
        <v>0.02</v>
      </c>
      <c r="T1555" s="473">
        <v>7</v>
      </c>
    </row>
    <row r="1556" spans="17:20">
      <c r="Q1556" s="473">
        <v>6.01</v>
      </c>
      <c r="R1556" s="473">
        <v>2.4</v>
      </c>
      <c r="S1556" s="473">
        <v>0.04</v>
      </c>
      <c r="T1556" s="473">
        <v>6</v>
      </c>
    </row>
    <row r="1557" spans="17:20">
      <c r="Q1557" s="473">
        <v>6.01</v>
      </c>
      <c r="R1557" s="473">
        <v>2.4</v>
      </c>
      <c r="S1557" s="473">
        <v>0.05</v>
      </c>
      <c r="T1557" s="473">
        <v>5.5</v>
      </c>
    </row>
    <row r="1558" spans="17:20">
      <c r="Q1558" s="473">
        <v>6.01</v>
      </c>
      <c r="R1558" s="473">
        <v>2.4</v>
      </c>
      <c r="S1558" s="473">
        <v>0.06</v>
      </c>
      <c r="T1558" s="473">
        <v>5.5</v>
      </c>
    </row>
    <row r="1559" spans="17:20">
      <c r="Q1559" s="473">
        <v>6.01</v>
      </c>
      <c r="R1559" s="473">
        <v>2.4</v>
      </c>
      <c r="S1559" s="473">
        <v>0.08</v>
      </c>
      <c r="T1559" s="473">
        <v>5</v>
      </c>
    </row>
    <row r="1560" spans="17:20">
      <c r="Q1560" s="473">
        <v>6.01</v>
      </c>
      <c r="R1560" s="473">
        <v>2.4</v>
      </c>
      <c r="S1560" s="473">
        <v>0.1</v>
      </c>
      <c r="T1560" s="473">
        <v>4.5</v>
      </c>
    </row>
    <row r="1561" spans="17:20">
      <c r="Q1561" s="473">
        <v>6.01</v>
      </c>
      <c r="R1561" s="473">
        <v>2.4</v>
      </c>
      <c r="S1561" s="473">
        <v>0.15</v>
      </c>
      <c r="T1561" s="473">
        <v>4</v>
      </c>
    </row>
    <row r="1562" spans="17:20">
      <c r="Q1562" s="473">
        <v>6.01</v>
      </c>
      <c r="R1562" s="473">
        <v>2.4</v>
      </c>
      <c r="S1562" s="473">
        <v>0.2</v>
      </c>
      <c r="T1562" s="473">
        <v>4</v>
      </c>
    </row>
    <row r="1563" spans="17:20">
      <c r="Q1563" s="473">
        <v>6.01</v>
      </c>
      <c r="R1563" s="473">
        <v>2.4</v>
      </c>
      <c r="S1563" s="473">
        <v>0.25</v>
      </c>
      <c r="T1563" s="473">
        <v>4</v>
      </c>
    </row>
    <row r="1564" spans="17:20">
      <c r="Q1564" s="473">
        <v>6.01</v>
      </c>
      <c r="R1564" s="473">
        <v>2.4</v>
      </c>
      <c r="S1564" s="473">
        <v>1</v>
      </c>
      <c r="T1564" s="473">
        <v>4</v>
      </c>
    </row>
    <row r="1565" spans="17:20">
      <c r="Q1565" s="473">
        <v>6</v>
      </c>
      <c r="R1565" s="473">
        <v>100</v>
      </c>
      <c r="S1565" s="473">
        <v>0</v>
      </c>
      <c r="T1565" s="473">
        <v>7</v>
      </c>
    </row>
    <row r="1566" spans="17:20">
      <c r="Q1566" s="473">
        <v>6</v>
      </c>
      <c r="R1566" s="473">
        <v>100</v>
      </c>
      <c r="S1566" s="473">
        <v>0.02</v>
      </c>
      <c r="T1566" s="473">
        <v>7</v>
      </c>
    </row>
    <row r="1567" spans="17:20">
      <c r="Q1567" s="473">
        <v>6</v>
      </c>
      <c r="R1567" s="473">
        <v>100</v>
      </c>
      <c r="S1567" s="473">
        <v>0.04</v>
      </c>
      <c r="T1567" s="473">
        <v>6</v>
      </c>
    </row>
    <row r="1568" spans="17:20">
      <c r="Q1568" s="473">
        <v>6</v>
      </c>
      <c r="R1568" s="473">
        <v>100</v>
      </c>
      <c r="S1568" s="473">
        <v>0.05</v>
      </c>
      <c r="T1568" s="473">
        <v>5.5</v>
      </c>
    </row>
    <row r="1569" spans="17:20">
      <c r="Q1569" s="473">
        <v>6</v>
      </c>
      <c r="R1569" s="473">
        <v>100</v>
      </c>
      <c r="S1569" s="473">
        <v>0.06</v>
      </c>
      <c r="T1569" s="473">
        <v>5.5</v>
      </c>
    </row>
    <row r="1570" spans="17:20">
      <c r="Q1570" s="473">
        <v>6</v>
      </c>
      <c r="R1570" s="473">
        <v>100</v>
      </c>
      <c r="S1570" s="473">
        <v>0.08</v>
      </c>
      <c r="T1570" s="473">
        <v>5</v>
      </c>
    </row>
    <row r="1571" spans="17:20">
      <c r="Q1571" s="473">
        <v>6</v>
      </c>
      <c r="R1571" s="473">
        <v>100</v>
      </c>
      <c r="S1571" s="473">
        <v>0.1</v>
      </c>
      <c r="T1571" s="473">
        <v>4.5</v>
      </c>
    </row>
    <row r="1572" spans="17:20">
      <c r="Q1572" s="473">
        <v>6</v>
      </c>
      <c r="R1572" s="473">
        <v>100</v>
      </c>
      <c r="S1572" s="473">
        <v>0.15</v>
      </c>
      <c r="T1572" s="473">
        <v>4</v>
      </c>
    </row>
    <row r="1573" spans="17:20">
      <c r="Q1573" s="473">
        <v>6</v>
      </c>
      <c r="R1573" s="473">
        <v>100</v>
      </c>
      <c r="S1573" s="473">
        <v>0.2</v>
      </c>
      <c r="T1573" s="473">
        <v>4</v>
      </c>
    </row>
    <row r="1574" spans="17:20">
      <c r="Q1574" s="473">
        <v>6</v>
      </c>
      <c r="R1574" s="473">
        <v>100</v>
      </c>
      <c r="S1574" s="473">
        <v>0.25</v>
      </c>
      <c r="T1574" s="473">
        <v>4</v>
      </c>
    </row>
    <row r="1575" spans="17:20">
      <c r="Q1575" s="473">
        <v>6</v>
      </c>
      <c r="R1575" s="473">
        <v>100</v>
      </c>
      <c r="S1575" s="473">
        <v>1</v>
      </c>
      <c r="T1575" s="473">
        <v>4</v>
      </c>
    </row>
    <row r="1576" spans="17:20">
      <c r="Q1576" s="473">
        <v>100</v>
      </c>
      <c r="R1576" s="473">
        <v>0</v>
      </c>
      <c r="S1576" s="473">
        <v>0</v>
      </c>
      <c r="T1576" s="473">
        <v>4</v>
      </c>
    </row>
    <row r="1577" spans="17:20">
      <c r="Q1577" s="473">
        <v>100</v>
      </c>
      <c r="R1577" s="473">
        <v>0</v>
      </c>
      <c r="S1577" s="473">
        <v>0.02</v>
      </c>
      <c r="T1577" s="473">
        <v>4</v>
      </c>
    </row>
    <row r="1578" spans="17:20">
      <c r="Q1578" s="473">
        <v>100</v>
      </c>
      <c r="R1578" s="473">
        <v>0</v>
      </c>
      <c r="S1578" s="473">
        <v>0.04</v>
      </c>
      <c r="T1578" s="473">
        <v>3</v>
      </c>
    </row>
    <row r="1579" spans="17:20">
      <c r="Q1579" s="473">
        <v>100</v>
      </c>
      <c r="R1579" s="473">
        <v>0</v>
      </c>
      <c r="S1579" s="473">
        <v>0.05</v>
      </c>
      <c r="T1579" s="473">
        <v>2.5</v>
      </c>
    </row>
    <row r="1580" spans="17:20">
      <c r="Q1580" s="473">
        <v>100</v>
      </c>
      <c r="R1580" s="473">
        <v>0</v>
      </c>
      <c r="S1580" s="473">
        <v>0.06</v>
      </c>
      <c r="T1580" s="473">
        <v>2.5</v>
      </c>
    </row>
    <row r="1581" spans="17:20">
      <c r="Q1581" s="473">
        <v>100</v>
      </c>
      <c r="R1581" s="473">
        <v>0</v>
      </c>
      <c r="S1581" s="473">
        <v>0.08</v>
      </c>
      <c r="T1581" s="473">
        <v>2.5</v>
      </c>
    </row>
    <row r="1582" spans="17:20">
      <c r="Q1582" s="473">
        <v>100</v>
      </c>
      <c r="R1582" s="473">
        <v>0</v>
      </c>
      <c r="S1582" s="473">
        <v>0.1</v>
      </c>
      <c r="T1582" s="473">
        <v>2.5</v>
      </c>
    </row>
    <row r="1583" spans="17:20">
      <c r="Q1583" s="473">
        <v>100</v>
      </c>
      <c r="R1583" s="473">
        <v>0</v>
      </c>
      <c r="S1583" s="473">
        <v>0.15</v>
      </c>
      <c r="T1583" s="473">
        <v>2</v>
      </c>
    </row>
    <row r="1584" spans="17:20">
      <c r="Q1584" s="473">
        <v>100</v>
      </c>
      <c r="R1584" s="473">
        <v>0</v>
      </c>
      <c r="S1584" s="473">
        <v>0.2</v>
      </c>
      <c r="T1584" s="473">
        <v>2</v>
      </c>
    </row>
    <row r="1585" spans="17:20">
      <c r="Q1585" s="473">
        <v>100</v>
      </c>
      <c r="R1585" s="473">
        <v>0</v>
      </c>
      <c r="S1585" s="473">
        <v>0.25</v>
      </c>
      <c r="T1585" s="473">
        <v>2</v>
      </c>
    </row>
    <row r="1586" spans="17:20">
      <c r="Q1586" s="473">
        <v>100</v>
      </c>
      <c r="R1586" s="473">
        <v>0</v>
      </c>
      <c r="S1586" s="473">
        <v>1</v>
      </c>
      <c r="T1586" s="473">
        <v>2</v>
      </c>
    </row>
    <row r="1587" spans="17:20">
      <c r="Q1587" s="473">
        <v>100</v>
      </c>
      <c r="R1587" s="473">
        <v>0.4</v>
      </c>
      <c r="S1587" s="473">
        <v>0</v>
      </c>
      <c r="T1587" s="473">
        <v>4</v>
      </c>
    </row>
    <row r="1588" spans="17:20">
      <c r="Q1588" s="473">
        <v>100</v>
      </c>
      <c r="R1588" s="473">
        <v>0.4</v>
      </c>
      <c r="S1588" s="473">
        <v>0.02</v>
      </c>
      <c r="T1588" s="473">
        <v>4</v>
      </c>
    </row>
    <row r="1589" spans="17:20">
      <c r="Q1589" s="473">
        <v>100</v>
      </c>
      <c r="R1589" s="473">
        <v>0.4</v>
      </c>
      <c r="S1589" s="473">
        <v>0.04</v>
      </c>
      <c r="T1589" s="473">
        <v>3</v>
      </c>
    </row>
    <row r="1590" spans="17:20">
      <c r="Q1590" s="473">
        <v>100</v>
      </c>
      <c r="R1590" s="473">
        <v>0.4</v>
      </c>
      <c r="S1590" s="473">
        <v>0.05</v>
      </c>
      <c r="T1590" s="473">
        <v>2.5</v>
      </c>
    </row>
    <row r="1591" spans="17:20">
      <c r="Q1591" s="473">
        <v>100</v>
      </c>
      <c r="R1591" s="473">
        <v>0.4</v>
      </c>
      <c r="S1591" s="473">
        <v>0.06</v>
      </c>
      <c r="T1591" s="473">
        <v>2.5</v>
      </c>
    </row>
    <row r="1592" spans="17:20">
      <c r="Q1592" s="473">
        <v>100</v>
      </c>
      <c r="R1592" s="473">
        <v>0.4</v>
      </c>
      <c r="S1592" s="473">
        <v>0.08</v>
      </c>
      <c r="T1592" s="473">
        <v>2.5</v>
      </c>
    </row>
    <row r="1593" spans="17:20">
      <c r="Q1593" s="473">
        <v>100</v>
      </c>
      <c r="R1593" s="473">
        <v>0.4</v>
      </c>
      <c r="S1593" s="473">
        <v>0.1</v>
      </c>
      <c r="T1593" s="473">
        <v>2.5</v>
      </c>
    </row>
    <row r="1594" spans="17:20">
      <c r="Q1594" s="473">
        <v>100</v>
      </c>
      <c r="R1594" s="473">
        <v>0.4</v>
      </c>
      <c r="S1594" s="473">
        <v>0.15</v>
      </c>
      <c r="T1594" s="473">
        <v>2</v>
      </c>
    </row>
    <row r="1595" spans="17:20">
      <c r="Q1595" s="473">
        <v>100</v>
      </c>
      <c r="R1595" s="473">
        <v>0.4</v>
      </c>
      <c r="S1595" s="473">
        <v>0.2</v>
      </c>
      <c r="T1595" s="473">
        <v>2</v>
      </c>
    </row>
    <row r="1596" spans="17:20">
      <c r="Q1596" s="473">
        <v>100</v>
      </c>
      <c r="R1596" s="473">
        <v>0.4</v>
      </c>
      <c r="S1596" s="473">
        <v>0.25</v>
      </c>
      <c r="T1596" s="473">
        <v>2</v>
      </c>
    </row>
    <row r="1597" spans="17:20">
      <c r="Q1597" s="473">
        <v>100</v>
      </c>
      <c r="R1597" s="473">
        <v>0.4</v>
      </c>
      <c r="S1597" s="473">
        <v>1</v>
      </c>
      <c r="T1597" s="473">
        <v>2</v>
      </c>
    </row>
    <row r="1598" spans="17:20">
      <c r="Q1598" s="473">
        <v>100</v>
      </c>
      <c r="R1598" s="473">
        <v>0.40100000000000002</v>
      </c>
      <c r="S1598" s="473">
        <v>0</v>
      </c>
      <c r="T1598" s="473">
        <v>4.5</v>
      </c>
    </row>
    <row r="1599" spans="17:20">
      <c r="Q1599" s="473">
        <v>100</v>
      </c>
      <c r="R1599" s="473">
        <v>0.40100000000000002</v>
      </c>
      <c r="S1599" s="473">
        <v>0.02</v>
      </c>
      <c r="T1599" s="473">
        <v>4.5</v>
      </c>
    </row>
    <row r="1600" spans="17:20">
      <c r="Q1600" s="473">
        <v>100</v>
      </c>
      <c r="R1600" s="473">
        <v>0.40100000000000002</v>
      </c>
      <c r="S1600" s="473">
        <v>0.04</v>
      </c>
      <c r="T1600" s="473">
        <v>4</v>
      </c>
    </row>
    <row r="1601" spans="17:20">
      <c r="Q1601" s="473">
        <v>100</v>
      </c>
      <c r="R1601" s="473">
        <v>0.40100000000000002</v>
      </c>
      <c r="S1601" s="473">
        <v>0.05</v>
      </c>
      <c r="T1601" s="473">
        <v>3.5</v>
      </c>
    </row>
    <row r="1602" spans="17:20">
      <c r="Q1602" s="473">
        <v>100</v>
      </c>
      <c r="R1602" s="473">
        <v>0.40100000000000002</v>
      </c>
      <c r="S1602" s="473">
        <v>0.06</v>
      </c>
      <c r="T1602" s="473">
        <v>3.5</v>
      </c>
    </row>
    <row r="1603" spans="17:20">
      <c r="Q1603" s="473">
        <v>100</v>
      </c>
      <c r="R1603" s="473">
        <v>0.40100000000000002</v>
      </c>
      <c r="S1603" s="473">
        <v>0.08</v>
      </c>
      <c r="T1603" s="473">
        <v>3.5</v>
      </c>
    </row>
    <row r="1604" spans="17:20">
      <c r="Q1604" s="473">
        <v>100</v>
      </c>
      <c r="R1604" s="473">
        <v>0.40100000000000002</v>
      </c>
      <c r="S1604" s="473">
        <v>0.1</v>
      </c>
      <c r="T1604" s="473">
        <v>3</v>
      </c>
    </row>
    <row r="1605" spans="17:20">
      <c r="Q1605" s="473">
        <v>100</v>
      </c>
      <c r="R1605" s="473">
        <v>0.40100000000000002</v>
      </c>
      <c r="S1605" s="473">
        <v>0.15</v>
      </c>
      <c r="T1605" s="473">
        <v>2.5</v>
      </c>
    </row>
    <row r="1606" spans="17:20">
      <c r="Q1606" s="473">
        <v>100</v>
      </c>
      <c r="R1606" s="473">
        <v>0.40100000000000002</v>
      </c>
      <c r="S1606" s="473">
        <v>0.2</v>
      </c>
      <c r="T1606" s="473">
        <v>2.5</v>
      </c>
    </row>
    <row r="1607" spans="17:20">
      <c r="Q1607" s="473">
        <v>100</v>
      </c>
      <c r="R1607" s="473">
        <v>0.40100000000000002</v>
      </c>
      <c r="S1607" s="473">
        <v>0.25</v>
      </c>
      <c r="T1607" s="473">
        <v>2.5</v>
      </c>
    </row>
    <row r="1608" spans="17:20">
      <c r="Q1608" s="473">
        <v>100</v>
      </c>
      <c r="R1608" s="473">
        <v>0.40100000000000002</v>
      </c>
      <c r="S1608" s="473">
        <v>1</v>
      </c>
      <c r="T1608" s="473">
        <v>2.5</v>
      </c>
    </row>
    <row r="1609" spans="17:20">
      <c r="Q1609" s="473">
        <v>100</v>
      </c>
      <c r="R1609" s="473">
        <v>0.5</v>
      </c>
      <c r="S1609" s="473">
        <v>0</v>
      </c>
      <c r="T1609" s="473">
        <v>4.5</v>
      </c>
    </row>
    <row r="1610" spans="17:20">
      <c r="Q1610" s="473">
        <v>100</v>
      </c>
      <c r="R1610" s="473">
        <v>0.5</v>
      </c>
      <c r="S1610" s="473">
        <v>0.02</v>
      </c>
      <c r="T1610" s="473">
        <v>4.5</v>
      </c>
    </row>
    <row r="1611" spans="17:20">
      <c r="Q1611" s="473">
        <v>100</v>
      </c>
      <c r="R1611" s="473">
        <v>0.5</v>
      </c>
      <c r="S1611" s="473">
        <v>0.04</v>
      </c>
      <c r="T1611" s="473">
        <v>4</v>
      </c>
    </row>
    <row r="1612" spans="17:20">
      <c r="Q1612" s="473">
        <v>100</v>
      </c>
      <c r="R1612" s="473">
        <v>0.5</v>
      </c>
      <c r="S1612" s="473">
        <v>0.05</v>
      </c>
      <c r="T1612" s="473">
        <v>3.5</v>
      </c>
    </row>
    <row r="1613" spans="17:20">
      <c r="Q1613" s="473">
        <v>100</v>
      </c>
      <c r="R1613" s="473">
        <v>0.5</v>
      </c>
      <c r="S1613" s="473">
        <v>0.06</v>
      </c>
      <c r="T1613" s="473">
        <v>3.5</v>
      </c>
    </row>
    <row r="1614" spans="17:20">
      <c r="Q1614" s="473">
        <v>100</v>
      </c>
      <c r="R1614" s="473">
        <v>0.5</v>
      </c>
      <c r="S1614" s="473">
        <v>0.08</v>
      </c>
      <c r="T1614" s="473">
        <v>3.5</v>
      </c>
    </row>
    <row r="1615" spans="17:20">
      <c r="Q1615" s="473">
        <v>100</v>
      </c>
      <c r="R1615" s="473">
        <v>0.5</v>
      </c>
      <c r="S1615" s="473">
        <v>0.1</v>
      </c>
      <c r="T1615" s="473">
        <v>3</v>
      </c>
    </row>
    <row r="1616" spans="17:20">
      <c r="Q1616" s="473">
        <v>100</v>
      </c>
      <c r="R1616" s="473">
        <v>0.5</v>
      </c>
      <c r="S1616" s="473">
        <v>0.15</v>
      </c>
      <c r="T1616" s="473">
        <v>2.5</v>
      </c>
    </row>
    <row r="1617" spans="17:20">
      <c r="Q1617" s="473">
        <v>100</v>
      </c>
      <c r="R1617" s="473">
        <v>0.5</v>
      </c>
      <c r="S1617" s="473">
        <v>0.2</v>
      </c>
      <c r="T1617" s="473">
        <v>2.5</v>
      </c>
    </row>
    <row r="1618" spans="17:20">
      <c r="Q1618" s="473">
        <v>100</v>
      </c>
      <c r="R1618" s="473">
        <v>0.5</v>
      </c>
      <c r="S1618" s="473">
        <v>0.25</v>
      </c>
      <c r="T1618" s="473">
        <v>2.5</v>
      </c>
    </row>
    <row r="1619" spans="17:20">
      <c r="Q1619" s="473">
        <v>100</v>
      </c>
      <c r="R1619" s="473">
        <v>0.5</v>
      </c>
      <c r="S1619" s="473">
        <v>1</v>
      </c>
      <c r="T1619" s="473">
        <v>2.5</v>
      </c>
    </row>
    <row r="1620" spans="17:20">
      <c r="Q1620" s="473">
        <v>100</v>
      </c>
      <c r="R1620" s="473">
        <v>0.501</v>
      </c>
      <c r="S1620" s="473">
        <v>0</v>
      </c>
      <c r="T1620" s="473">
        <v>5</v>
      </c>
    </row>
    <row r="1621" spans="17:20">
      <c r="Q1621" s="473">
        <v>100</v>
      </c>
      <c r="R1621" s="473">
        <v>0.501</v>
      </c>
      <c r="S1621" s="473">
        <v>0.02</v>
      </c>
      <c r="T1621" s="473">
        <v>5</v>
      </c>
    </row>
    <row r="1622" spans="17:20">
      <c r="Q1622" s="473">
        <v>100</v>
      </c>
      <c r="R1622" s="473">
        <v>0.501</v>
      </c>
      <c r="S1622" s="473">
        <v>0.04</v>
      </c>
      <c r="T1622" s="473">
        <v>4.5</v>
      </c>
    </row>
    <row r="1623" spans="17:20">
      <c r="Q1623" s="473">
        <v>100</v>
      </c>
      <c r="R1623" s="473">
        <v>0.501</v>
      </c>
      <c r="S1623" s="473">
        <v>0.05</v>
      </c>
      <c r="T1623" s="473">
        <v>4</v>
      </c>
    </row>
    <row r="1624" spans="17:20">
      <c r="Q1624" s="473">
        <v>100</v>
      </c>
      <c r="R1624" s="473">
        <v>0.501</v>
      </c>
      <c r="S1624" s="473">
        <v>0.06</v>
      </c>
      <c r="T1624" s="473">
        <v>4</v>
      </c>
    </row>
    <row r="1625" spans="17:20">
      <c r="Q1625" s="473">
        <v>100</v>
      </c>
      <c r="R1625" s="473">
        <v>0.501</v>
      </c>
      <c r="S1625" s="473">
        <v>0.08</v>
      </c>
      <c r="T1625" s="473">
        <v>3.5</v>
      </c>
    </row>
    <row r="1626" spans="17:20">
      <c r="Q1626" s="473">
        <v>100</v>
      </c>
      <c r="R1626" s="473">
        <v>0.501</v>
      </c>
      <c r="S1626" s="473">
        <v>0.1</v>
      </c>
      <c r="T1626" s="473">
        <v>3</v>
      </c>
    </row>
    <row r="1627" spans="17:20">
      <c r="Q1627" s="473">
        <v>100</v>
      </c>
      <c r="R1627" s="473">
        <v>0.501</v>
      </c>
      <c r="S1627" s="473">
        <v>0.15</v>
      </c>
      <c r="T1627" s="473">
        <v>2.5</v>
      </c>
    </row>
    <row r="1628" spans="17:20">
      <c r="Q1628" s="473">
        <v>100</v>
      </c>
      <c r="R1628" s="473">
        <v>0.501</v>
      </c>
      <c r="S1628" s="473">
        <v>0.2</v>
      </c>
      <c r="T1628" s="473">
        <v>2.5</v>
      </c>
    </row>
    <row r="1629" spans="17:20">
      <c r="Q1629" s="473">
        <v>100</v>
      </c>
      <c r="R1629" s="473">
        <v>0.501</v>
      </c>
      <c r="S1629" s="473">
        <v>0.25</v>
      </c>
      <c r="T1629" s="473">
        <v>2.5</v>
      </c>
    </row>
    <row r="1630" spans="17:20">
      <c r="Q1630" s="473">
        <v>100</v>
      </c>
      <c r="R1630" s="473">
        <v>0.501</v>
      </c>
      <c r="S1630" s="473">
        <v>1</v>
      </c>
      <c r="T1630" s="473">
        <v>2.5</v>
      </c>
    </row>
    <row r="1631" spans="17:20">
      <c r="Q1631" s="473">
        <v>100</v>
      </c>
      <c r="R1631" s="473">
        <v>0.8</v>
      </c>
      <c r="S1631" s="473">
        <v>0</v>
      </c>
      <c r="T1631" s="473">
        <v>5</v>
      </c>
    </row>
    <row r="1632" spans="17:20">
      <c r="Q1632" s="473">
        <v>100</v>
      </c>
      <c r="R1632" s="473">
        <v>0.8</v>
      </c>
      <c r="S1632" s="473">
        <v>0.02</v>
      </c>
      <c r="T1632" s="473">
        <v>5</v>
      </c>
    </row>
    <row r="1633" spans="17:20">
      <c r="Q1633" s="473">
        <v>100</v>
      </c>
      <c r="R1633" s="473">
        <v>0.8</v>
      </c>
      <c r="S1633" s="473">
        <v>0.04</v>
      </c>
      <c r="T1633" s="473">
        <v>4.5</v>
      </c>
    </row>
    <row r="1634" spans="17:20">
      <c r="Q1634" s="473">
        <v>100</v>
      </c>
      <c r="R1634" s="473">
        <v>0.8</v>
      </c>
      <c r="S1634" s="473">
        <v>0.05</v>
      </c>
      <c r="T1634" s="473">
        <v>4</v>
      </c>
    </row>
    <row r="1635" spans="17:20">
      <c r="Q1635" s="473">
        <v>100</v>
      </c>
      <c r="R1635" s="473">
        <v>0.8</v>
      </c>
      <c r="S1635" s="473">
        <v>0.06</v>
      </c>
      <c r="T1635" s="473">
        <v>4</v>
      </c>
    </row>
    <row r="1636" spans="17:20">
      <c r="Q1636" s="473">
        <v>100</v>
      </c>
      <c r="R1636" s="473">
        <v>0.8</v>
      </c>
      <c r="S1636" s="473">
        <v>0.08</v>
      </c>
      <c r="T1636" s="473">
        <v>3.5</v>
      </c>
    </row>
    <row r="1637" spans="17:20">
      <c r="Q1637" s="473">
        <v>100</v>
      </c>
      <c r="R1637" s="473">
        <v>0.8</v>
      </c>
      <c r="S1637" s="473">
        <v>0.1</v>
      </c>
      <c r="T1637" s="473">
        <v>3</v>
      </c>
    </row>
    <row r="1638" spans="17:20">
      <c r="Q1638" s="473">
        <v>100</v>
      </c>
      <c r="R1638" s="473">
        <v>0.8</v>
      </c>
      <c r="S1638" s="473">
        <v>0.15</v>
      </c>
      <c r="T1638" s="473">
        <v>2.5</v>
      </c>
    </row>
    <row r="1639" spans="17:20">
      <c r="Q1639" s="473">
        <v>100</v>
      </c>
      <c r="R1639" s="473">
        <v>0.8</v>
      </c>
      <c r="S1639" s="473">
        <v>0.2</v>
      </c>
      <c r="T1639" s="473">
        <v>2.5</v>
      </c>
    </row>
    <row r="1640" spans="17:20">
      <c r="Q1640" s="473">
        <v>100</v>
      </c>
      <c r="R1640" s="473">
        <v>0.8</v>
      </c>
      <c r="S1640" s="473">
        <v>0.25</v>
      </c>
      <c r="T1640" s="473">
        <v>2.5</v>
      </c>
    </row>
    <row r="1641" spans="17:20">
      <c r="Q1641" s="473">
        <v>100</v>
      </c>
      <c r="R1641" s="473">
        <v>0.8</v>
      </c>
      <c r="S1641" s="473">
        <v>1</v>
      </c>
      <c r="T1641" s="473">
        <v>2.5</v>
      </c>
    </row>
    <row r="1642" spans="17:20">
      <c r="Q1642" s="473">
        <v>100</v>
      </c>
      <c r="R1642" s="473">
        <v>0.80100000000000005</v>
      </c>
      <c r="S1642" s="473">
        <v>0</v>
      </c>
      <c r="T1642" s="473">
        <v>5.5</v>
      </c>
    </row>
    <row r="1643" spans="17:20">
      <c r="Q1643" s="473">
        <v>100</v>
      </c>
      <c r="R1643" s="473">
        <v>0.80100000000000005</v>
      </c>
      <c r="S1643" s="473">
        <v>0.02</v>
      </c>
      <c r="T1643" s="473">
        <v>5.5</v>
      </c>
    </row>
    <row r="1644" spans="17:20">
      <c r="Q1644" s="473">
        <v>100</v>
      </c>
      <c r="R1644" s="473">
        <v>0.80100000000000005</v>
      </c>
      <c r="S1644" s="473">
        <v>0.04</v>
      </c>
      <c r="T1644" s="473">
        <v>5</v>
      </c>
    </row>
    <row r="1645" spans="17:20">
      <c r="Q1645" s="473">
        <v>100</v>
      </c>
      <c r="R1645" s="473">
        <v>0.80100000000000005</v>
      </c>
      <c r="S1645" s="473">
        <v>0.05</v>
      </c>
      <c r="T1645" s="473">
        <v>4.5</v>
      </c>
    </row>
    <row r="1646" spans="17:20">
      <c r="Q1646" s="473">
        <v>100</v>
      </c>
      <c r="R1646" s="473">
        <v>0.80100000000000005</v>
      </c>
      <c r="S1646" s="473">
        <v>0.06</v>
      </c>
      <c r="T1646" s="473">
        <v>4.5</v>
      </c>
    </row>
    <row r="1647" spans="17:20">
      <c r="Q1647" s="473">
        <v>100</v>
      </c>
      <c r="R1647" s="473">
        <v>0.80100000000000005</v>
      </c>
      <c r="S1647" s="473">
        <v>0.08</v>
      </c>
      <c r="T1647" s="473">
        <v>4</v>
      </c>
    </row>
    <row r="1648" spans="17:20">
      <c r="Q1648" s="473">
        <v>100</v>
      </c>
      <c r="R1648" s="473">
        <v>0.80100000000000005</v>
      </c>
      <c r="S1648" s="473">
        <v>0.1</v>
      </c>
      <c r="T1648" s="473">
        <v>3.5</v>
      </c>
    </row>
    <row r="1649" spans="17:20">
      <c r="Q1649" s="473">
        <v>100</v>
      </c>
      <c r="R1649" s="473">
        <v>0.80100000000000005</v>
      </c>
      <c r="S1649" s="473">
        <v>0.15</v>
      </c>
      <c r="T1649" s="473">
        <v>3</v>
      </c>
    </row>
    <row r="1650" spans="17:20">
      <c r="Q1650" s="473">
        <v>100</v>
      </c>
      <c r="R1650" s="473">
        <v>0.80100000000000005</v>
      </c>
      <c r="S1650" s="473">
        <v>0.2</v>
      </c>
      <c r="T1650" s="473">
        <v>3</v>
      </c>
    </row>
    <row r="1651" spans="17:20">
      <c r="Q1651" s="473">
        <v>100</v>
      </c>
      <c r="R1651" s="473">
        <v>0.80100000000000005</v>
      </c>
      <c r="S1651" s="473">
        <v>0.25</v>
      </c>
      <c r="T1651" s="473">
        <v>3</v>
      </c>
    </row>
    <row r="1652" spans="17:20">
      <c r="Q1652" s="473">
        <v>100</v>
      </c>
      <c r="R1652" s="473">
        <v>0.80100000000000005</v>
      </c>
      <c r="S1652" s="473">
        <v>1</v>
      </c>
      <c r="T1652" s="473">
        <v>3</v>
      </c>
    </row>
    <row r="1653" spans="17:20">
      <c r="Q1653" s="473">
        <v>100</v>
      </c>
      <c r="R1653" s="473">
        <v>1.2</v>
      </c>
      <c r="S1653" s="473">
        <v>0</v>
      </c>
      <c r="T1653" s="473">
        <v>5.5</v>
      </c>
    </row>
    <row r="1654" spans="17:20">
      <c r="Q1654" s="473">
        <v>100</v>
      </c>
      <c r="R1654" s="473">
        <v>1.2</v>
      </c>
      <c r="S1654" s="473">
        <v>0.02</v>
      </c>
      <c r="T1654" s="473">
        <v>5.5</v>
      </c>
    </row>
    <row r="1655" spans="17:20">
      <c r="Q1655" s="473">
        <v>100</v>
      </c>
      <c r="R1655" s="473">
        <v>1.2</v>
      </c>
      <c r="S1655" s="473">
        <v>0.04</v>
      </c>
      <c r="T1655" s="473">
        <v>5</v>
      </c>
    </row>
    <row r="1656" spans="17:20">
      <c r="Q1656" s="473">
        <v>100</v>
      </c>
      <c r="R1656" s="473">
        <v>1.2</v>
      </c>
      <c r="S1656" s="473">
        <v>0.05</v>
      </c>
      <c r="T1656" s="473">
        <v>4.5</v>
      </c>
    </row>
    <row r="1657" spans="17:20">
      <c r="Q1657" s="473">
        <v>100</v>
      </c>
      <c r="R1657" s="473">
        <v>1.2</v>
      </c>
      <c r="S1657" s="473">
        <v>0.06</v>
      </c>
      <c r="T1657" s="473">
        <v>4.5</v>
      </c>
    </row>
    <row r="1658" spans="17:20">
      <c r="Q1658" s="473">
        <v>100</v>
      </c>
      <c r="R1658" s="473">
        <v>1.2</v>
      </c>
      <c r="S1658" s="473">
        <v>0.08</v>
      </c>
      <c r="T1658" s="473">
        <v>4</v>
      </c>
    </row>
    <row r="1659" spans="17:20">
      <c r="Q1659" s="473">
        <v>100</v>
      </c>
      <c r="R1659" s="473">
        <v>1.2</v>
      </c>
      <c r="S1659" s="473">
        <v>0.1</v>
      </c>
      <c r="T1659" s="473">
        <v>3.5</v>
      </c>
    </row>
    <row r="1660" spans="17:20">
      <c r="Q1660" s="473">
        <v>100</v>
      </c>
      <c r="R1660" s="473">
        <v>1.2</v>
      </c>
      <c r="S1660" s="473">
        <v>0.15</v>
      </c>
      <c r="T1660" s="473">
        <v>3</v>
      </c>
    </row>
    <row r="1661" spans="17:20">
      <c r="Q1661" s="473">
        <v>100</v>
      </c>
      <c r="R1661" s="473">
        <v>1.2</v>
      </c>
      <c r="S1661" s="473">
        <v>0.2</v>
      </c>
      <c r="T1661" s="473">
        <v>3</v>
      </c>
    </row>
    <row r="1662" spans="17:20">
      <c r="Q1662" s="473">
        <v>100</v>
      </c>
      <c r="R1662" s="473">
        <v>1.2</v>
      </c>
      <c r="S1662" s="473">
        <v>0.25</v>
      </c>
      <c r="T1662" s="473">
        <v>3</v>
      </c>
    </row>
    <row r="1663" spans="17:20">
      <c r="Q1663" s="473">
        <v>100</v>
      </c>
      <c r="R1663" s="473">
        <v>1.2</v>
      </c>
      <c r="S1663" s="473">
        <v>1</v>
      </c>
      <c r="T1663" s="473">
        <v>3</v>
      </c>
    </row>
    <row r="1664" spans="17:20">
      <c r="Q1664" s="473">
        <v>100</v>
      </c>
      <c r="R1664" s="473">
        <v>1.2010000000000001</v>
      </c>
      <c r="S1664" s="473">
        <v>0</v>
      </c>
      <c r="T1664" s="473">
        <v>6</v>
      </c>
    </row>
    <row r="1665" spans="17:20">
      <c r="Q1665" s="473">
        <v>100</v>
      </c>
      <c r="R1665" s="473">
        <v>1.2010000000000001</v>
      </c>
      <c r="S1665" s="473">
        <v>0.02</v>
      </c>
      <c r="T1665" s="473">
        <v>6</v>
      </c>
    </row>
    <row r="1666" spans="17:20">
      <c r="Q1666" s="473">
        <v>100</v>
      </c>
      <c r="R1666" s="473">
        <v>1.2010000000000001</v>
      </c>
      <c r="S1666" s="473">
        <v>0.04</v>
      </c>
      <c r="T1666" s="473">
        <v>5.5</v>
      </c>
    </row>
    <row r="1667" spans="17:20">
      <c r="Q1667" s="473">
        <v>100</v>
      </c>
      <c r="R1667" s="473">
        <v>1.2010000000000001</v>
      </c>
      <c r="S1667" s="473">
        <v>0.05</v>
      </c>
      <c r="T1667" s="473">
        <v>5</v>
      </c>
    </row>
    <row r="1668" spans="17:20">
      <c r="Q1668" s="473">
        <v>100</v>
      </c>
      <c r="R1668" s="473">
        <v>1.2010000000000001</v>
      </c>
      <c r="S1668" s="473">
        <v>0.06</v>
      </c>
      <c r="T1668" s="473">
        <v>5</v>
      </c>
    </row>
    <row r="1669" spans="17:20">
      <c r="Q1669" s="473">
        <v>100</v>
      </c>
      <c r="R1669" s="473">
        <v>1.2010000000000001</v>
      </c>
      <c r="S1669" s="473">
        <v>0.08</v>
      </c>
      <c r="T1669" s="473">
        <v>4.5</v>
      </c>
    </row>
    <row r="1670" spans="17:20">
      <c r="Q1670" s="473">
        <v>100</v>
      </c>
      <c r="R1670" s="473">
        <v>1.2010000000000001</v>
      </c>
      <c r="S1670" s="473">
        <v>0.1</v>
      </c>
      <c r="T1670" s="473">
        <v>4</v>
      </c>
    </row>
    <row r="1671" spans="17:20">
      <c r="Q1671" s="473">
        <v>100</v>
      </c>
      <c r="R1671" s="473">
        <v>1.2010000000000001</v>
      </c>
      <c r="S1671" s="473">
        <v>0.15</v>
      </c>
      <c r="T1671" s="473">
        <v>3.5</v>
      </c>
    </row>
    <row r="1672" spans="17:20">
      <c r="Q1672" s="473">
        <v>100</v>
      </c>
      <c r="R1672" s="473">
        <v>1.2010000000000001</v>
      </c>
      <c r="S1672" s="473">
        <v>0.2</v>
      </c>
      <c r="T1672" s="473">
        <v>3.5</v>
      </c>
    </row>
    <row r="1673" spans="17:20">
      <c r="Q1673" s="473">
        <v>100</v>
      </c>
      <c r="R1673" s="473">
        <v>1.2010000000000001</v>
      </c>
      <c r="S1673" s="473">
        <v>0.25</v>
      </c>
      <c r="T1673" s="473">
        <v>3.5</v>
      </c>
    </row>
    <row r="1674" spans="17:20">
      <c r="Q1674" s="473">
        <v>100</v>
      </c>
      <c r="R1674" s="473">
        <v>1.2010000000000001</v>
      </c>
      <c r="S1674" s="473">
        <v>1</v>
      </c>
      <c r="T1674" s="473">
        <v>3.5</v>
      </c>
    </row>
    <row r="1675" spans="17:20">
      <c r="Q1675" s="473">
        <v>100</v>
      </c>
      <c r="R1675" s="473">
        <v>1.6</v>
      </c>
      <c r="S1675" s="473">
        <v>0</v>
      </c>
      <c r="T1675" s="473">
        <v>6</v>
      </c>
    </row>
    <row r="1676" spans="17:20">
      <c r="Q1676" s="473">
        <v>100</v>
      </c>
      <c r="R1676" s="473">
        <v>1.6</v>
      </c>
      <c r="S1676" s="473">
        <v>0.02</v>
      </c>
      <c r="T1676" s="473">
        <v>6</v>
      </c>
    </row>
    <row r="1677" spans="17:20">
      <c r="Q1677" s="473">
        <v>100</v>
      </c>
      <c r="R1677" s="473">
        <v>1.6</v>
      </c>
      <c r="S1677" s="473">
        <v>0.04</v>
      </c>
      <c r="T1677" s="473">
        <v>5.5</v>
      </c>
    </row>
    <row r="1678" spans="17:20">
      <c r="Q1678" s="473">
        <v>100</v>
      </c>
      <c r="R1678" s="473">
        <v>1.6</v>
      </c>
      <c r="S1678" s="473">
        <v>0.05</v>
      </c>
      <c r="T1678" s="473">
        <v>5</v>
      </c>
    </row>
    <row r="1679" spans="17:20">
      <c r="Q1679" s="473">
        <v>100</v>
      </c>
      <c r="R1679" s="473">
        <v>1.6</v>
      </c>
      <c r="S1679" s="473">
        <v>0.06</v>
      </c>
      <c r="T1679" s="473">
        <v>5</v>
      </c>
    </row>
    <row r="1680" spans="17:20">
      <c r="Q1680" s="473">
        <v>100</v>
      </c>
      <c r="R1680" s="473">
        <v>1.6</v>
      </c>
      <c r="S1680" s="473">
        <v>0.08</v>
      </c>
      <c r="T1680" s="473">
        <v>4.5</v>
      </c>
    </row>
    <row r="1681" spans="17:20">
      <c r="Q1681" s="473">
        <v>100</v>
      </c>
      <c r="R1681" s="473">
        <v>1.6</v>
      </c>
      <c r="S1681" s="473">
        <v>0.1</v>
      </c>
      <c r="T1681" s="473">
        <v>4</v>
      </c>
    </row>
    <row r="1682" spans="17:20">
      <c r="Q1682" s="473">
        <v>100</v>
      </c>
      <c r="R1682" s="473">
        <v>1.6</v>
      </c>
      <c r="S1682" s="473">
        <v>0.15</v>
      </c>
      <c r="T1682" s="473">
        <v>3.5</v>
      </c>
    </row>
    <row r="1683" spans="17:20">
      <c r="Q1683" s="473">
        <v>100</v>
      </c>
      <c r="R1683" s="473">
        <v>1.6</v>
      </c>
      <c r="S1683" s="473">
        <v>0.2</v>
      </c>
      <c r="T1683" s="473">
        <v>3.5</v>
      </c>
    </row>
    <row r="1684" spans="17:20">
      <c r="Q1684" s="473">
        <v>100</v>
      </c>
      <c r="R1684" s="473">
        <v>1.6</v>
      </c>
      <c r="S1684" s="473">
        <v>0.25</v>
      </c>
      <c r="T1684" s="473">
        <v>3.5</v>
      </c>
    </row>
    <row r="1685" spans="17:20">
      <c r="Q1685" s="473">
        <v>100</v>
      </c>
      <c r="R1685" s="473">
        <v>1.6</v>
      </c>
      <c r="S1685" s="473">
        <v>1</v>
      </c>
      <c r="T1685" s="473">
        <v>3.5</v>
      </c>
    </row>
    <row r="1686" spans="17:20">
      <c r="Q1686" s="473">
        <v>100</v>
      </c>
      <c r="R1686" s="473">
        <v>1.601</v>
      </c>
      <c r="S1686" s="473">
        <v>0</v>
      </c>
      <c r="T1686" s="473">
        <v>7</v>
      </c>
    </row>
    <row r="1687" spans="17:20">
      <c r="Q1687" s="473">
        <v>100</v>
      </c>
      <c r="R1687" s="473">
        <v>1.601</v>
      </c>
      <c r="S1687" s="473">
        <v>0.02</v>
      </c>
      <c r="T1687" s="473">
        <v>7</v>
      </c>
    </row>
    <row r="1688" spans="17:20">
      <c r="Q1688" s="473">
        <v>100</v>
      </c>
      <c r="R1688" s="473">
        <v>1.601</v>
      </c>
      <c r="S1688" s="473">
        <v>0.04</v>
      </c>
      <c r="T1688" s="473">
        <v>6</v>
      </c>
    </row>
    <row r="1689" spans="17:20">
      <c r="Q1689" s="473">
        <v>100</v>
      </c>
      <c r="R1689" s="473">
        <v>1.601</v>
      </c>
      <c r="S1689" s="473">
        <v>0.05</v>
      </c>
      <c r="T1689" s="473">
        <v>5.5</v>
      </c>
    </row>
    <row r="1690" spans="17:20">
      <c r="Q1690" s="473">
        <v>100</v>
      </c>
      <c r="R1690" s="473">
        <v>1.601</v>
      </c>
      <c r="S1690" s="473">
        <v>0.06</v>
      </c>
      <c r="T1690" s="473">
        <v>5.5</v>
      </c>
    </row>
    <row r="1691" spans="17:20">
      <c r="Q1691" s="473">
        <v>100</v>
      </c>
      <c r="R1691" s="473">
        <v>1.601</v>
      </c>
      <c r="S1691" s="473">
        <v>0.08</v>
      </c>
      <c r="T1691" s="473">
        <v>5</v>
      </c>
    </row>
    <row r="1692" spans="17:20">
      <c r="Q1692" s="473">
        <v>100</v>
      </c>
      <c r="R1692" s="473">
        <v>1.601</v>
      </c>
      <c r="S1692" s="473">
        <v>0.1</v>
      </c>
      <c r="T1692" s="473">
        <v>4.5</v>
      </c>
    </row>
    <row r="1693" spans="17:20">
      <c r="Q1693" s="473">
        <v>100</v>
      </c>
      <c r="R1693" s="473">
        <v>1.601</v>
      </c>
      <c r="S1693" s="473">
        <v>0.15</v>
      </c>
      <c r="T1693" s="473">
        <v>4</v>
      </c>
    </row>
    <row r="1694" spans="17:20">
      <c r="Q1694" s="473">
        <v>100</v>
      </c>
      <c r="R1694" s="473">
        <v>1.601</v>
      </c>
      <c r="S1694" s="473">
        <v>0.2</v>
      </c>
      <c r="T1694" s="473">
        <v>4</v>
      </c>
    </row>
    <row r="1695" spans="17:20">
      <c r="Q1695" s="473">
        <v>100</v>
      </c>
      <c r="R1695" s="473">
        <v>1.601</v>
      </c>
      <c r="S1695" s="473">
        <v>0.25</v>
      </c>
      <c r="T1695" s="473">
        <v>4</v>
      </c>
    </row>
    <row r="1696" spans="17:20">
      <c r="Q1696" s="473">
        <v>100</v>
      </c>
      <c r="R1696" s="473">
        <v>1.601</v>
      </c>
      <c r="S1696" s="473">
        <v>1</v>
      </c>
      <c r="T1696" s="473">
        <v>4</v>
      </c>
    </row>
    <row r="1697" spans="17:20">
      <c r="Q1697" s="473">
        <v>100</v>
      </c>
      <c r="R1697" s="473">
        <v>2.4</v>
      </c>
      <c r="S1697" s="473">
        <v>0</v>
      </c>
      <c r="T1697" s="473">
        <v>7</v>
      </c>
    </row>
    <row r="1698" spans="17:20">
      <c r="Q1698" s="473">
        <v>100</v>
      </c>
      <c r="R1698" s="473">
        <v>2.4</v>
      </c>
      <c r="S1698" s="473">
        <v>0.02</v>
      </c>
      <c r="T1698" s="473">
        <v>7</v>
      </c>
    </row>
    <row r="1699" spans="17:20">
      <c r="Q1699" s="473">
        <v>100</v>
      </c>
      <c r="R1699" s="473">
        <v>2.4</v>
      </c>
      <c r="S1699" s="473">
        <v>0.04</v>
      </c>
      <c r="T1699" s="473">
        <v>6</v>
      </c>
    </row>
    <row r="1700" spans="17:20">
      <c r="Q1700" s="473">
        <v>100</v>
      </c>
      <c r="R1700" s="473">
        <v>2.4</v>
      </c>
      <c r="S1700" s="473">
        <v>0.05</v>
      </c>
      <c r="T1700" s="473">
        <v>5.5</v>
      </c>
    </row>
    <row r="1701" spans="17:20">
      <c r="Q1701" s="473">
        <v>100</v>
      </c>
      <c r="R1701" s="473">
        <v>2.4</v>
      </c>
      <c r="S1701" s="473">
        <v>0.06</v>
      </c>
      <c r="T1701" s="473">
        <v>5.5</v>
      </c>
    </row>
    <row r="1702" spans="17:20">
      <c r="Q1702" s="473">
        <v>100</v>
      </c>
      <c r="R1702" s="473">
        <v>2.4</v>
      </c>
      <c r="S1702" s="473">
        <v>0.08</v>
      </c>
      <c r="T1702" s="473">
        <v>5</v>
      </c>
    </row>
    <row r="1703" spans="17:20">
      <c r="Q1703" s="473">
        <v>100</v>
      </c>
      <c r="R1703" s="473">
        <v>2.4</v>
      </c>
      <c r="S1703" s="473">
        <v>0.1</v>
      </c>
      <c r="T1703" s="473">
        <v>4.5</v>
      </c>
    </row>
    <row r="1704" spans="17:20">
      <c r="Q1704" s="473">
        <v>100</v>
      </c>
      <c r="R1704" s="473">
        <v>2.4</v>
      </c>
      <c r="S1704" s="473">
        <v>0.15</v>
      </c>
      <c r="T1704" s="473">
        <v>4</v>
      </c>
    </row>
    <row r="1705" spans="17:20">
      <c r="Q1705" s="473">
        <v>100</v>
      </c>
      <c r="R1705" s="473">
        <v>2.4</v>
      </c>
      <c r="S1705" s="473">
        <v>0.2</v>
      </c>
      <c r="T1705" s="473">
        <v>4</v>
      </c>
    </row>
    <row r="1706" spans="17:20">
      <c r="Q1706" s="473">
        <v>100</v>
      </c>
      <c r="R1706" s="473">
        <v>2.4</v>
      </c>
      <c r="S1706" s="473">
        <v>0.25</v>
      </c>
      <c r="T1706" s="473">
        <v>4</v>
      </c>
    </row>
    <row r="1707" spans="17:20">
      <c r="Q1707" s="473">
        <v>100</v>
      </c>
      <c r="R1707" s="473">
        <v>2.4</v>
      </c>
      <c r="S1707" s="473">
        <v>1</v>
      </c>
      <c r="T1707" s="473">
        <v>4</v>
      </c>
    </row>
    <row r="1708" spans="17:20">
      <c r="Q1708" s="473">
        <v>100</v>
      </c>
      <c r="R1708" s="473">
        <v>100</v>
      </c>
      <c r="S1708" s="473">
        <v>0</v>
      </c>
      <c r="T1708" s="473">
        <v>7</v>
      </c>
    </row>
    <row r="1709" spans="17:20">
      <c r="Q1709" s="473">
        <v>100</v>
      </c>
      <c r="R1709" s="473">
        <v>100</v>
      </c>
      <c r="S1709" s="473">
        <v>0.02</v>
      </c>
      <c r="T1709" s="473">
        <v>7</v>
      </c>
    </row>
    <row r="1710" spans="17:20">
      <c r="Q1710" s="473">
        <v>100</v>
      </c>
      <c r="R1710" s="473">
        <v>100</v>
      </c>
      <c r="S1710" s="473">
        <v>0.04</v>
      </c>
      <c r="T1710" s="473">
        <v>6</v>
      </c>
    </row>
    <row r="1711" spans="17:20">
      <c r="Q1711" s="473">
        <v>100</v>
      </c>
      <c r="R1711" s="473">
        <v>100</v>
      </c>
      <c r="S1711" s="473">
        <v>0.05</v>
      </c>
      <c r="T1711" s="473">
        <v>5.5</v>
      </c>
    </row>
    <row r="1712" spans="17:20">
      <c r="Q1712" s="473">
        <v>100</v>
      </c>
      <c r="R1712" s="473">
        <v>100</v>
      </c>
      <c r="S1712" s="473">
        <v>0.06</v>
      </c>
      <c r="T1712" s="473">
        <v>5.5</v>
      </c>
    </row>
    <row r="1713" spans="17:20">
      <c r="Q1713" s="473">
        <v>100</v>
      </c>
      <c r="R1713" s="473">
        <v>100</v>
      </c>
      <c r="S1713" s="473">
        <v>0.08</v>
      </c>
      <c r="T1713" s="473">
        <v>5</v>
      </c>
    </row>
    <row r="1714" spans="17:20">
      <c r="Q1714" s="473">
        <v>100</v>
      </c>
      <c r="R1714" s="473">
        <v>100</v>
      </c>
      <c r="S1714" s="473">
        <v>0.1</v>
      </c>
      <c r="T1714" s="473">
        <v>4.5</v>
      </c>
    </row>
    <row r="1715" spans="17:20">
      <c r="Q1715" s="473">
        <v>100</v>
      </c>
      <c r="R1715" s="473">
        <v>100</v>
      </c>
      <c r="S1715" s="473">
        <v>0.15</v>
      </c>
      <c r="T1715" s="473">
        <v>4</v>
      </c>
    </row>
    <row r="1716" spans="17:20">
      <c r="Q1716" s="473">
        <v>100</v>
      </c>
      <c r="R1716" s="473">
        <v>100</v>
      </c>
      <c r="S1716" s="473">
        <v>0.2</v>
      </c>
      <c r="T1716" s="473">
        <v>4</v>
      </c>
    </row>
    <row r="1717" spans="17:20">
      <c r="Q1717" s="473">
        <v>100</v>
      </c>
      <c r="R1717" s="473">
        <v>100</v>
      </c>
      <c r="S1717" s="473">
        <v>0.25</v>
      </c>
      <c r="T1717" s="473">
        <v>4</v>
      </c>
    </row>
    <row r="1718" spans="17:20">
      <c r="Q1718" s="473">
        <v>100</v>
      </c>
      <c r="R1718" s="473">
        <v>100</v>
      </c>
      <c r="S1718" s="473">
        <v>1</v>
      </c>
      <c r="T1718" s="473">
        <v>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>
    <tabColor rgb="FF002060"/>
  </sheetPr>
  <dimension ref="A1:T1150"/>
  <sheetViews>
    <sheetView workbookViewId="0">
      <selection activeCell="H5" sqref="H5"/>
    </sheetView>
  </sheetViews>
  <sheetFormatPr defaultRowHeight="12.75"/>
  <cols>
    <col min="1" max="4" width="9.140625" style="443"/>
    <col min="5" max="6" width="5.140625" style="458" customWidth="1"/>
    <col min="7" max="7" width="6" style="458" customWidth="1"/>
    <col min="8" max="14" width="5.140625" style="458" customWidth="1"/>
    <col min="15" max="15" width="9.140625" style="443"/>
    <col min="16" max="16" width="9.140625" style="497"/>
    <col min="17" max="20" width="9.140625" style="473"/>
    <col min="21" max="16384" width="9.140625" style="497"/>
  </cols>
  <sheetData>
    <row r="1" spans="1:20" s="443" customFormat="1" ht="38.25">
      <c r="A1" s="495" t="s">
        <v>692</v>
      </c>
      <c r="E1" s="458"/>
      <c r="F1" s="458"/>
      <c r="G1" s="458"/>
      <c r="H1" s="458"/>
      <c r="I1" s="458"/>
      <c r="J1" s="458"/>
      <c r="K1" s="458"/>
      <c r="L1" s="458"/>
      <c r="M1" s="458"/>
      <c r="N1" s="458"/>
      <c r="Q1" s="496" t="s">
        <v>689</v>
      </c>
      <c r="R1" s="496" t="s">
        <v>524</v>
      </c>
      <c r="S1" s="496" t="s">
        <v>690</v>
      </c>
      <c r="T1" s="496" t="s">
        <v>534</v>
      </c>
    </row>
    <row r="2" spans="1:20" ht="15">
      <c r="B2" s="445" t="s">
        <v>421</v>
      </c>
      <c r="C2" s="445"/>
      <c r="D2" s="445"/>
      <c r="F2" s="446" t="s">
        <v>422</v>
      </c>
      <c r="G2" s="446" t="s">
        <v>423</v>
      </c>
      <c r="P2" s="447"/>
      <c r="Q2" s="447" t="s">
        <v>456</v>
      </c>
      <c r="R2" s="447" t="s">
        <v>457</v>
      </c>
      <c r="S2" s="447" t="s">
        <v>425</v>
      </c>
      <c r="T2" s="447" t="s">
        <v>460</v>
      </c>
    </row>
    <row r="3" spans="1:20" ht="15">
      <c r="B3" s="443" t="s">
        <v>426</v>
      </c>
      <c r="C3" s="448">
        <v>4</v>
      </c>
      <c r="D3" s="449" t="s">
        <v>427</v>
      </c>
      <c r="F3" s="446">
        <f>MIN(XX_value)</f>
        <v>0</v>
      </c>
      <c r="G3" s="446">
        <f>MAX(XX_value)</f>
        <v>100</v>
      </c>
      <c r="P3" s="447"/>
      <c r="Q3" s="450">
        <v>0</v>
      </c>
      <c r="R3" s="450">
        <v>0</v>
      </c>
      <c r="S3" s="450">
        <v>0</v>
      </c>
      <c r="T3" s="443">
        <v>1.2</v>
      </c>
    </row>
    <row r="4" spans="1:20" ht="15">
      <c r="B4" s="443" t="s">
        <v>430</v>
      </c>
      <c r="C4" s="448">
        <v>300</v>
      </c>
      <c r="D4" s="449" t="s">
        <v>427</v>
      </c>
      <c r="F4" s="446">
        <f>MIN(YY_value)</f>
        <v>0</v>
      </c>
      <c r="G4" s="446">
        <f>MAX(YY_value)</f>
        <v>100</v>
      </c>
      <c r="P4" s="447"/>
      <c r="Q4" s="450">
        <v>0</v>
      </c>
      <c r="R4" s="450">
        <v>0</v>
      </c>
      <c r="S4" s="450">
        <v>0.02</v>
      </c>
      <c r="T4" s="443">
        <v>1.2</v>
      </c>
    </row>
    <row r="5" spans="1:20" ht="15">
      <c r="B5" s="443" t="s">
        <v>390</v>
      </c>
      <c r="C5" s="448">
        <v>0.14508785881222142</v>
      </c>
      <c r="D5" s="449" t="s">
        <v>427</v>
      </c>
      <c r="F5" s="446">
        <f>MIN(ZZ_value)</f>
        <v>0</v>
      </c>
      <c r="G5" s="446">
        <f>MAX(ZZ_value)</f>
        <v>1</v>
      </c>
      <c r="P5" s="447"/>
      <c r="Q5" s="450">
        <v>0</v>
      </c>
      <c r="R5" s="450">
        <v>0</v>
      </c>
      <c r="S5" s="450">
        <v>0.04</v>
      </c>
      <c r="T5" s="443">
        <v>1.2</v>
      </c>
    </row>
    <row r="6" spans="1:20" ht="15">
      <c r="G6" s="446"/>
      <c r="P6" s="447"/>
      <c r="Q6" s="450">
        <v>0</v>
      </c>
      <c r="R6" s="450">
        <v>0</v>
      </c>
      <c r="S6" s="450">
        <v>0.05</v>
      </c>
      <c r="T6" s="443">
        <v>1.2</v>
      </c>
    </row>
    <row r="7" spans="1:20" ht="15">
      <c r="B7" s="445" t="s">
        <v>424</v>
      </c>
      <c r="C7" s="445"/>
      <c r="D7" s="445"/>
      <c r="P7" s="447"/>
      <c r="Q7" s="450">
        <v>0</v>
      </c>
      <c r="R7" s="450">
        <v>0</v>
      </c>
      <c r="S7" s="450">
        <v>0.06</v>
      </c>
      <c r="T7" s="443">
        <v>1.2</v>
      </c>
    </row>
    <row r="8" spans="1:20" ht="15">
      <c r="B8" s="443" t="s">
        <v>461</v>
      </c>
      <c r="C8" s="468">
        <f>SUMPRODUCT(D37:D44,D46:D53)</f>
        <v>3.6000000000001715</v>
      </c>
      <c r="D8" s="449" t="s">
        <v>427</v>
      </c>
      <c r="P8" s="447"/>
      <c r="Q8" s="450">
        <v>0</v>
      </c>
      <c r="R8" s="450">
        <v>0</v>
      </c>
      <c r="S8" s="450">
        <v>0.08</v>
      </c>
      <c r="T8" s="443">
        <v>1.2</v>
      </c>
    </row>
    <row r="9" spans="1:20" ht="15">
      <c r="P9" s="447"/>
      <c r="Q9" s="450">
        <v>0</v>
      </c>
      <c r="R9" s="450">
        <v>0</v>
      </c>
      <c r="S9" s="450">
        <v>0.1</v>
      </c>
      <c r="T9" s="443">
        <v>1.2</v>
      </c>
    </row>
    <row r="10" spans="1:20" ht="15">
      <c r="B10" s="445" t="s">
        <v>431</v>
      </c>
      <c r="C10" s="445"/>
      <c r="D10" s="445"/>
      <c r="F10" s="446"/>
      <c r="P10" s="447"/>
      <c r="Q10" s="450">
        <v>0</v>
      </c>
      <c r="R10" s="450">
        <v>0</v>
      </c>
      <c r="S10" s="450">
        <v>0.15</v>
      </c>
      <c r="T10" s="443">
        <v>1.2</v>
      </c>
    </row>
    <row r="11" spans="1:20" ht="15">
      <c r="B11" s="443" t="s">
        <v>433</v>
      </c>
      <c r="C11" s="450">
        <f>INDEX(XX_value,MATCH(XX,XX_value,1))</f>
        <v>4</v>
      </c>
      <c r="D11" s="449" t="s">
        <v>427</v>
      </c>
      <c r="F11" s="446"/>
      <c r="P11" s="447"/>
      <c r="Q11" s="450">
        <v>0</v>
      </c>
      <c r="R11" s="450">
        <v>0</v>
      </c>
      <c r="S11" s="450">
        <v>0.2</v>
      </c>
      <c r="T11" s="443">
        <v>1.2</v>
      </c>
    </row>
    <row r="12" spans="1:20" ht="15">
      <c r="B12" s="443" t="s">
        <v>434</v>
      </c>
      <c r="C12" s="450">
        <f>INDEX(XX_value,MATCH(XX,XX_value,1)+1)</f>
        <v>4.01</v>
      </c>
      <c r="D12" s="449" t="s">
        <v>427</v>
      </c>
      <c r="F12" s="446"/>
      <c r="P12" s="447"/>
      <c r="Q12" s="450">
        <v>0</v>
      </c>
      <c r="R12" s="450">
        <v>0</v>
      </c>
      <c r="S12" s="450">
        <v>0.25</v>
      </c>
      <c r="T12" s="443">
        <v>1.2</v>
      </c>
    </row>
    <row r="13" spans="1:20" ht="15">
      <c r="B13" s="443" t="s">
        <v>435</v>
      </c>
      <c r="C13" s="450">
        <f>INDEX(YY_value,MATCH(YY,YY_value,1))</f>
        <v>100</v>
      </c>
      <c r="D13" s="449" t="s">
        <v>427</v>
      </c>
      <c r="F13" s="446"/>
      <c r="P13" s="447"/>
      <c r="Q13" s="450">
        <v>0</v>
      </c>
      <c r="R13" s="450">
        <v>0</v>
      </c>
      <c r="S13" s="450">
        <v>1</v>
      </c>
      <c r="T13" s="443">
        <v>1.2</v>
      </c>
    </row>
    <row r="14" spans="1:20" ht="15">
      <c r="B14" s="443" t="s">
        <v>436</v>
      </c>
      <c r="C14" s="450">
        <f>INDEX(YY_value,MATCH(YY,YY_value,1)+1)</f>
        <v>0</v>
      </c>
      <c r="D14" s="449" t="s">
        <v>427</v>
      </c>
      <c r="F14" s="446"/>
      <c r="P14" s="447"/>
      <c r="Q14" s="450">
        <v>0</v>
      </c>
      <c r="R14" s="450">
        <v>0.4</v>
      </c>
      <c r="S14" s="450">
        <v>0</v>
      </c>
      <c r="T14" s="443">
        <v>1.2</v>
      </c>
    </row>
    <row r="15" spans="1:20" ht="15">
      <c r="B15" s="443" t="s">
        <v>462</v>
      </c>
      <c r="C15" s="450">
        <f>INDEX(ZZ_value,MATCH(ZZ,ZZ_value,1))</f>
        <v>0.1</v>
      </c>
      <c r="D15" s="449" t="s">
        <v>427</v>
      </c>
      <c r="P15" s="447"/>
      <c r="Q15" s="450">
        <v>0</v>
      </c>
      <c r="R15" s="450">
        <v>0.4</v>
      </c>
      <c r="S15" s="450">
        <v>0.02</v>
      </c>
      <c r="T15" s="443">
        <v>1.2</v>
      </c>
    </row>
    <row r="16" spans="1:20" ht="15">
      <c r="B16" s="443" t="s">
        <v>463</v>
      </c>
      <c r="C16" s="450">
        <f>INDEX(ZZ_value,MATCH(ZZ,ZZ_value,1)+1)</f>
        <v>0.15</v>
      </c>
      <c r="D16" s="449" t="s">
        <v>427</v>
      </c>
      <c r="F16" s="446" t="s">
        <v>432</v>
      </c>
      <c r="P16" s="447"/>
      <c r="Q16" s="450">
        <v>0</v>
      </c>
      <c r="R16" s="450">
        <v>0.4</v>
      </c>
      <c r="S16" s="450">
        <v>0.04</v>
      </c>
      <c r="T16" s="443">
        <v>1.2</v>
      </c>
    </row>
    <row r="17" spans="2:20" s="497" customFormat="1" ht="15">
      <c r="B17" s="443" t="s">
        <v>464</v>
      </c>
      <c r="C17" s="469">
        <f>INDEX(TT_value,F17,0)</f>
        <v>2</v>
      </c>
      <c r="D17" s="449" t="s">
        <v>427</v>
      </c>
      <c r="E17" s="458"/>
      <c r="F17" s="446">
        <f t="array" ref="F17">MATCH(1,(XX_value=xx_1)*(YY_value=yy_1)*(ZZ_value=zz_1),0)</f>
        <v>394</v>
      </c>
      <c r="G17" s="458"/>
      <c r="H17" s="458"/>
      <c r="I17" s="458"/>
      <c r="J17" s="458"/>
      <c r="K17" s="458"/>
      <c r="L17" s="458"/>
      <c r="M17" s="458"/>
      <c r="N17" s="458"/>
      <c r="O17" s="443"/>
      <c r="P17" s="447"/>
      <c r="Q17" s="450">
        <v>0</v>
      </c>
      <c r="R17" s="450">
        <v>0.4</v>
      </c>
      <c r="S17" s="450">
        <v>0.05</v>
      </c>
      <c r="T17" s="443">
        <v>1.2</v>
      </c>
    </row>
    <row r="18" spans="2:20" s="497" customFormat="1" ht="15">
      <c r="B18" s="443" t="s">
        <v>465</v>
      </c>
      <c r="C18" s="469">
        <f t="shared" ref="C18" si="0">INDEX(TT_value,F18,0)</f>
        <v>2.5</v>
      </c>
      <c r="D18" s="449" t="s">
        <v>427</v>
      </c>
      <c r="E18" s="458"/>
      <c r="F18" s="446">
        <f t="array" ref="F18">MATCH(1,(XX_value=xx_2)*(YY_value=yy_1)*(ZZ_value=zz_1),0)</f>
        <v>460</v>
      </c>
      <c r="G18" s="458"/>
      <c r="H18" s="458"/>
      <c r="I18" s="458"/>
      <c r="J18" s="458"/>
      <c r="K18" s="458"/>
      <c r="L18" s="458"/>
      <c r="M18" s="458"/>
      <c r="N18" s="458"/>
      <c r="O18" s="443"/>
      <c r="P18" s="447"/>
      <c r="Q18" s="450">
        <v>0</v>
      </c>
      <c r="R18" s="450">
        <v>0.4</v>
      </c>
      <c r="S18" s="450">
        <v>0.06</v>
      </c>
      <c r="T18" s="443">
        <v>1.2</v>
      </c>
    </row>
    <row r="19" spans="2:20" s="497" customFormat="1" ht="15">
      <c r="B19" s="443" t="s">
        <v>466</v>
      </c>
      <c r="C19" s="469">
        <f t="shared" ref="C19" si="1">INDEX(TT_value,F19,0)</f>
        <v>1.2</v>
      </c>
      <c r="D19" s="449" t="s">
        <v>427</v>
      </c>
      <c r="E19" s="458"/>
      <c r="F19" s="446">
        <f t="array" ref="F19">MATCH(1,(XX_value=xx_1)*(YY_value=yy_2)*(ZZ_value=zz_1),0)</f>
        <v>339</v>
      </c>
      <c r="G19" s="458"/>
      <c r="H19" s="458"/>
      <c r="I19" s="458"/>
      <c r="J19" s="458"/>
      <c r="K19" s="458"/>
      <c r="L19" s="458"/>
      <c r="M19" s="458"/>
      <c r="N19" s="458"/>
      <c r="O19" s="443"/>
      <c r="P19" s="447"/>
      <c r="Q19" s="450">
        <v>0</v>
      </c>
      <c r="R19" s="450">
        <v>0.4</v>
      </c>
      <c r="S19" s="450">
        <v>0.08</v>
      </c>
      <c r="T19" s="443">
        <v>1.2</v>
      </c>
    </row>
    <row r="20" spans="2:20" s="497" customFormat="1" ht="15">
      <c r="B20" s="443" t="s">
        <v>467</v>
      </c>
      <c r="C20" s="469">
        <f t="shared" ref="C20" si="2">INDEX(TT_value,F20,0)</f>
        <v>1.5</v>
      </c>
      <c r="D20" s="449" t="s">
        <v>427</v>
      </c>
      <c r="E20" s="458"/>
      <c r="F20" s="446">
        <f t="array" ref="F20">MATCH(1,(XX_value=xx_2)*(YY_value=yy_2)*(ZZ_value=zz_1),0)</f>
        <v>405</v>
      </c>
      <c r="G20" s="458"/>
      <c r="H20" s="458"/>
      <c r="I20" s="458"/>
      <c r="J20" s="458"/>
      <c r="K20" s="458"/>
      <c r="L20" s="458"/>
      <c r="M20" s="458"/>
      <c r="N20" s="458"/>
      <c r="O20" s="443"/>
      <c r="P20" s="447"/>
      <c r="Q20" s="450">
        <v>0</v>
      </c>
      <c r="R20" s="450">
        <v>0.4</v>
      </c>
      <c r="S20" s="450">
        <v>0.1</v>
      </c>
      <c r="T20" s="443">
        <v>1.2</v>
      </c>
    </row>
    <row r="21" spans="2:20" s="497" customFormat="1" ht="15">
      <c r="B21" s="443" t="s">
        <v>468</v>
      </c>
      <c r="C21" s="469">
        <f t="shared" ref="C21" si="3">INDEX(TT_value,F21,0)</f>
        <v>2</v>
      </c>
      <c r="D21" s="449" t="s">
        <v>427</v>
      </c>
      <c r="E21" s="458"/>
      <c r="F21" s="446">
        <f t="array" ref="F21">MATCH(1,(XX_value=xx_1)*(YY_value=yy_1)*(ZZ_value=zz_2),0)</f>
        <v>395</v>
      </c>
      <c r="G21" s="458"/>
      <c r="H21" s="458"/>
      <c r="I21" s="458"/>
      <c r="J21" s="458"/>
      <c r="K21" s="458"/>
      <c r="L21" s="458"/>
      <c r="M21" s="458"/>
      <c r="N21" s="458"/>
      <c r="O21" s="443"/>
      <c r="P21" s="447"/>
      <c r="Q21" s="450">
        <v>0</v>
      </c>
      <c r="R21" s="450">
        <v>0.4</v>
      </c>
      <c r="S21" s="450">
        <v>0.15</v>
      </c>
      <c r="T21" s="443">
        <v>1.2</v>
      </c>
    </row>
    <row r="22" spans="2:20" s="497" customFormat="1" ht="15">
      <c r="B22" s="443" t="s">
        <v>469</v>
      </c>
      <c r="C22" s="469">
        <f t="shared" ref="C22" si="4">INDEX(TT_value,F22,0)</f>
        <v>2.5</v>
      </c>
      <c r="D22" s="449" t="s">
        <v>427</v>
      </c>
      <c r="E22" s="458"/>
      <c r="F22" s="446">
        <f t="array" ref="F22">MATCH(1,(XX_value=xx_2)*(YY_value=yy_1)*(ZZ_value=zz_2),0)</f>
        <v>461</v>
      </c>
      <c r="G22" s="458"/>
      <c r="H22" s="458"/>
      <c r="I22" s="458"/>
      <c r="J22" s="458"/>
      <c r="K22" s="458"/>
      <c r="L22" s="458"/>
      <c r="M22" s="458"/>
      <c r="N22" s="458"/>
      <c r="O22" s="443"/>
      <c r="P22" s="447"/>
      <c r="Q22" s="450">
        <v>0</v>
      </c>
      <c r="R22" s="450">
        <v>0.4</v>
      </c>
      <c r="S22" s="450">
        <v>0.2</v>
      </c>
      <c r="T22" s="443">
        <v>1.2</v>
      </c>
    </row>
    <row r="23" spans="2:20" s="497" customFormat="1" ht="15">
      <c r="B23" s="443" t="s">
        <v>470</v>
      </c>
      <c r="C23" s="469">
        <f t="shared" ref="C23" si="5">INDEX(TT_value,F23,0)</f>
        <v>1.2</v>
      </c>
      <c r="D23" s="449" t="s">
        <v>427</v>
      </c>
      <c r="E23" s="458"/>
      <c r="F23" s="446">
        <f t="array" ref="F23">MATCH(1,(XX_value=xx_1)*(YY_value=yy_2)*(ZZ_value=zz_2),0)</f>
        <v>340</v>
      </c>
      <c r="G23" s="458"/>
      <c r="H23" s="458"/>
      <c r="I23" s="458"/>
      <c r="J23" s="458"/>
      <c r="K23" s="458"/>
      <c r="L23" s="458"/>
      <c r="M23" s="458"/>
      <c r="N23" s="458"/>
      <c r="O23" s="443"/>
      <c r="P23" s="447"/>
      <c r="Q23" s="450">
        <v>0</v>
      </c>
      <c r="R23" s="450">
        <v>0.4</v>
      </c>
      <c r="S23" s="450">
        <v>0.25</v>
      </c>
      <c r="T23" s="443">
        <v>1.2</v>
      </c>
    </row>
    <row r="24" spans="2:20" s="497" customFormat="1" ht="15">
      <c r="B24" s="443" t="s">
        <v>471</v>
      </c>
      <c r="C24" s="469">
        <f t="shared" ref="C24" si="6">INDEX(TT_value,F24,0)</f>
        <v>1.5</v>
      </c>
      <c r="D24" s="449" t="s">
        <v>427</v>
      </c>
      <c r="E24" s="458"/>
      <c r="F24" s="446">
        <f t="array" ref="F24">MATCH(1,(XX_value=xx_2)*(YY_value=yy_2)*(ZZ_value=zz_2),0)</f>
        <v>406</v>
      </c>
      <c r="G24" s="458"/>
      <c r="H24" s="458"/>
      <c r="I24" s="458"/>
      <c r="J24" s="458"/>
      <c r="K24" s="458"/>
      <c r="L24" s="458"/>
      <c r="M24" s="458"/>
      <c r="N24" s="458"/>
      <c r="O24" s="443"/>
      <c r="P24" s="447"/>
      <c r="Q24" s="450">
        <v>0</v>
      </c>
      <c r="R24" s="450">
        <v>0.4</v>
      </c>
      <c r="S24" s="450">
        <v>1</v>
      </c>
      <c r="T24" s="443">
        <v>1.2</v>
      </c>
    </row>
    <row r="25" spans="2:20" s="497" customFormat="1" ht="15">
      <c r="B25" s="443"/>
      <c r="C25" s="443"/>
      <c r="D25" s="449"/>
      <c r="E25" s="458"/>
      <c r="F25" s="458"/>
      <c r="G25" s="458"/>
      <c r="H25" s="458"/>
      <c r="I25" s="458"/>
      <c r="J25" s="458"/>
      <c r="K25" s="458"/>
      <c r="L25" s="458"/>
      <c r="M25" s="458"/>
      <c r="N25" s="458"/>
      <c r="O25" s="443"/>
      <c r="P25" s="447"/>
      <c r="Q25" s="450">
        <v>0</v>
      </c>
      <c r="R25" s="450">
        <v>0.40100000000000002</v>
      </c>
      <c r="S25" s="450">
        <v>0</v>
      </c>
      <c r="T25" s="443">
        <v>1.2</v>
      </c>
    </row>
    <row r="26" spans="2:20" s="497" customFormat="1" ht="15">
      <c r="B26" s="445" t="s">
        <v>441</v>
      </c>
      <c r="C26" s="445"/>
      <c r="D26" s="445"/>
      <c r="E26" s="445"/>
      <c r="F26" s="445"/>
      <c r="G26" s="445"/>
      <c r="H26" s="445"/>
      <c r="I26" s="445"/>
      <c r="J26" s="445"/>
      <c r="K26" s="445"/>
      <c r="L26" s="445"/>
      <c r="M26" s="445"/>
      <c r="N26" s="445"/>
      <c r="O26" s="443"/>
      <c r="P26" s="447"/>
      <c r="Q26" s="450">
        <v>0</v>
      </c>
      <c r="R26" s="450">
        <v>0.40100000000000002</v>
      </c>
      <c r="S26" s="450">
        <v>0.02</v>
      </c>
      <c r="T26" s="443">
        <v>1.2</v>
      </c>
    </row>
    <row r="27" spans="2:20" s="497" customFormat="1" ht="15">
      <c r="B27" s="443"/>
      <c r="C27" s="443"/>
      <c r="D27" s="443"/>
      <c r="E27" s="458"/>
      <c r="F27" s="458"/>
      <c r="G27" s="458"/>
      <c r="H27" s="458"/>
      <c r="I27" s="458"/>
      <c r="J27" s="458"/>
      <c r="K27" s="458"/>
      <c r="L27" s="458"/>
      <c r="M27" s="458"/>
      <c r="N27" s="458"/>
      <c r="O27" s="443"/>
      <c r="P27" s="447"/>
      <c r="Q27" s="450">
        <v>0</v>
      </c>
      <c r="R27" s="450">
        <v>0.40100000000000002</v>
      </c>
      <c r="S27" s="450">
        <v>0.04</v>
      </c>
      <c r="T27" s="443">
        <v>1.2</v>
      </c>
    </row>
    <row r="28" spans="2:20" s="497" customFormat="1" ht="15">
      <c r="B28" s="453" t="s">
        <v>442</v>
      </c>
      <c r="C28" s="443"/>
      <c r="D28" s="443"/>
      <c r="E28" s="453">
        <v>1</v>
      </c>
      <c r="F28" s="458">
        <f>xx_1</f>
        <v>4</v>
      </c>
      <c r="G28" s="458">
        <f>yy_1</f>
        <v>100</v>
      </c>
      <c r="H28" s="458">
        <f>zz_1</f>
        <v>0.1</v>
      </c>
      <c r="I28" s="458">
        <f>F28*G28</f>
        <v>400</v>
      </c>
      <c r="J28" s="458">
        <f>F28*H28</f>
        <v>0.4</v>
      </c>
      <c r="K28" s="458">
        <f>G28*H28</f>
        <v>10</v>
      </c>
      <c r="L28" s="470">
        <f>F28*G28*H28</f>
        <v>40</v>
      </c>
      <c r="M28" s="471" t="s">
        <v>443</v>
      </c>
      <c r="N28" s="472">
        <f t="shared" ref="N28" si="7">f_111</f>
        <v>2</v>
      </c>
      <c r="O28" s="443"/>
      <c r="P28" s="447"/>
      <c r="Q28" s="450">
        <v>0</v>
      </c>
      <c r="R28" s="450">
        <v>0.40100000000000002</v>
      </c>
      <c r="S28" s="450">
        <v>0.05</v>
      </c>
      <c r="T28" s="443">
        <v>1.2</v>
      </c>
    </row>
    <row r="29" spans="2:20" s="497" customFormat="1" ht="15">
      <c r="B29" s="453" t="s">
        <v>444</v>
      </c>
      <c r="C29" s="443"/>
      <c r="D29" s="443"/>
      <c r="E29" s="453">
        <v>1</v>
      </c>
      <c r="F29" s="458">
        <f>xx_2</f>
        <v>4.01</v>
      </c>
      <c r="G29" s="458">
        <f>yy_1</f>
        <v>100</v>
      </c>
      <c r="H29" s="458">
        <f>zz_1</f>
        <v>0.1</v>
      </c>
      <c r="I29" s="458">
        <f t="shared" ref="I29:I35" si="8">F29*G29</f>
        <v>401</v>
      </c>
      <c r="J29" s="458">
        <f t="shared" ref="J29:J35" si="9">F29*H29</f>
        <v>0.40100000000000002</v>
      </c>
      <c r="K29" s="458">
        <f t="shared" ref="K29:K35" si="10">G29*H29</f>
        <v>10</v>
      </c>
      <c r="L29" s="470">
        <f t="shared" ref="L29:L35" si="11">F29*G29*H29</f>
        <v>40.1</v>
      </c>
      <c r="M29" s="458"/>
      <c r="N29" s="472">
        <f>f_211</f>
        <v>2.5</v>
      </c>
      <c r="O29" s="443"/>
      <c r="P29" s="447"/>
      <c r="Q29" s="450">
        <v>0</v>
      </c>
      <c r="R29" s="450">
        <v>0.40100000000000002</v>
      </c>
      <c r="S29" s="450">
        <v>0.06</v>
      </c>
      <c r="T29" s="443">
        <v>1.2</v>
      </c>
    </row>
    <row r="30" spans="2:20" s="497" customFormat="1" ht="15">
      <c r="B30" s="453" t="s">
        <v>445</v>
      </c>
      <c r="C30" s="443"/>
      <c r="D30" s="443"/>
      <c r="E30" s="453">
        <v>1</v>
      </c>
      <c r="F30" s="458">
        <f>xx_1</f>
        <v>4</v>
      </c>
      <c r="G30" s="458">
        <f>yy_2</f>
        <v>0</v>
      </c>
      <c r="H30" s="458">
        <f>zz_1</f>
        <v>0.1</v>
      </c>
      <c r="I30" s="458">
        <f t="shared" si="8"/>
        <v>0</v>
      </c>
      <c r="J30" s="458">
        <f t="shared" si="9"/>
        <v>0.4</v>
      </c>
      <c r="K30" s="458">
        <f t="shared" si="10"/>
        <v>0</v>
      </c>
      <c r="L30" s="470">
        <f t="shared" si="11"/>
        <v>0</v>
      </c>
      <c r="M30" s="458"/>
      <c r="N30" s="472">
        <f>f_121</f>
        <v>1.2</v>
      </c>
      <c r="O30" s="443"/>
      <c r="P30" s="447"/>
      <c r="Q30" s="450">
        <v>0</v>
      </c>
      <c r="R30" s="450">
        <v>0.40100000000000002</v>
      </c>
      <c r="S30" s="450">
        <v>0.08</v>
      </c>
      <c r="T30" s="443">
        <v>1.2</v>
      </c>
    </row>
    <row r="31" spans="2:20" s="497" customFormat="1" ht="15">
      <c r="B31" s="453" t="s">
        <v>448</v>
      </c>
      <c r="C31" s="443" t="s">
        <v>446</v>
      </c>
      <c r="D31" s="443"/>
      <c r="E31" s="453">
        <v>1</v>
      </c>
      <c r="F31" s="458">
        <f>xx_2</f>
        <v>4.01</v>
      </c>
      <c r="G31" s="458">
        <f>yy_2</f>
        <v>0</v>
      </c>
      <c r="H31" s="458">
        <f>zz_1</f>
        <v>0.1</v>
      </c>
      <c r="I31" s="458">
        <f t="shared" si="8"/>
        <v>0</v>
      </c>
      <c r="J31" s="458">
        <f t="shared" si="9"/>
        <v>0.40100000000000002</v>
      </c>
      <c r="K31" s="458">
        <f t="shared" si="10"/>
        <v>0</v>
      </c>
      <c r="L31" s="470">
        <f t="shared" si="11"/>
        <v>0</v>
      </c>
      <c r="M31" s="458" t="s">
        <v>447</v>
      </c>
      <c r="N31" s="472">
        <f>f_221</f>
        <v>1.5</v>
      </c>
      <c r="O31" s="443"/>
      <c r="P31" s="447"/>
      <c r="Q31" s="450">
        <v>0</v>
      </c>
      <c r="R31" s="450">
        <v>0.40100000000000002</v>
      </c>
      <c r="S31" s="450">
        <v>0.1</v>
      </c>
      <c r="T31" s="443">
        <v>1.2</v>
      </c>
    </row>
    <row r="32" spans="2:20" s="497" customFormat="1" ht="15">
      <c r="B32" s="453" t="s">
        <v>472</v>
      </c>
      <c r="C32" s="443"/>
      <c r="D32" s="443"/>
      <c r="E32" s="453">
        <v>1</v>
      </c>
      <c r="F32" s="458">
        <f>xx_1</f>
        <v>4</v>
      </c>
      <c r="G32" s="458">
        <f>yy_1</f>
        <v>100</v>
      </c>
      <c r="H32" s="458">
        <f>zz_2</f>
        <v>0.15</v>
      </c>
      <c r="I32" s="458">
        <f t="shared" si="8"/>
        <v>400</v>
      </c>
      <c r="J32" s="458">
        <f t="shared" si="9"/>
        <v>0.6</v>
      </c>
      <c r="K32" s="458">
        <f t="shared" si="10"/>
        <v>15</v>
      </c>
      <c r="L32" s="470">
        <f t="shared" si="11"/>
        <v>60</v>
      </c>
      <c r="M32" s="458"/>
      <c r="N32" s="472">
        <f>f_112</f>
        <v>2</v>
      </c>
      <c r="O32" s="443"/>
      <c r="P32" s="447"/>
      <c r="Q32" s="450">
        <v>0</v>
      </c>
      <c r="R32" s="450">
        <v>0.40100000000000002</v>
      </c>
      <c r="S32" s="450">
        <v>0.15</v>
      </c>
      <c r="T32" s="443">
        <v>1.2</v>
      </c>
    </row>
    <row r="33" spans="2:20" s="497" customFormat="1" ht="15">
      <c r="B33" s="453" t="s">
        <v>473</v>
      </c>
      <c r="C33" s="443"/>
      <c r="D33" s="443"/>
      <c r="E33" s="453">
        <v>1</v>
      </c>
      <c r="F33" s="458">
        <f>xx_2</f>
        <v>4.01</v>
      </c>
      <c r="G33" s="458">
        <f>yy_1</f>
        <v>100</v>
      </c>
      <c r="H33" s="458">
        <f>zz_2</f>
        <v>0.15</v>
      </c>
      <c r="I33" s="458">
        <f t="shared" si="8"/>
        <v>401</v>
      </c>
      <c r="J33" s="458">
        <f t="shared" si="9"/>
        <v>0.60149999999999992</v>
      </c>
      <c r="K33" s="458">
        <f t="shared" si="10"/>
        <v>15</v>
      </c>
      <c r="L33" s="470">
        <f t="shared" si="11"/>
        <v>60.15</v>
      </c>
      <c r="M33" s="458"/>
      <c r="N33" s="472">
        <f>f_212</f>
        <v>2.5</v>
      </c>
      <c r="O33" s="443"/>
      <c r="P33" s="447"/>
      <c r="Q33" s="450">
        <v>0</v>
      </c>
      <c r="R33" s="450">
        <v>0.40100000000000002</v>
      </c>
      <c r="S33" s="450">
        <v>0.2</v>
      </c>
      <c r="T33" s="443">
        <v>1.2</v>
      </c>
    </row>
    <row r="34" spans="2:20" s="497" customFormat="1" ht="15">
      <c r="B34" s="453" t="s">
        <v>474</v>
      </c>
      <c r="C34" s="443"/>
      <c r="D34" s="443"/>
      <c r="E34" s="453">
        <v>1</v>
      </c>
      <c r="F34" s="458">
        <f>xx_1</f>
        <v>4</v>
      </c>
      <c r="G34" s="458">
        <f>yy_2</f>
        <v>0</v>
      </c>
      <c r="H34" s="458">
        <f>zz_2</f>
        <v>0.15</v>
      </c>
      <c r="I34" s="458">
        <f t="shared" si="8"/>
        <v>0</v>
      </c>
      <c r="J34" s="458">
        <f t="shared" si="9"/>
        <v>0.6</v>
      </c>
      <c r="K34" s="458">
        <f t="shared" si="10"/>
        <v>0</v>
      </c>
      <c r="L34" s="470">
        <f t="shared" si="11"/>
        <v>0</v>
      </c>
      <c r="M34" s="458"/>
      <c r="N34" s="472">
        <f>f_122</f>
        <v>1.2</v>
      </c>
      <c r="O34" s="443"/>
      <c r="P34" s="447"/>
      <c r="Q34" s="450">
        <v>0</v>
      </c>
      <c r="R34" s="450">
        <v>0.40100000000000002</v>
      </c>
      <c r="S34" s="450">
        <v>0.25</v>
      </c>
      <c r="T34" s="443">
        <v>1.2</v>
      </c>
    </row>
    <row r="35" spans="2:20" s="497" customFormat="1" ht="15">
      <c r="B35" s="453" t="s">
        <v>475</v>
      </c>
      <c r="C35" s="443"/>
      <c r="D35" s="443"/>
      <c r="E35" s="453">
        <v>1</v>
      </c>
      <c r="F35" s="458">
        <f>xx_2</f>
        <v>4.01</v>
      </c>
      <c r="G35" s="458">
        <f>yy_2</f>
        <v>0</v>
      </c>
      <c r="H35" s="458">
        <f>zz_2</f>
        <v>0.15</v>
      </c>
      <c r="I35" s="458">
        <f t="shared" si="8"/>
        <v>0</v>
      </c>
      <c r="J35" s="458">
        <f t="shared" si="9"/>
        <v>0.60149999999999992</v>
      </c>
      <c r="K35" s="458">
        <f t="shared" si="10"/>
        <v>0</v>
      </c>
      <c r="L35" s="470">
        <f t="shared" si="11"/>
        <v>0</v>
      </c>
      <c r="M35" s="458"/>
      <c r="N35" s="472">
        <f>f_222</f>
        <v>1.5</v>
      </c>
      <c r="O35" s="443"/>
      <c r="P35" s="447"/>
      <c r="Q35" s="450">
        <v>0</v>
      </c>
      <c r="R35" s="450">
        <v>0.40100000000000002</v>
      </c>
      <c r="S35" s="450">
        <v>1</v>
      </c>
      <c r="T35" s="443">
        <v>1.2</v>
      </c>
    </row>
    <row r="36" spans="2:20" s="497" customFormat="1" ht="15">
      <c r="B36" s="443"/>
      <c r="C36" s="443"/>
      <c r="D36" s="443"/>
      <c r="E36" s="458"/>
      <c r="F36" s="458"/>
      <c r="G36" s="458"/>
      <c r="H36" s="458"/>
      <c r="I36" s="458"/>
      <c r="J36" s="458"/>
      <c r="K36" s="458"/>
      <c r="L36" s="458"/>
      <c r="M36" s="458"/>
      <c r="N36" s="458"/>
      <c r="O36" s="443"/>
      <c r="P36" s="447"/>
      <c r="Q36" s="450">
        <v>0</v>
      </c>
      <c r="R36" s="450">
        <v>0.8</v>
      </c>
      <c r="S36" s="450">
        <v>0</v>
      </c>
      <c r="T36" s="443">
        <v>1.2</v>
      </c>
    </row>
    <row r="37" spans="2:20" s="497" customFormat="1" ht="15">
      <c r="B37" s="453" t="s">
        <v>442</v>
      </c>
      <c r="C37" s="443"/>
      <c r="D37" s="453">
        <f t="array" ref="D37:D44">MMULT(MINVERSE(E28:L35),N28:N35)</f>
        <v>-118.80000000000223</v>
      </c>
      <c r="E37" s="458"/>
      <c r="F37" s="458"/>
      <c r="G37" s="458"/>
      <c r="H37" s="458"/>
      <c r="I37" s="458"/>
      <c r="J37" s="458"/>
      <c r="K37" s="458"/>
      <c r="L37" s="458"/>
      <c r="M37" s="458"/>
      <c r="N37" s="458"/>
      <c r="O37" s="443"/>
      <c r="P37" s="447"/>
      <c r="Q37" s="450">
        <v>0</v>
      </c>
      <c r="R37" s="450">
        <v>0.8</v>
      </c>
      <c r="S37" s="450">
        <v>0.02</v>
      </c>
      <c r="T37" s="443">
        <v>1.2</v>
      </c>
    </row>
    <row r="38" spans="2:20" s="497" customFormat="1" ht="15">
      <c r="B38" s="453" t="s">
        <v>444</v>
      </c>
      <c r="C38" s="443"/>
      <c r="D38" s="453">
        <v>30.000000000000682</v>
      </c>
      <c r="E38" s="458"/>
      <c r="F38" s="458"/>
      <c r="G38" s="458"/>
      <c r="H38" s="458"/>
      <c r="I38" s="458"/>
      <c r="J38" s="458"/>
      <c r="K38" s="458"/>
      <c r="L38" s="458"/>
      <c r="M38" s="458"/>
      <c r="N38" s="458"/>
      <c r="O38" s="443"/>
      <c r="P38" s="447"/>
      <c r="Q38" s="450">
        <v>0</v>
      </c>
      <c r="R38" s="450">
        <v>0.8</v>
      </c>
      <c r="S38" s="450">
        <v>0.04</v>
      </c>
      <c r="T38" s="443">
        <v>1.2</v>
      </c>
    </row>
    <row r="39" spans="2:20" s="497" customFormat="1" ht="15">
      <c r="B39" s="453" t="s">
        <v>445</v>
      </c>
      <c r="C39" s="443"/>
      <c r="D39" s="453">
        <v>-0.79199999999999804</v>
      </c>
      <c r="E39" s="458"/>
      <c r="F39" s="458"/>
      <c r="G39" s="458"/>
      <c r="H39" s="458"/>
      <c r="I39" s="458"/>
      <c r="J39" s="458"/>
      <c r="K39" s="458"/>
      <c r="L39" s="458"/>
      <c r="M39" s="458"/>
      <c r="N39" s="458"/>
      <c r="O39" s="443"/>
      <c r="P39" s="447"/>
      <c r="Q39" s="450">
        <v>0</v>
      </c>
      <c r="R39" s="450">
        <v>0.8</v>
      </c>
      <c r="S39" s="450">
        <v>0.05</v>
      </c>
      <c r="T39" s="443">
        <v>1.2</v>
      </c>
    </row>
    <row r="40" spans="2:20" s="497" customFormat="1" ht="15">
      <c r="B40" s="453" t="s">
        <v>448</v>
      </c>
      <c r="C40" s="443" t="s">
        <v>446</v>
      </c>
      <c r="D40" s="453">
        <v>0</v>
      </c>
      <c r="E40" s="458"/>
      <c r="F40" s="458"/>
      <c r="G40" s="458"/>
      <c r="H40" s="458"/>
      <c r="I40" s="458"/>
      <c r="J40" s="458"/>
      <c r="K40" s="458"/>
      <c r="L40" s="458"/>
      <c r="M40" s="458"/>
      <c r="N40" s="458"/>
      <c r="O40" s="443"/>
      <c r="P40" s="447"/>
      <c r="Q40" s="450">
        <v>0</v>
      </c>
      <c r="R40" s="450">
        <v>0.8</v>
      </c>
      <c r="S40" s="450">
        <v>0.06</v>
      </c>
      <c r="T40" s="443">
        <v>1.2</v>
      </c>
    </row>
    <row r="41" spans="2:20" s="497" customFormat="1" ht="15">
      <c r="B41" s="453" t="s">
        <v>472</v>
      </c>
      <c r="C41" s="443"/>
      <c r="D41" s="453">
        <v>0.19999999999999973</v>
      </c>
      <c r="E41" s="458"/>
      <c r="F41" s="458"/>
      <c r="G41" s="458"/>
      <c r="H41" s="458"/>
      <c r="I41" s="458"/>
      <c r="J41" s="458"/>
      <c r="K41" s="458"/>
      <c r="L41" s="458"/>
      <c r="M41" s="458"/>
      <c r="N41" s="458"/>
      <c r="O41" s="443"/>
      <c r="P41" s="447"/>
      <c r="Q41" s="450">
        <v>0</v>
      </c>
      <c r="R41" s="450">
        <v>0.8</v>
      </c>
      <c r="S41" s="450">
        <v>0.08</v>
      </c>
      <c r="T41" s="443">
        <v>1.2</v>
      </c>
    </row>
    <row r="42" spans="2:20" s="497" customFormat="1" ht="15">
      <c r="B42" s="453" t="s">
        <v>473</v>
      </c>
      <c r="C42" s="443"/>
      <c r="D42" s="453">
        <v>0</v>
      </c>
      <c r="E42" s="458"/>
      <c r="F42" s="458"/>
      <c r="G42" s="458"/>
      <c r="H42" s="458"/>
      <c r="I42" s="458"/>
      <c r="J42" s="458"/>
      <c r="K42" s="458"/>
      <c r="L42" s="458"/>
      <c r="M42" s="458"/>
      <c r="N42" s="458"/>
      <c r="O42" s="443"/>
      <c r="P42" s="447"/>
      <c r="Q42" s="450">
        <v>0</v>
      </c>
      <c r="R42" s="450">
        <v>0.8</v>
      </c>
      <c r="S42" s="450">
        <v>0.1</v>
      </c>
      <c r="T42" s="443">
        <v>1.2</v>
      </c>
    </row>
    <row r="43" spans="2:20" s="497" customFormat="1" ht="15">
      <c r="B43" s="453" t="s">
        <v>474</v>
      </c>
      <c r="C43" s="443"/>
      <c r="D43" s="453">
        <v>-1.4210854715202004E-14</v>
      </c>
      <c r="E43" s="458"/>
      <c r="F43" s="458"/>
      <c r="G43" s="458"/>
      <c r="H43" s="458"/>
      <c r="I43" s="458"/>
      <c r="J43" s="458"/>
      <c r="K43" s="458"/>
      <c r="L43" s="458"/>
      <c r="M43" s="458"/>
      <c r="N43" s="458"/>
      <c r="O43" s="443"/>
      <c r="P43" s="447"/>
      <c r="Q43" s="450">
        <v>0</v>
      </c>
      <c r="R43" s="450">
        <v>0.8</v>
      </c>
      <c r="S43" s="450">
        <v>0.15</v>
      </c>
      <c r="T43" s="443">
        <v>1.2</v>
      </c>
    </row>
    <row r="44" spans="2:20" s="497" customFormat="1" ht="15">
      <c r="B44" s="453" t="s">
        <v>475</v>
      </c>
      <c r="C44" s="443"/>
      <c r="D44" s="453">
        <v>0</v>
      </c>
      <c r="E44" s="458"/>
      <c r="F44" s="458"/>
      <c r="G44" s="458"/>
      <c r="H44" s="458"/>
      <c r="I44" s="458"/>
      <c r="J44" s="458"/>
      <c r="K44" s="458"/>
      <c r="L44" s="458"/>
      <c r="M44" s="458"/>
      <c r="N44" s="458"/>
      <c r="O44" s="443"/>
      <c r="P44" s="447"/>
      <c r="Q44" s="450">
        <v>0</v>
      </c>
      <c r="R44" s="450">
        <v>0.8</v>
      </c>
      <c r="S44" s="450">
        <v>0.2</v>
      </c>
      <c r="T44" s="443">
        <v>1.2</v>
      </c>
    </row>
    <row r="45" spans="2:20" s="497" customFormat="1" ht="15">
      <c r="B45" s="443"/>
      <c r="C45" s="443"/>
      <c r="D45" s="443"/>
      <c r="E45" s="458"/>
      <c r="F45" s="458"/>
      <c r="G45" s="458"/>
      <c r="H45" s="458"/>
      <c r="I45" s="458"/>
      <c r="J45" s="458"/>
      <c r="K45" s="458"/>
      <c r="L45" s="458"/>
      <c r="M45" s="458"/>
      <c r="N45" s="458"/>
      <c r="O45" s="443"/>
      <c r="P45" s="447"/>
      <c r="Q45" s="450">
        <v>0</v>
      </c>
      <c r="R45" s="450">
        <v>0.8</v>
      </c>
      <c r="S45" s="450">
        <v>0.25</v>
      </c>
      <c r="T45" s="443">
        <v>1.2</v>
      </c>
    </row>
    <row r="46" spans="2:20" s="497" customFormat="1" ht="15">
      <c r="B46" s="453">
        <v>1</v>
      </c>
      <c r="C46" s="443"/>
      <c r="D46" s="453">
        <v>1</v>
      </c>
      <c r="E46" s="458"/>
      <c r="F46" s="458"/>
      <c r="G46" s="458"/>
      <c r="H46" s="458"/>
      <c r="I46" s="458"/>
      <c r="J46" s="458"/>
      <c r="K46" s="458"/>
      <c r="L46" s="458"/>
      <c r="M46" s="458"/>
      <c r="N46" s="458"/>
      <c r="O46" s="443"/>
      <c r="P46" s="447"/>
      <c r="Q46" s="450">
        <v>0</v>
      </c>
      <c r="R46" s="450">
        <v>0.8</v>
      </c>
      <c r="S46" s="450">
        <v>1</v>
      </c>
      <c r="T46" s="443">
        <v>1.2</v>
      </c>
    </row>
    <row r="47" spans="2:20" s="497" customFormat="1" ht="15">
      <c r="B47" s="453" t="s">
        <v>426</v>
      </c>
      <c r="C47" s="443"/>
      <c r="D47" s="453">
        <f>C3</f>
        <v>4</v>
      </c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43"/>
      <c r="P47" s="447"/>
      <c r="Q47" s="450">
        <v>0</v>
      </c>
      <c r="R47" s="450">
        <v>0.80100000000000005</v>
      </c>
      <c r="S47" s="450">
        <v>0</v>
      </c>
      <c r="T47" s="443">
        <v>1.2</v>
      </c>
    </row>
    <row r="48" spans="2:20" s="497" customFormat="1" ht="15">
      <c r="B48" s="453" t="s">
        <v>430</v>
      </c>
      <c r="C48" s="443"/>
      <c r="D48" s="453">
        <f>C4</f>
        <v>300</v>
      </c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43"/>
      <c r="P48" s="447"/>
      <c r="Q48" s="450">
        <v>0</v>
      </c>
      <c r="R48" s="450">
        <v>0.80100000000000005</v>
      </c>
      <c r="S48" s="450">
        <v>0.02</v>
      </c>
      <c r="T48" s="443">
        <v>1.2</v>
      </c>
    </row>
    <row r="49" spans="2:20" s="497" customFormat="1" ht="15">
      <c r="B49" s="453" t="s">
        <v>390</v>
      </c>
      <c r="C49" s="443" t="s">
        <v>446</v>
      </c>
      <c r="D49" s="453">
        <f>C5</f>
        <v>0.14508785881222142</v>
      </c>
      <c r="E49" s="458"/>
      <c r="F49" s="458"/>
      <c r="G49" s="458"/>
      <c r="H49" s="458"/>
      <c r="I49" s="458"/>
      <c r="J49" s="458"/>
      <c r="K49" s="458"/>
      <c r="L49" s="458"/>
      <c r="M49" s="458"/>
      <c r="N49" s="458"/>
      <c r="O49" s="443"/>
      <c r="P49" s="447"/>
      <c r="Q49" s="450">
        <v>0</v>
      </c>
      <c r="R49" s="450">
        <v>0.80100000000000005</v>
      </c>
      <c r="S49" s="450">
        <v>0.04</v>
      </c>
      <c r="T49" s="443">
        <v>1.2</v>
      </c>
    </row>
    <row r="50" spans="2:20" s="497" customFormat="1" ht="15">
      <c r="B50" s="453" t="s">
        <v>449</v>
      </c>
      <c r="C50" s="443"/>
      <c r="D50" s="453">
        <f>D47*D48</f>
        <v>1200</v>
      </c>
      <c r="E50" s="458"/>
      <c r="F50" s="458"/>
      <c r="G50" s="458"/>
      <c r="H50" s="458"/>
      <c r="I50" s="458"/>
      <c r="J50" s="458"/>
      <c r="K50" s="458"/>
      <c r="L50" s="458"/>
      <c r="M50" s="458"/>
      <c r="N50" s="458"/>
      <c r="O50" s="443"/>
      <c r="P50" s="447"/>
      <c r="Q50" s="450">
        <v>0</v>
      </c>
      <c r="R50" s="450">
        <v>0.80100000000000005</v>
      </c>
      <c r="S50" s="450">
        <v>0.05</v>
      </c>
      <c r="T50" s="443">
        <v>1.2</v>
      </c>
    </row>
    <row r="51" spans="2:20" s="497" customFormat="1" ht="15">
      <c r="B51" s="453" t="s">
        <v>476</v>
      </c>
      <c r="C51" s="443"/>
      <c r="D51" s="453">
        <f>D47*D49</f>
        <v>0.58035143524888566</v>
      </c>
      <c r="E51" s="458"/>
      <c r="F51" s="458"/>
      <c r="G51" s="458"/>
      <c r="H51" s="458"/>
      <c r="I51" s="458"/>
      <c r="J51" s="458"/>
      <c r="K51" s="458"/>
      <c r="L51" s="458"/>
      <c r="M51" s="458"/>
      <c r="N51" s="458"/>
      <c r="O51" s="443"/>
      <c r="P51" s="447"/>
      <c r="Q51" s="450">
        <v>0</v>
      </c>
      <c r="R51" s="450">
        <v>0.80100000000000005</v>
      </c>
      <c r="S51" s="450">
        <v>0.06</v>
      </c>
      <c r="T51" s="443">
        <v>1.2</v>
      </c>
    </row>
    <row r="52" spans="2:20" s="497" customFormat="1" ht="15">
      <c r="B52" s="453" t="s">
        <v>477</v>
      </c>
      <c r="C52" s="443"/>
      <c r="D52" s="453">
        <f>D48*D49</f>
        <v>43.526357643666422</v>
      </c>
      <c r="E52" s="458"/>
      <c r="F52" s="458"/>
      <c r="G52" s="458"/>
      <c r="H52" s="458"/>
      <c r="I52" s="458"/>
      <c r="J52" s="458"/>
      <c r="K52" s="458"/>
      <c r="L52" s="458"/>
      <c r="M52" s="458"/>
      <c r="N52" s="458"/>
      <c r="O52" s="443"/>
      <c r="P52" s="447"/>
      <c r="Q52" s="450">
        <v>0</v>
      </c>
      <c r="R52" s="450">
        <v>0.80100000000000005</v>
      </c>
      <c r="S52" s="450">
        <v>0.08</v>
      </c>
      <c r="T52" s="443">
        <v>1.2</v>
      </c>
    </row>
    <row r="53" spans="2:20" s="497" customFormat="1" ht="15">
      <c r="B53" s="453" t="s">
        <v>478</v>
      </c>
      <c r="C53" s="443"/>
      <c r="D53" s="453">
        <f>D47*D48*D49</f>
        <v>174.10543057466569</v>
      </c>
      <c r="E53" s="458"/>
      <c r="F53" s="458"/>
      <c r="G53" s="458"/>
      <c r="H53" s="458"/>
      <c r="I53" s="458"/>
      <c r="J53" s="458"/>
      <c r="K53" s="458"/>
      <c r="L53" s="458"/>
      <c r="M53" s="458"/>
      <c r="N53" s="458"/>
      <c r="O53" s="443"/>
      <c r="P53" s="447"/>
      <c r="Q53" s="450">
        <v>0</v>
      </c>
      <c r="R53" s="450">
        <v>0.80100000000000005</v>
      </c>
      <c r="S53" s="450">
        <v>0.1</v>
      </c>
      <c r="T53" s="443">
        <v>1.2</v>
      </c>
    </row>
    <row r="54" spans="2:20" s="497" customFormat="1" ht="15">
      <c r="B54" s="443"/>
      <c r="C54" s="443"/>
      <c r="D54" s="443"/>
      <c r="E54" s="458"/>
      <c r="F54" s="458"/>
      <c r="G54" s="458"/>
      <c r="H54" s="458"/>
      <c r="I54" s="458"/>
      <c r="J54" s="458"/>
      <c r="K54" s="458"/>
      <c r="L54" s="458"/>
      <c r="M54" s="458"/>
      <c r="N54" s="458"/>
      <c r="O54" s="443"/>
      <c r="P54" s="447"/>
      <c r="Q54" s="450">
        <v>0</v>
      </c>
      <c r="R54" s="450">
        <v>0.80100000000000005</v>
      </c>
      <c r="S54" s="450">
        <v>0.15</v>
      </c>
      <c r="T54" s="443">
        <v>1.2</v>
      </c>
    </row>
    <row r="55" spans="2:20" s="497" customFormat="1" ht="15">
      <c r="B55" s="445" t="s">
        <v>450</v>
      </c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  <c r="N55" s="445"/>
      <c r="O55" s="443"/>
      <c r="P55" s="447"/>
      <c r="Q55" s="450">
        <v>0</v>
      </c>
      <c r="R55" s="450">
        <v>0.80100000000000005</v>
      </c>
      <c r="S55" s="450">
        <v>0.2</v>
      </c>
      <c r="T55" s="443">
        <v>1.2</v>
      </c>
    </row>
    <row r="56" spans="2:20" s="497" customFormat="1" ht="15">
      <c r="B56" s="443"/>
      <c r="C56" s="443"/>
      <c r="D56" s="443"/>
      <c r="E56" s="458"/>
      <c r="F56" s="458"/>
      <c r="G56" s="458"/>
      <c r="H56" s="458"/>
      <c r="I56" s="458"/>
      <c r="J56" s="458"/>
      <c r="K56" s="458"/>
      <c r="L56" s="458"/>
      <c r="M56" s="458"/>
      <c r="N56" s="458"/>
      <c r="O56" s="443"/>
      <c r="P56" s="447"/>
      <c r="Q56" s="450">
        <v>0</v>
      </c>
      <c r="R56" s="450">
        <v>0.80100000000000005</v>
      </c>
      <c r="S56" s="450">
        <v>0.25</v>
      </c>
      <c r="T56" s="443">
        <v>1.2</v>
      </c>
    </row>
    <row r="57" spans="2:20" s="497" customFormat="1" ht="15">
      <c r="B57" s="443"/>
      <c r="C57" s="443"/>
      <c r="D57" s="443"/>
      <c r="E57" s="458"/>
      <c r="F57" s="458"/>
      <c r="G57" s="458"/>
      <c r="H57" s="458"/>
      <c r="I57" s="458"/>
      <c r="J57" s="458"/>
      <c r="K57" s="458"/>
      <c r="L57" s="458"/>
      <c r="M57" s="458"/>
      <c r="N57" s="458"/>
      <c r="O57" s="443"/>
      <c r="P57" s="447"/>
      <c r="Q57" s="450">
        <v>0</v>
      </c>
      <c r="R57" s="450">
        <v>0.80100000000000005</v>
      </c>
      <c r="S57" s="450">
        <v>1</v>
      </c>
      <c r="T57" s="443">
        <v>1.2</v>
      </c>
    </row>
    <row r="58" spans="2:20" s="497" customFormat="1" ht="15">
      <c r="B58" s="443"/>
      <c r="C58" s="443"/>
      <c r="D58" s="443"/>
      <c r="E58" s="458"/>
      <c r="F58" s="458"/>
      <c r="G58" s="458"/>
      <c r="H58" s="458"/>
      <c r="I58" s="458"/>
      <c r="J58" s="458"/>
      <c r="K58" s="458"/>
      <c r="L58" s="458"/>
      <c r="M58" s="458"/>
      <c r="N58" s="458"/>
      <c r="O58" s="443"/>
      <c r="P58" s="447"/>
      <c r="Q58" s="450">
        <v>0</v>
      </c>
      <c r="R58" s="450">
        <v>100</v>
      </c>
      <c r="S58" s="450">
        <v>0</v>
      </c>
      <c r="T58" s="443">
        <v>1.2</v>
      </c>
    </row>
    <row r="59" spans="2:20" s="497" customFormat="1" ht="15">
      <c r="B59" s="443"/>
      <c r="C59" s="443"/>
      <c r="D59" s="443"/>
      <c r="E59" s="458"/>
      <c r="F59" s="458"/>
      <c r="G59" s="458"/>
      <c r="H59" s="458"/>
      <c r="I59" s="458"/>
      <c r="J59" s="458"/>
      <c r="K59" s="458"/>
      <c r="L59" s="458"/>
      <c r="M59" s="458"/>
      <c r="N59" s="458"/>
      <c r="O59" s="443"/>
      <c r="P59" s="447"/>
      <c r="Q59" s="450">
        <v>0</v>
      </c>
      <c r="R59" s="450">
        <v>100</v>
      </c>
      <c r="S59" s="450">
        <v>0.02</v>
      </c>
      <c r="T59" s="443">
        <v>1.2</v>
      </c>
    </row>
    <row r="60" spans="2:20" s="497" customFormat="1" ht="15">
      <c r="B60" s="443"/>
      <c r="C60" s="443"/>
      <c r="D60" s="443"/>
      <c r="E60" s="458"/>
      <c r="F60" s="458"/>
      <c r="G60" s="458"/>
      <c r="H60" s="458"/>
      <c r="I60" s="458"/>
      <c r="J60" s="458"/>
      <c r="K60" s="458"/>
      <c r="L60" s="458"/>
      <c r="M60" s="458"/>
      <c r="N60" s="458"/>
      <c r="O60" s="443"/>
      <c r="P60" s="447"/>
      <c r="Q60" s="450">
        <v>0</v>
      </c>
      <c r="R60" s="450">
        <v>100</v>
      </c>
      <c r="S60" s="450">
        <v>0.04</v>
      </c>
      <c r="T60" s="443">
        <v>1.2</v>
      </c>
    </row>
    <row r="61" spans="2:20" s="497" customFormat="1" ht="15">
      <c r="B61" s="443"/>
      <c r="C61" s="443"/>
      <c r="D61" s="443"/>
      <c r="E61" s="458"/>
      <c r="F61" s="458"/>
      <c r="G61" s="458"/>
      <c r="H61" s="458"/>
      <c r="I61" s="458"/>
      <c r="J61" s="458"/>
      <c r="K61" s="458"/>
      <c r="L61" s="458"/>
      <c r="M61" s="458"/>
      <c r="N61" s="458"/>
      <c r="O61" s="443"/>
      <c r="P61" s="447"/>
      <c r="Q61" s="450">
        <v>0</v>
      </c>
      <c r="R61" s="450">
        <v>100</v>
      </c>
      <c r="S61" s="450">
        <v>0.05</v>
      </c>
      <c r="T61" s="443">
        <v>1.2</v>
      </c>
    </row>
    <row r="62" spans="2:20" s="497" customFormat="1" ht="15">
      <c r="B62" s="443"/>
      <c r="C62" s="443"/>
      <c r="D62" s="443"/>
      <c r="E62" s="458"/>
      <c r="F62" s="458"/>
      <c r="G62" s="458"/>
      <c r="H62" s="458"/>
      <c r="I62" s="458"/>
      <c r="J62" s="458"/>
      <c r="K62" s="458"/>
      <c r="L62" s="458"/>
      <c r="M62" s="458"/>
      <c r="N62" s="458"/>
      <c r="O62" s="443"/>
      <c r="P62" s="447"/>
      <c r="Q62" s="450">
        <v>0</v>
      </c>
      <c r="R62" s="450">
        <v>100</v>
      </c>
      <c r="S62" s="450">
        <v>0.06</v>
      </c>
      <c r="T62" s="443">
        <v>1.2</v>
      </c>
    </row>
    <row r="63" spans="2:20" s="497" customFormat="1" ht="15">
      <c r="B63" s="443"/>
      <c r="C63" s="443"/>
      <c r="D63" s="443"/>
      <c r="E63" s="458"/>
      <c r="F63" s="458"/>
      <c r="G63" s="458"/>
      <c r="H63" s="458"/>
      <c r="I63" s="458"/>
      <c r="J63" s="458"/>
      <c r="K63" s="458"/>
      <c r="L63" s="458"/>
      <c r="M63" s="458"/>
      <c r="N63" s="458"/>
      <c r="O63" s="443"/>
      <c r="P63" s="447"/>
      <c r="Q63" s="450">
        <v>0</v>
      </c>
      <c r="R63" s="450">
        <v>100</v>
      </c>
      <c r="S63" s="450">
        <v>0.08</v>
      </c>
      <c r="T63" s="443">
        <v>1.2</v>
      </c>
    </row>
    <row r="64" spans="2:20" s="497" customFormat="1" ht="15">
      <c r="B64" s="443"/>
      <c r="C64" s="443"/>
      <c r="D64" s="443"/>
      <c r="E64" s="458"/>
      <c r="F64" s="458"/>
      <c r="G64" s="458"/>
      <c r="H64" s="458"/>
      <c r="I64" s="458"/>
      <c r="J64" s="458"/>
      <c r="K64" s="458"/>
      <c r="L64" s="458"/>
      <c r="M64" s="458"/>
      <c r="N64" s="458"/>
      <c r="O64" s="443"/>
      <c r="P64" s="447"/>
      <c r="Q64" s="450">
        <v>0</v>
      </c>
      <c r="R64" s="450">
        <v>100</v>
      </c>
      <c r="S64" s="450">
        <v>0.1</v>
      </c>
      <c r="T64" s="443">
        <v>1.2</v>
      </c>
    </row>
    <row r="65" spans="16:20" s="497" customFormat="1" ht="15">
      <c r="P65" s="447"/>
      <c r="Q65" s="450">
        <v>0</v>
      </c>
      <c r="R65" s="450">
        <v>100</v>
      </c>
      <c r="S65" s="450">
        <v>0.15</v>
      </c>
      <c r="T65" s="443">
        <v>1.2</v>
      </c>
    </row>
    <row r="66" spans="16:20" s="497" customFormat="1" ht="15">
      <c r="P66" s="447"/>
      <c r="Q66" s="450">
        <v>0</v>
      </c>
      <c r="R66" s="450">
        <v>100</v>
      </c>
      <c r="S66" s="450">
        <v>0.2</v>
      </c>
      <c r="T66" s="443">
        <v>1.2</v>
      </c>
    </row>
    <row r="67" spans="16:20" s="497" customFormat="1" ht="15">
      <c r="P67" s="447"/>
      <c r="Q67" s="450">
        <v>0</v>
      </c>
      <c r="R67" s="450">
        <v>100</v>
      </c>
      <c r="S67" s="450">
        <v>0.25</v>
      </c>
      <c r="T67" s="443">
        <v>1.2</v>
      </c>
    </row>
    <row r="68" spans="16:20" s="497" customFormat="1" ht="15">
      <c r="P68" s="447"/>
      <c r="Q68" s="450">
        <v>0</v>
      </c>
      <c r="R68" s="450">
        <v>100</v>
      </c>
      <c r="S68" s="450">
        <v>1</v>
      </c>
      <c r="T68" s="443">
        <v>1.2</v>
      </c>
    </row>
    <row r="69" spans="16:20" s="497" customFormat="1" ht="15">
      <c r="P69" s="447"/>
      <c r="Q69" s="450">
        <v>2</v>
      </c>
      <c r="R69" s="450">
        <v>0</v>
      </c>
      <c r="S69" s="450">
        <v>0</v>
      </c>
      <c r="T69" s="443">
        <v>1.2</v>
      </c>
    </row>
    <row r="70" spans="16:20" s="497" customFormat="1" ht="15">
      <c r="P70" s="447"/>
      <c r="Q70" s="450">
        <v>2</v>
      </c>
      <c r="R70" s="450">
        <v>0</v>
      </c>
      <c r="S70" s="450">
        <v>0.02</v>
      </c>
      <c r="T70" s="443">
        <v>1.2</v>
      </c>
    </row>
    <row r="71" spans="16:20" s="497" customFormat="1" ht="15">
      <c r="P71" s="447"/>
      <c r="Q71" s="450">
        <v>2</v>
      </c>
      <c r="R71" s="450">
        <v>0</v>
      </c>
      <c r="S71" s="450">
        <v>0.04</v>
      </c>
      <c r="T71" s="443">
        <v>1.2</v>
      </c>
    </row>
    <row r="72" spans="16:20" s="497" customFormat="1" ht="15">
      <c r="P72" s="447"/>
      <c r="Q72" s="450">
        <v>2</v>
      </c>
      <c r="R72" s="450">
        <v>0</v>
      </c>
      <c r="S72" s="450">
        <v>0.05</v>
      </c>
      <c r="T72" s="443">
        <v>1.2</v>
      </c>
    </row>
    <row r="73" spans="16:20" s="497" customFormat="1" ht="15">
      <c r="P73" s="447"/>
      <c r="Q73" s="450">
        <v>2</v>
      </c>
      <c r="R73" s="450">
        <v>0</v>
      </c>
      <c r="S73" s="450">
        <v>0.06</v>
      </c>
      <c r="T73" s="443">
        <v>1.2</v>
      </c>
    </row>
    <row r="74" spans="16:20" s="497" customFormat="1" ht="15">
      <c r="P74" s="447"/>
      <c r="Q74" s="450">
        <v>2</v>
      </c>
      <c r="R74" s="450">
        <v>0</v>
      </c>
      <c r="S74" s="450">
        <v>0.08</v>
      </c>
      <c r="T74" s="443">
        <v>1.2</v>
      </c>
    </row>
    <row r="75" spans="16:20" s="497" customFormat="1" ht="15">
      <c r="P75" s="447"/>
      <c r="Q75" s="450">
        <v>2</v>
      </c>
      <c r="R75" s="450">
        <v>0</v>
      </c>
      <c r="S75" s="450">
        <v>0.1</v>
      </c>
      <c r="T75" s="443">
        <v>1.2</v>
      </c>
    </row>
    <row r="76" spans="16:20" s="497" customFormat="1" ht="15">
      <c r="P76" s="447"/>
      <c r="Q76" s="450">
        <v>2</v>
      </c>
      <c r="R76" s="450">
        <v>0</v>
      </c>
      <c r="S76" s="450">
        <v>0.15</v>
      </c>
      <c r="T76" s="443">
        <v>1.2</v>
      </c>
    </row>
    <row r="77" spans="16:20" s="497" customFormat="1" ht="15">
      <c r="P77" s="447"/>
      <c r="Q77" s="450">
        <v>2</v>
      </c>
      <c r="R77" s="450">
        <v>0</v>
      </c>
      <c r="S77" s="450">
        <v>0.2</v>
      </c>
      <c r="T77" s="443">
        <v>1.2</v>
      </c>
    </row>
    <row r="78" spans="16:20" s="497" customFormat="1" ht="15">
      <c r="P78" s="447"/>
      <c r="Q78" s="450">
        <v>2</v>
      </c>
      <c r="R78" s="450">
        <v>0</v>
      </c>
      <c r="S78" s="450">
        <v>0.25</v>
      </c>
      <c r="T78" s="443">
        <v>1.2</v>
      </c>
    </row>
    <row r="79" spans="16:20" s="497" customFormat="1" ht="15">
      <c r="P79" s="447"/>
      <c r="Q79" s="450">
        <v>2</v>
      </c>
      <c r="R79" s="450">
        <v>0</v>
      </c>
      <c r="S79" s="450">
        <v>1</v>
      </c>
      <c r="T79" s="443">
        <v>1.2</v>
      </c>
    </row>
    <row r="80" spans="16:20" s="497" customFormat="1" ht="15">
      <c r="P80" s="447"/>
      <c r="Q80" s="450">
        <v>2</v>
      </c>
      <c r="R80" s="450">
        <v>0.4</v>
      </c>
      <c r="S80" s="450">
        <v>0</v>
      </c>
      <c r="T80" s="443">
        <v>1.2</v>
      </c>
    </row>
    <row r="81" spans="16:20" s="497" customFormat="1" ht="15">
      <c r="P81" s="447"/>
      <c r="Q81" s="450">
        <v>2</v>
      </c>
      <c r="R81" s="450">
        <v>0.4</v>
      </c>
      <c r="S81" s="450">
        <v>0.02</v>
      </c>
      <c r="T81" s="443">
        <v>1.2</v>
      </c>
    </row>
    <row r="82" spans="16:20" s="497" customFormat="1" ht="15">
      <c r="P82" s="447"/>
      <c r="Q82" s="450">
        <v>2</v>
      </c>
      <c r="R82" s="450">
        <v>0.4</v>
      </c>
      <c r="S82" s="450">
        <v>0.04</v>
      </c>
      <c r="T82" s="443">
        <v>1.2</v>
      </c>
    </row>
    <row r="83" spans="16:20" s="497" customFormat="1" ht="15">
      <c r="P83" s="447"/>
      <c r="Q83" s="450">
        <v>2</v>
      </c>
      <c r="R83" s="450">
        <v>0.4</v>
      </c>
      <c r="S83" s="450">
        <v>0.05</v>
      </c>
      <c r="T83" s="443">
        <v>1.2</v>
      </c>
    </row>
    <row r="84" spans="16:20" s="497" customFormat="1" ht="15">
      <c r="P84" s="447"/>
      <c r="Q84" s="450">
        <v>2</v>
      </c>
      <c r="R84" s="450">
        <v>0.4</v>
      </c>
      <c r="S84" s="450">
        <v>0.06</v>
      </c>
      <c r="T84" s="443">
        <v>1.2</v>
      </c>
    </row>
    <row r="85" spans="16:20" s="497" customFormat="1" ht="15">
      <c r="P85" s="447"/>
      <c r="Q85" s="450">
        <v>2</v>
      </c>
      <c r="R85" s="450">
        <v>0.4</v>
      </c>
      <c r="S85" s="450">
        <v>0.08</v>
      </c>
      <c r="T85" s="443">
        <v>1.2</v>
      </c>
    </row>
    <row r="86" spans="16:20" s="497" customFormat="1" ht="15">
      <c r="P86" s="447"/>
      <c r="Q86" s="450">
        <v>2</v>
      </c>
      <c r="R86" s="450">
        <v>0.4</v>
      </c>
      <c r="S86" s="450">
        <v>0.1</v>
      </c>
      <c r="T86" s="443">
        <v>1.2</v>
      </c>
    </row>
    <row r="87" spans="16:20" s="497" customFormat="1" ht="15">
      <c r="P87" s="447"/>
      <c r="Q87" s="450">
        <v>2</v>
      </c>
      <c r="R87" s="450">
        <v>0.4</v>
      </c>
      <c r="S87" s="450">
        <v>0.15</v>
      </c>
      <c r="T87" s="443">
        <v>1.2</v>
      </c>
    </row>
    <row r="88" spans="16:20" s="497" customFormat="1" ht="15">
      <c r="P88" s="447"/>
      <c r="Q88" s="450">
        <v>2</v>
      </c>
      <c r="R88" s="450">
        <v>0.4</v>
      </c>
      <c r="S88" s="450">
        <v>0.2</v>
      </c>
      <c r="T88" s="443">
        <v>1.2</v>
      </c>
    </row>
    <row r="89" spans="16:20" s="497" customFormat="1" ht="15">
      <c r="P89" s="447"/>
      <c r="Q89" s="450">
        <v>2</v>
      </c>
      <c r="R89" s="450">
        <v>0.4</v>
      </c>
      <c r="S89" s="450">
        <v>0.25</v>
      </c>
      <c r="T89" s="443">
        <v>1.2</v>
      </c>
    </row>
    <row r="90" spans="16:20" s="497" customFormat="1" ht="15">
      <c r="P90" s="447"/>
      <c r="Q90" s="450">
        <v>2</v>
      </c>
      <c r="R90" s="450">
        <v>0.4</v>
      </c>
      <c r="S90" s="450">
        <v>1</v>
      </c>
      <c r="T90" s="443">
        <v>1.2</v>
      </c>
    </row>
    <row r="91" spans="16:20" s="497" customFormat="1" ht="15">
      <c r="P91" s="447"/>
      <c r="Q91" s="450">
        <v>2</v>
      </c>
      <c r="R91" s="450">
        <v>0.40100000000000002</v>
      </c>
      <c r="S91" s="450">
        <v>0</v>
      </c>
      <c r="T91" s="443">
        <v>1.2</v>
      </c>
    </row>
    <row r="92" spans="16:20" s="497" customFormat="1" ht="15">
      <c r="P92" s="447"/>
      <c r="Q92" s="450">
        <v>2</v>
      </c>
      <c r="R92" s="450">
        <v>0.40100000000000002</v>
      </c>
      <c r="S92" s="450">
        <v>0.02</v>
      </c>
      <c r="T92" s="443">
        <v>1.2</v>
      </c>
    </row>
    <row r="93" spans="16:20" s="497" customFormat="1" ht="15">
      <c r="P93" s="447"/>
      <c r="Q93" s="450">
        <v>2</v>
      </c>
      <c r="R93" s="450">
        <v>0.40100000000000002</v>
      </c>
      <c r="S93" s="450">
        <v>0.04</v>
      </c>
      <c r="T93" s="443">
        <v>1.2</v>
      </c>
    </row>
    <row r="94" spans="16:20" s="497" customFormat="1" ht="15">
      <c r="P94" s="447"/>
      <c r="Q94" s="450">
        <v>2</v>
      </c>
      <c r="R94" s="450">
        <v>0.40100000000000002</v>
      </c>
      <c r="S94" s="450">
        <v>0.05</v>
      </c>
      <c r="T94" s="443">
        <v>1.2</v>
      </c>
    </row>
    <row r="95" spans="16:20" s="497" customFormat="1" ht="15">
      <c r="P95" s="447"/>
      <c r="Q95" s="450">
        <v>2</v>
      </c>
      <c r="R95" s="450">
        <v>0.40100000000000002</v>
      </c>
      <c r="S95" s="450">
        <v>0.06</v>
      </c>
      <c r="T95" s="443">
        <v>1.2</v>
      </c>
    </row>
    <row r="96" spans="16:20" s="497" customFormat="1" ht="15">
      <c r="P96" s="447"/>
      <c r="Q96" s="450">
        <v>2</v>
      </c>
      <c r="R96" s="450">
        <v>0.40100000000000002</v>
      </c>
      <c r="S96" s="450">
        <v>0.08</v>
      </c>
      <c r="T96" s="443">
        <v>1.2</v>
      </c>
    </row>
    <row r="97" spans="16:20" s="497" customFormat="1" ht="15">
      <c r="P97" s="447"/>
      <c r="Q97" s="450">
        <v>2</v>
      </c>
      <c r="R97" s="450">
        <v>0.40100000000000002</v>
      </c>
      <c r="S97" s="450">
        <v>0.1</v>
      </c>
      <c r="T97" s="443">
        <v>1.2</v>
      </c>
    </row>
    <row r="98" spans="16:20" s="497" customFormat="1" ht="15">
      <c r="P98" s="447"/>
      <c r="Q98" s="450">
        <v>2</v>
      </c>
      <c r="R98" s="450">
        <v>0.40100000000000002</v>
      </c>
      <c r="S98" s="450">
        <v>0.15</v>
      </c>
      <c r="T98" s="443">
        <v>1.2</v>
      </c>
    </row>
    <row r="99" spans="16:20" s="497" customFormat="1" ht="15">
      <c r="P99" s="447"/>
      <c r="Q99" s="450">
        <v>2</v>
      </c>
      <c r="R99" s="450">
        <v>0.40100000000000002</v>
      </c>
      <c r="S99" s="450">
        <v>0.2</v>
      </c>
      <c r="T99" s="443">
        <v>1.2</v>
      </c>
    </row>
    <row r="100" spans="16:20" s="497" customFormat="1" ht="15">
      <c r="P100" s="447"/>
      <c r="Q100" s="450">
        <v>2</v>
      </c>
      <c r="R100" s="450">
        <v>0.40100000000000002</v>
      </c>
      <c r="S100" s="450">
        <v>0.25</v>
      </c>
      <c r="T100" s="443">
        <v>1.2</v>
      </c>
    </row>
    <row r="101" spans="16:20" s="497" customFormat="1" ht="15">
      <c r="P101" s="447"/>
      <c r="Q101" s="450">
        <v>2</v>
      </c>
      <c r="R101" s="450">
        <v>0.40100000000000002</v>
      </c>
      <c r="S101" s="450">
        <v>1</v>
      </c>
      <c r="T101" s="443">
        <v>1.2</v>
      </c>
    </row>
    <row r="102" spans="16:20" s="497" customFormat="1" ht="15">
      <c r="P102" s="447"/>
      <c r="Q102" s="450">
        <v>2</v>
      </c>
      <c r="R102" s="450">
        <v>0.8</v>
      </c>
      <c r="S102" s="450">
        <v>0</v>
      </c>
      <c r="T102" s="443">
        <v>1.2</v>
      </c>
    </row>
    <row r="103" spans="16:20" s="497" customFormat="1" ht="15">
      <c r="P103" s="447"/>
      <c r="Q103" s="450">
        <v>2</v>
      </c>
      <c r="R103" s="450">
        <v>0.8</v>
      </c>
      <c r="S103" s="450">
        <v>0.02</v>
      </c>
      <c r="T103" s="443">
        <v>1.2</v>
      </c>
    </row>
    <row r="104" spans="16:20" s="497" customFormat="1" ht="15">
      <c r="P104" s="447"/>
      <c r="Q104" s="450">
        <v>2</v>
      </c>
      <c r="R104" s="450">
        <v>0.8</v>
      </c>
      <c r="S104" s="450">
        <v>0.04</v>
      </c>
      <c r="T104" s="443">
        <v>1.2</v>
      </c>
    </row>
    <row r="105" spans="16:20" s="497" customFormat="1" ht="15">
      <c r="P105" s="447"/>
      <c r="Q105" s="450">
        <v>2</v>
      </c>
      <c r="R105" s="450">
        <v>0.8</v>
      </c>
      <c r="S105" s="450">
        <v>0.05</v>
      </c>
      <c r="T105" s="443">
        <v>1.2</v>
      </c>
    </row>
    <row r="106" spans="16:20" s="497" customFormat="1" ht="15">
      <c r="P106" s="447"/>
      <c r="Q106" s="450">
        <v>2</v>
      </c>
      <c r="R106" s="450">
        <v>0.8</v>
      </c>
      <c r="S106" s="450">
        <v>0.06</v>
      </c>
      <c r="T106" s="443">
        <v>1.2</v>
      </c>
    </row>
    <row r="107" spans="16:20" s="497" customFormat="1" ht="15">
      <c r="P107" s="447"/>
      <c r="Q107" s="450">
        <v>2</v>
      </c>
      <c r="R107" s="450">
        <v>0.8</v>
      </c>
      <c r="S107" s="450">
        <v>0.08</v>
      </c>
      <c r="T107" s="443">
        <v>1.2</v>
      </c>
    </row>
    <row r="108" spans="16:20" s="497" customFormat="1" ht="15">
      <c r="P108" s="447"/>
      <c r="Q108" s="450">
        <v>2</v>
      </c>
      <c r="R108" s="450">
        <v>0.8</v>
      </c>
      <c r="S108" s="450">
        <v>0.1</v>
      </c>
      <c r="T108" s="443">
        <v>1.2</v>
      </c>
    </row>
    <row r="109" spans="16:20" s="497" customFormat="1" ht="15">
      <c r="P109" s="447"/>
      <c r="Q109" s="450">
        <v>2</v>
      </c>
      <c r="R109" s="450">
        <v>0.8</v>
      </c>
      <c r="S109" s="450">
        <v>0.15</v>
      </c>
      <c r="T109" s="443">
        <v>1.2</v>
      </c>
    </row>
    <row r="110" spans="16:20" s="497" customFormat="1" ht="15">
      <c r="P110" s="447"/>
      <c r="Q110" s="450">
        <v>2</v>
      </c>
      <c r="R110" s="450">
        <v>0.8</v>
      </c>
      <c r="S110" s="450">
        <v>0.2</v>
      </c>
      <c r="T110" s="443">
        <v>1.2</v>
      </c>
    </row>
    <row r="111" spans="16:20" s="497" customFormat="1" ht="15">
      <c r="P111" s="447"/>
      <c r="Q111" s="450">
        <v>2</v>
      </c>
      <c r="R111" s="450">
        <v>0.8</v>
      </c>
      <c r="S111" s="450">
        <v>0.25</v>
      </c>
      <c r="T111" s="443">
        <v>1.2</v>
      </c>
    </row>
    <row r="112" spans="16:20" s="497" customFormat="1" ht="15">
      <c r="P112" s="447"/>
      <c r="Q112" s="450">
        <v>2</v>
      </c>
      <c r="R112" s="450">
        <v>0.8</v>
      </c>
      <c r="S112" s="450">
        <v>1</v>
      </c>
      <c r="T112" s="443">
        <v>1.2</v>
      </c>
    </row>
    <row r="113" spans="16:20" s="497" customFormat="1" ht="15">
      <c r="P113" s="447"/>
      <c r="Q113" s="450">
        <v>2</v>
      </c>
      <c r="R113" s="450">
        <v>0.80100000000000005</v>
      </c>
      <c r="S113" s="450">
        <v>0</v>
      </c>
      <c r="T113" s="443">
        <v>1.2</v>
      </c>
    </row>
    <row r="114" spans="16:20" s="497" customFormat="1" ht="15">
      <c r="P114" s="447"/>
      <c r="Q114" s="450">
        <v>2</v>
      </c>
      <c r="R114" s="450">
        <v>0.80100000000000005</v>
      </c>
      <c r="S114" s="450">
        <v>0.02</v>
      </c>
      <c r="T114" s="443">
        <v>1.2</v>
      </c>
    </row>
    <row r="115" spans="16:20" s="497" customFormat="1" ht="15">
      <c r="P115" s="447"/>
      <c r="Q115" s="450">
        <v>2</v>
      </c>
      <c r="R115" s="450">
        <v>0.80100000000000005</v>
      </c>
      <c r="S115" s="450">
        <v>0.04</v>
      </c>
      <c r="T115" s="443">
        <v>1.2</v>
      </c>
    </row>
    <row r="116" spans="16:20" s="497" customFormat="1" ht="15">
      <c r="P116" s="447"/>
      <c r="Q116" s="450">
        <v>2</v>
      </c>
      <c r="R116" s="450">
        <v>0.80100000000000005</v>
      </c>
      <c r="S116" s="450">
        <v>0.05</v>
      </c>
      <c r="T116" s="443">
        <v>1.2</v>
      </c>
    </row>
    <row r="117" spans="16:20" s="497" customFormat="1" ht="15">
      <c r="P117" s="447"/>
      <c r="Q117" s="450">
        <v>2</v>
      </c>
      <c r="R117" s="450">
        <v>0.80100000000000005</v>
      </c>
      <c r="S117" s="450">
        <v>0.06</v>
      </c>
      <c r="T117" s="443">
        <v>1.2</v>
      </c>
    </row>
    <row r="118" spans="16:20" s="497" customFormat="1" ht="15">
      <c r="P118" s="447"/>
      <c r="Q118" s="450">
        <v>2</v>
      </c>
      <c r="R118" s="450">
        <v>0.80100000000000005</v>
      </c>
      <c r="S118" s="450">
        <v>0.08</v>
      </c>
      <c r="T118" s="443">
        <v>1.2</v>
      </c>
    </row>
    <row r="119" spans="16:20" s="497" customFormat="1" ht="15">
      <c r="P119" s="447"/>
      <c r="Q119" s="450">
        <v>2</v>
      </c>
      <c r="R119" s="450">
        <v>0.80100000000000005</v>
      </c>
      <c r="S119" s="450">
        <v>0.1</v>
      </c>
      <c r="T119" s="443">
        <v>1.2</v>
      </c>
    </row>
    <row r="120" spans="16:20" s="497" customFormat="1" ht="15">
      <c r="P120" s="447"/>
      <c r="Q120" s="450">
        <v>2</v>
      </c>
      <c r="R120" s="450">
        <v>0.80100000000000005</v>
      </c>
      <c r="S120" s="450">
        <v>0.15</v>
      </c>
      <c r="T120" s="443">
        <v>1.2</v>
      </c>
    </row>
    <row r="121" spans="16:20" s="497" customFormat="1" ht="15">
      <c r="P121" s="447"/>
      <c r="Q121" s="450">
        <v>2</v>
      </c>
      <c r="R121" s="450">
        <v>0.80100000000000005</v>
      </c>
      <c r="S121" s="450">
        <v>0.2</v>
      </c>
      <c r="T121" s="443">
        <v>1.2</v>
      </c>
    </row>
    <row r="122" spans="16:20" s="497" customFormat="1" ht="15">
      <c r="P122" s="447"/>
      <c r="Q122" s="450">
        <v>2</v>
      </c>
      <c r="R122" s="450">
        <v>0.80100000000000005</v>
      </c>
      <c r="S122" s="450">
        <v>0.25</v>
      </c>
      <c r="T122" s="443">
        <v>1.2</v>
      </c>
    </row>
    <row r="123" spans="16:20" s="497" customFormat="1" ht="15">
      <c r="P123" s="447"/>
      <c r="Q123" s="450">
        <v>2</v>
      </c>
      <c r="R123" s="450">
        <v>0.80100000000000005</v>
      </c>
      <c r="S123" s="450">
        <v>1</v>
      </c>
      <c r="T123" s="443">
        <v>1.2</v>
      </c>
    </row>
    <row r="124" spans="16:20" s="497" customFormat="1" ht="15">
      <c r="P124" s="447"/>
      <c r="Q124" s="450">
        <v>2</v>
      </c>
      <c r="R124" s="450">
        <v>100</v>
      </c>
      <c r="S124" s="450">
        <v>0</v>
      </c>
      <c r="T124" s="443">
        <v>1.2</v>
      </c>
    </row>
    <row r="125" spans="16:20" s="497" customFormat="1" ht="15">
      <c r="P125" s="447"/>
      <c r="Q125" s="450">
        <v>2</v>
      </c>
      <c r="R125" s="450">
        <v>100</v>
      </c>
      <c r="S125" s="450">
        <v>0.02</v>
      </c>
      <c r="T125" s="443">
        <v>1.2</v>
      </c>
    </row>
    <row r="126" spans="16:20" s="497" customFormat="1" ht="15">
      <c r="P126" s="447"/>
      <c r="Q126" s="450">
        <v>2</v>
      </c>
      <c r="R126" s="450">
        <v>100</v>
      </c>
      <c r="S126" s="450">
        <v>0.04</v>
      </c>
      <c r="T126" s="443">
        <v>1.2</v>
      </c>
    </row>
    <row r="127" spans="16:20" s="497" customFormat="1" ht="15">
      <c r="P127" s="447"/>
      <c r="Q127" s="450">
        <v>2</v>
      </c>
      <c r="R127" s="450">
        <v>100</v>
      </c>
      <c r="S127" s="450">
        <v>0.05</v>
      </c>
      <c r="T127" s="443">
        <v>1.2</v>
      </c>
    </row>
    <row r="128" spans="16:20" s="497" customFormat="1" ht="15">
      <c r="P128" s="447"/>
      <c r="Q128" s="450">
        <v>2</v>
      </c>
      <c r="R128" s="450">
        <v>100</v>
      </c>
      <c r="S128" s="450">
        <v>0.06</v>
      </c>
      <c r="T128" s="443">
        <v>1.2</v>
      </c>
    </row>
    <row r="129" spans="16:20" s="497" customFormat="1" ht="15">
      <c r="P129" s="447"/>
      <c r="Q129" s="450">
        <v>2</v>
      </c>
      <c r="R129" s="450">
        <v>100</v>
      </c>
      <c r="S129" s="450">
        <v>0.08</v>
      </c>
      <c r="T129" s="443">
        <v>1.2</v>
      </c>
    </row>
    <row r="130" spans="16:20" s="497" customFormat="1" ht="15">
      <c r="P130" s="447"/>
      <c r="Q130" s="450">
        <v>2</v>
      </c>
      <c r="R130" s="450">
        <v>100</v>
      </c>
      <c r="S130" s="450">
        <v>0.1</v>
      </c>
      <c r="T130" s="443">
        <v>1.2</v>
      </c>
    </row>
    <row r="131" spans="16:20" s="497" customFormat="1" ht="15">
      <c r="P131" s="447"/>
      <c r="Q131" s="450">
        <v>2</v>
      </c>
      <c r="R131" s="450">
        <v>100</v>
      </c>
      <c r="S131" s="450">
        <v>0.15</v>
      </c>
      <c r="T131" s="443">
        <v>1.2</v>
      </c>
    </row>
    <row r="132" spans="16:20" s="497" customFormat="1" ht="15">
      <c r="P132" s="447"/>
      <c r="Q132" s="450">
        <v>2</v>
      </c>
      <c r="R132" s="450">
        <v>100</v>
      </c>
      <c r="S132" s="450">
        <v>0.2</v>
      </c>
      <c r="T132" s="443">
        <v>1.2</v>
      </c>
    </row>
    <row r="133" spans="16:20" s="497" customFormat="1" ht="15">
      <c r="P133" s="447"/>
      <c r="Q133" s="450">
        <v>2</v>
      </c>
      <c r="R133" s="450">
        <v>100</v>
      </c>
      <c r="S133" s="450">
        <v>0.25</v>
      </c>
      <c r="T133" s="443">
        <v>1.2</v>
      </c>
    </row>
    <row r="134" spans="16:20" s="497" customFormat="1" ht="15">
      <c r="P134" s="447"/>
      <c r="Q134" s="450">
        <v>2</v>
      </c>
      <c r="R134" s="450">
        <v>100</v>
      </c>
      <c r="S134" s="450">
        <v>1</v>
      </c>
      <c r="T134" s="443">
        <v>1.2</v>
      </c>
    </row>
    <row r="135" spans="16:20" s="497" customFormat="1" ht="15">
      <c r="P135" s="447"/>
      <c r="Q135" s="450">
        <v>2.0099999999999998</v>
      </c>
      <c r="R135" s="450">
        <v>0</v>
      </c>
      <c r="S135" s="450">
        <v>0</v>
      </c>
      <c r="T135" s="443">
        <v>1.2</v>
      </c>
    </row>
    <row r="136" spans="16:20" s="497" customFormat="1" ht="15">
      <c r="P136" s="447"/>
      <c r="Q136" s="450">
        <v>2.0099999999999998</v>
      </c>
      <c r="R136" s="450">
        <v>0</v>
      </c>
      <c r="S136" s="450">
        <v>0.02</v>
      </c>
      <c r="T136" s="443">
        <v>1.2</v>
      </c>
    </row>
    <row r="137" spans="16:20" s="497" customFormat="1" ht="15">
      <c r="P137" s="447"/>
      <c r="Q137" s="450">
        <v>2.0099999999999998</v>
      </c>
      <c r="R137" s="450">
        <v>0</v>
      </c>
      <c r="S137" s="450">
        <v>0.04</v>
      </c>
      <c r="T137" s="443">
        <v>1.2</v>
      </c>
    </row>
    <row r="138" spans="16:20" s="497" customFormat="1" ht="15">
      <c r="P138" s="447"/>
      <c r="Q138" s="450">
        <v>2.0099999999999998</v>
      </c>
      <c r="R138" s="450">
        <v>0</v>
      </c>
      <c r="S138" s="450">
        <v>0.05</v>
      </c>
      <c r="T138" s="443">
        <v>1.2</v>
      </c>
    </row>
    <row r="139" spans="16:20" s="497" customFormat="1" ht="15">
      <c r="P139" s="447"/>
      <c r="Q139" s="450">
        <v>2.0099999999999998</v>
      </c>
      <c r="R139" s="450">
        <v>0</v>
      </c>
      <c r="S139" s="450">
        <v>0.06</v>
      </c>
      <c r="T139" s="443">
        <v>1.2</v>
      </c>
    </row>
    <row r="140" spans="16:20" s="497" customFormat="1" ht="15">
      <c r="P140" s="447"/>
      <c r="Q140" s="450">
        <v>2.0099999999999998</v>
      </c>
      <c r="R140" s="450">
        <v>0</v>
      </c>
      <c r="S140" s="450">
        <v>0.08</v>
      </c>
      <c r="T140" s="443">
        <v>1.2</v>
      </c>
    </row>
    <row r="141" spans="16:20" s="497" customFormat="1" ht="15">
      <c r="P141" s="447"/>
      <c r="Q141" s="450">
        <v>2.0099999999999998</v>
      </c>
      <c r="R141" s="450">
        <v>0</v>
      </c>
      <c r="S141" s="450">
        <v>0.1</v>
      </c>
      <c r="T141" s="443">
        <v>1.2</v>
      </c>
    </row>
    <row r="142" spans="16:20" s="497" customFormat="1" ht="15">
      <c r="P142" s="447"/>
      <c r="Q142" s="450">
        <v>2.0099999999999998</v>
      </c>
      <c r="R142" s="450">
        <v>0</v>
      </c>
      <c r="S142" s="450">
        <v>0.15</v>
      </c>
      <c r="T142" s="443">
        <v>1.2</v>
      </c>
    </row>
    <row r="143" spans="16:20" s="497" customFormat="1" ht="15">
      <c r="P143" s="447"/>
      <c r="Q143" s="450">
        <v>2.0099999999999998</v>
      </c>
      <c r="R143" s="450">
        <v>0</v>
      </c>
      <c r="S143" s="450">
        <v>0.2</v>
      </c>
      <c r="T143" s="443">
        <v>1.2</v>
      </c>
    </row>
    <row r="144" spans="16:20" s="497" customFormat="1" ht="15">
      <c r="P144" s="447"/>
      <c r="Q144" s="450">
        <v>2.0099999999999998</v>
      </c>
      <c r="R144" s="450">
        <v>0</v>
      </c>
      <c r="S144" s="450">
        <v>0.25</v>
      </c>
      <c r="T144" s="443">
        <v>1.2</v>
      </c>
    </row>
    <row r="145" spans="16:20" s="497" customFormat="1" ht="15">
      <c r="P145" s="447"/>
      <c r="Q145" s="450">
        <v>2.0099999999999998</v>
      </c>
      <c r="R145" s="450">
        <v>0</v>
      </c>
      <c r="S145" s="450">
        <v>1</v>
      </c>
      <c r="T145" s="443">
        <v>1.2</v>
      </c>
    </row>
    <row r="146" spans="16:20" s="497" customFormat="1" ht="15">
      <c r="P146" s="447"/>
      <c r="Q146" s="450">
        <v>2.0099999999999998</v>
      </c>
      <c r="R146" s="450">
        <v>0.4</v>
      </c>
      <c r="S146" s="450">
        <v>0</v>
      </c>
      <c r="T146" s="443">
        <v>1.2</v>
      </c>
    </row>
    <row r="147" spans="16:20" s="497" customFormat="1" ht="15">
      <c r="P147" s="447"/>
      <c r="Q147" s="450">
        <v>2.0099999999999998</v>
      </c>
      <c r="R147" s="450">
        <v>0.4</v>
      </c>
      <c r="S147" s="450">
        <v>0.02</v>
      </c>
      <c r="T147" s="443">
        <v>1.2</v>
      </c>
    </row>
    <row r="148" spans="16:20" s="497" customFormat="1" ht="15">
      <c r="P148" s="447"/>
      <c r="Q148" s="450">
        <v>2.0099999999999998</v>
      </c>
      <c r="R148" s="450">
        <v>0.4</v>
      </c>
      <c r="S148" s="450">
        <v>0.04</v>
      </c>
      <c r="T148" s="443">
        <v>1.2</v>
      </c>
    </row>
    <row r="149" spans="16:20" s="497" customFormat="1" ht="15">
      <c r="P149" s="447"/>
      <c r="Q149" s="450">
        <v>2.0099999999999998</v>
      </c>
      <c r="R149" s="450">
        <v>0.4</v>
      </c>
      <c r="S149" s="450">
        <v>0.05</v>
      </c>
      <c r="T149" s="443">
        <v>1.2</v>
      </c>
    </row>
    <row r="150" spans="16:20" s="497" customFormat="1" ht="15">
      <c r="P150" s="447"/>
      <c r="Q150" s="450">
        <v>2.0099999999999998</v>
      </c>
      <c r="R150" s="450">
        <v>0.4</v>
      </c>
      <c r="S150" s="450">
        <v>0.06</v>
      </c>
      <c r="T150" s="443">
        <v>1.2</v>
      </c>
    </row>
    <row r="151" spans="16:20" s="497" customFormat="1" ht="15">
      <c r="P151" s="447"/>
      <c r="Q151" s="450">
        <v>2.0099999999999998</v>
      </c>
      <c r="R151" s="450">
        <v>0.4</v>
      </c>
      <c r="S151" s="450">
        <v>0.08</v>
      </c>
      <c r="T151" s="443">
        <v>1.2</v>
      </c>
    </row>
    <row r="152" spans="16:20" s="497" customFormat="1" ht="15">
      <c r="P152" s="447"/>
      <c r="Q152" s="450">
        <v>2.0099999999999998</v>
      </c>
      <c r="R152" s="450">
        <v>0.4</v>
      </c>
      <c r="S152" s="450">
        <v>0.1</v>
      </c>
      <c r="T152" s="443">
        <v>1.2</v>
      </c>
    </row>
    <row r="153" spans="16:20" s="497" customFormat="1" ht="15">
      <c r="P153" s="447"/>
      <c r="Q153" s="450">
        <v>2.0099999999999998</v>
      </c>
      <c r="R153" s="450">
        <v>0.4</v>
      </c>
      <c r="S153" s="450">
        <v>0.15</v>
      </c>
      <c r="T153" s="443">
        <v>1.2</v>
      </c>
    </row>
    <row r="154" spans="16:20" s="497" customFormat="1" ht="15">
      <c r="P154" s="447"/>
      <c r="Q154" s="450">
        <v>2.0099999999999998</v>
      </c>
      <c r="R154" s="450">
        <v>0.4</v>
      </c>
      <c r="S154" s="450">
        <v>0.2</v>
      </c>
      <c r="T154" s="443">
        <v>1.2</v>
      </c>
    </row>
    <row r="155" spans="16:20" s="497" customFormat="1" ht="15">
      <c r="P155" s="447"/>
      <c r="Q155" s="450">
        <v>2.0099999999999998</v>
      </c>
      <c r="R155" s="450">
        <v>0.4</v>
      </c>
      <c r="S155" s="450">
        <v>0.25</v>
      </c>
      <c r="T155" s="443">
        <v>1.2</v>
      </c>
    </row>
    <row r="156" spans="16:20" s="497" customFormat="1" ht="15">
      <c r="P156" s="447"/>
      <c r="Q156" s="450">
        <v>2.0099999999999998</v>
      </c>
      <c r="R156" s="450">
        <v>0.4</v>
      </c>
      <c r="S156" s="450">
        <v>1</v>
      </c>
      <c r="T156" s="443">
        <v>1.2</v>
      </c>
    </row>
    <row r="157" spans="16:20" s="497" customFormat="1" ht="15">
      <c r="P157" s="447"/>
      <c r="Q157" s="450">
        <v>2.0099999999999998</v>
      </c>
      <c r="R157" s="450">
        <v>0.40100000000000002</v>
      </c>
      <c r="S157" s="450">
        <v>0</v>
      </c>
      <c r="T157" s="443">
        <v>1.2</v>
      </c>
    </row>
    <row r="158" spans="16:20" s="497" customFormat="1" ht="15">
      <c r="P158" s="447"/>
      <c r="Q158" s="450">
        <v>2.0099999999999998</v>
      </c>
      <c r="R158" s="450">
        <v>0.40100000000000002</v>
      </c>
      <c r="S158" s="450">
        <v>0.02</v>
      </c>
      <c r="T158" s="443">
        <v>1.2</v>
      </c>
    </row>
    <row r="159" spans="16:20" s="497" customFormat="1" ht="15">
      <c r="P159" s="447"/>
      <c r="Q159" s="450">
        <v>2.0099999999999998</v>
      </c>
      <c r="R159" s="450">
        <v>0.40100000000000002</v>
      </c>
      <c r="S159" s="450">
        <v>0.04</v>
      </c>
      <c r="T159" s="443">
        <v>1.2</v>
      </c>
    </row>
    <row r="160" spans="16:20" s="497" customFormat="1" ht="15">
      <c r="P160" s="447"/>
      <c r="Q160" s="450">
        <v>2.0099999999999998</v>
      </c>
      <c r="R160" s="450">
        <v>0.40100000000000002</v>
      </c>
      <c r="S160" s="450">
        <v>0.05</v>
      </c>
      <c r="T160" s="443">
        <v>1.2</v>
      </c>
    </row>
    <row r="161" spans="16:20" s="497" customFormat="1" ht="15">
      <c r="P161" s="447"/>
      <c r="Q161" s="450">
        <v>2.0099999999999998</v>
      </c>
      <c r="R161" s="450">
        <v>0.40100000000000002</v>
      </c>
      <c r="S161" s="450">
        <v>0.06</v>
      </c>
      <c r="T161" s="443">
        <v>1.2</v>
      </c>
    </row>
    <row r="162" spans="16:20" s="497" customFormat="1" ht="15">
      <c r="P162" s="447"/>
      <c r="Q162" s="450">
        <v>2.0099999999999998</v>
      </c>
      <c r="R162" s="450">
        <v>0.40100000000000002</v>
      </c>
      <c r="S162" s="450">
        <v>0.08</v>
      </c>
      <c r="T162" s="443">
        <v>1.2</v>
      </c>
    </row>
    <row r="163" spans="16:20" s="497" customFormat="1" ht="15">
      <c r="P163" s="447"/>
      <c r="Q163" s="450">
        <v>2.0099999999999998</v>
      </c>
      <c r="R163" s="450">
        <v>0.40100000000000002</v>
      </c>
      <c r="S163" s="450">
        <v>0.1</v>
      </c>
      <c r="T163" s="443">
        <v>1.2</v>
      </c>
    </row>
    <row r="164" spans="16:20" s="497" customFormat="1" ht="15">
      <c r="P164" s="447"/>
      <c r="Q164" s="450">
        <v>2.0099999999999998</v>
      </c>
      <c r="R164" s="450">
        <v>0.40100000000000002</v>
      </c>
      <c r="S164" s="450">
        <v>0.15</v>
      </c>
      <c r="T164" s="443">
        <v>1.2</v>
      </c>
    </row>
    <row r="165" spans="16:20" s="497" customFormat="1" ht="15">
      <c r="P165" s="447"/>
      <c r="Q165" s="450">
        <v>2.0099999999999998</v>
      </c>
      <c r="R165" s="450">
        <v>0.40100000000000002</v>
      </c>
      <c r="S165" s="450">
        <v>0.2</v>
      </c>
      <c r="T165" s="443">
        <v>1.2</v>
      </c>
    </row>
    <row r="166" spans="16:20" s="497" customFormat="1" ht="15">
      <c r="P166" s="447"/>
      <c r="Q166" s="450">
        <v>2.0099999999999998</v>
      </c>
      <c r="R166" s="450">
        <v>0.40100000000000002</v>
      </c>
      <c r="S166" s="450">
        <v>0.25</v>
      </c>
      <c r="T166" s="443">
        <v>1.2</v>
      </c>
    </row>
    <row r="167" spans="16:20" s="497" customFormat="1" ht="15">
      <c r="P167" s="447"/>
      <c r="Q167" s="450">
        <v>2.0099999999999998</v>
      </c>
      <c r="R167" s="450">
        <v>0.40100000000000002</v>
      </c>
      <c r="S167" s="450">
        <v>1</v>
      </c>
      <c r="T167" s="443">
        <v>1.2</v>
      </c>
    </row>
    <row r="168" spans="16:20" s="497" customFormat="1" ht="15">
      <c r="P168" s="447"/>
      <c r="Q168" s="450">
        <v>2.0099999999999998</v>
      </c>
      <c r="R168" s="450">
        <v>0.8</v>
      </c>
      <c r="S168" s="450">
        <v>0</v>
      </c>
      <c r="T168" s="443">
        <v>1.2</v>
      </c>
    </row>
    <row r="169" spans="16:20" s="497" customFormat="1" ht="15">
      <c r="P169" s="447"/>
      <c r="Q169" s="450">
        <v>2.0099999999999998</v>
      </c>
      <c r="R169" s="450">
        <v>0.8</v>
      </c>
      <c r="S169" s="450">
        <v>0.02</v>
      </c>
      <c r="T169" s="443">
        <v>1.2</v>
      </c>
    </row>
    <row r="170" spans="16:20" s="497" customFormat="1" ht="15">
      <c r="P170" s="447"/>
      <c r="Q170" s="450">
        <v>2.0099999999999998</v>
      </c>
      <c r="R170" s="450">
        <v>0.8</v>
      </c>
      <c r="S170" s="450">
        <v>0.04</v>
      </c>
      <c r="T170" s="443">
        <v>1.2</v>
      </c>
    </row>
    <row r="171" spans="16:20" s="497" customFormat="1" ht="15">
      <c r="P171" s="447"/>
      <c r="Q171" s="450">
        <v>2.0099999999999998</v>
      </c>
      <c r="R171" s="450">
        <v>0.8</v>
      </c>
      <c r="S171" s="450">
        <v>0.05</v>
      </c>
      <c r="T171" s="443">
        <v>1.2</v>
      </c>
    </row>
    <row r="172" spans="16:20" s="497" customFormat="1" ht="15">
      <c r="P172" s="447"/>
      <c r="Q172" s="450">
        <v>2.0099999999999998</v>
      </c>
      <c r="R172" s="450">
        <v>0.8</v>
      </c>
      <c r="S172" s="450">
        <v>0.06</v>
      </c>
      <c r="T172" s="443">
        <v>1.2</v>
      </c>
    </row>
    <row r="173" spans="16:20" s="497" customFormat="1" ht="15">
      <c r="P173" s="447"/>
      <c r="Q173" s="450">
        <v>2.0099999999999998</v>
      </c>
      <c r="R173" s="450">
        <v>0.8</v>
      </c>
      <c r="S173" s="450">
        <v>0.08</v>
      </c>
      <c r="T173" s="443">
        <v>1.2</v>
      </c>
    </row>
    <row r="174" spans="16:20" s="497" customFormat="1" ht="15">
      <c r="P174" s="447"/>
      <c r="Q174" s="450">
        <v>2.0099999999999998</v>
      </c>
      <c r="R174" s="450">
        <v>0.8</v>
      </c>
      <c r="S174" s="450">
        <v>0.1</v>
      </c>
      <c r="T174" s="443">
        <v>1.2</v>
      </c>
    </row>
    <row r="175" spans="16:20" s="497" customFormat="1" ht="15">
      <c r="P175" s="447"/>
      <c r="Q175" s="450">
        <v>2.0099999999999998</v>
      </c>
      <c r="R175" s="450">
        <v>0.8</v>
      </c>
      <c r="S175" s="450">
        <v>0.15</v>
      </c>
      <c r="T175" s="443">
        <v>1.2</v>
      </c>
    </row>
    <row r="176" spans="16:20" s="497" customFormat="1" ht="15">
      <c r="P176" s="447"/>
      <c r="Q176" s="450">
        <v>2.0099999999999998</v>
      </c>
      <c r="R176" s="450">
        <v>0.8</v>
      </c>
      <c r="S176" s="450">
        <v>0.2</v>
      </c>
      <c r="T176" s="443">
        <v>1.2</v>
      </c>
    </row>
    <row r="177" spans="16:20" s="497" customFormat="1" ht="15">
      <c r="P177" s="447"/>
      <c r="Q177" s="450">
        <v>2.0099999999999998</v>
      </c>
      <c r="R177" s="450">
        <v>0.8</v>
      </c>
      <c r="S177" s="450">
        <v>0.25</v>
      </c>
      <c r="T177" s="443">
        <v>1.2</v>
      </c>
    </row>
    <row r="178" spans="16:20" s="497" customFormat="1" ht="15">
      <c r="P178" s="447"/>
      <c r="Q178" s="450">
        <v>2.0099999999999998</v>
      </c>
      <c r="R178" s="450">
        <v>0.8</v>
      </c>
      <c r="S178" s="450">
        <v>1</v>
      </c>
      <c r="T178" s="443">
        <v>1.2</v>
      </c>
    </row>
    <row r="179" spans="16:20" s="497" customFormat="1" ht="15">
      <c r="P179" s="447"/>
      <c r="Q179" s="450">
        <v>2.0099999999999998</v>
      </c>
      <c r="R179" s="450">
        <v>0.80100000000000005</v>
      </c>
      <c r="S179" s="450">
        <v>0</v>
      </c>
      <c r="T179" s="443">
        <v>3</v>
      </c>
    </row>
    <row r="180" spans="16:20" s="497" customFormat="1" ht="15">
      <c r="P180" s="447"/>
      <c r="Q180" s="450">
        <v>2.0099999999999998</v>
      </c>
      <c r="R180" s="450">
        <v>0.80100000000000005</v>
      </c>
      <c r="S180" s="450">
        <v>0.02</v>
      </c>
      <c r="T180" s="443">
        <v>3</v>
      </c>
    </row>
    <row r="181" spans="16:20" s="497" customFormat="1" ht="15">
      <c r="P181" s="447"/>
      <c r="Q181" s="450">
        <v>2.0099999999999998</v>
      </c>
      <c r="R181" s="450">
        <v>0.80100000000000005</v>
      </c>
      <c r="S181" s="450">
        <v>0.04</v>
      </c>
      <c r="T181" s="443">
        <v>1.5</v>
      </c>
    </row>
    <row r="182" spans="16:20" s="497" customFormat="1" ht="15">
      <c r="P182" s="447"/>
      <c r="Q182" s="450">
        <v>2.0099999999999998</v>
      </c>
      <c r="R182" s="450">
        <v>0.80100000000000005</v>
      </c>
      <c r="S182" s="450">
        <v>0.05</v>
      </c>
      <c r="T182" s="443">
        <v>1.5</v>
      </c>
    </row>
    <row r="183" spans="16:20" s="497" customFormat="1" ht="15">
      <c r="P183" s="447"/>
      <c r="Q183" s="450">
        <v>2.0099999999999998</v>
      </c>
      <c r="R183" s="450">
        <v>0.80100000000000005</v>
      </c>
      <c r="S183" s="450">
        <v>0.06</v>
      </c>
      <c r="T183" s="443">
        <v>1.5</v>
      </c>
    </row>
    <row r="184" spans="16:20" s="497" customFormat="1" ht="15">
      <c r="P184" s="447"/>
      <c r="Q184" s="450">
        <v>2.0099999999999998</v>
      </c>
      <c r="R184" s="450">
        <v>0.80100000000000005</v>
      </c>
      <c r="S184" s="450">
        <v>0.08</v>
      </c>
      <c r="T184" s="443">
        <v>1.5</v>
      </c>
    </row>
    <row r="185" spans="16:20" s="497" customFormat="1" ht="15">
      <c r="P185" s="447"/>
      <c r="Q185" s="450">
        <v>2.0099999999999998</v>
      </c>
      <c r="R185" s="450">
        <v>0.80100000000000005</v>
      </c>
      <c r="S185" s="450">
        <v>0.1</v>
      </c>
      <c r="T185" s="443">
        <v>1.5</v>
      </c>
    </row>
    <row r="186" spans="16:20" s="497" customFormat="1" ht="15">
      <c r="P186" s="447"/>
      <c r="Q186" s="450">
        <v>2.0099999999999998</v>
      </c>
      <c r="R186" s="450">
        <v>0.80100000000000005</v>
      </c>
      <c r="S186" s="450">
        <v>0.15</v>
      </c>
      <c r="T186" s="443">
        <v>1.2</v>
      </c>
    </row>
    <row r="187" spans="16:20" s="497" customFormat="1" ht="15">
      <c r="P187" s="447"/>
      <c r="Q187" s="450">
        <v>2.0099999999999998</v>
      </c>
      <c r="R187" s="450">
        <v>0.80100000000000005</v>
      </c>
      <c r="S187" s="450">
        <v>0.2</v>
      </c>
      <c r="T187" s="443">
        <v>1.2</v>
      </c>
    </row>
    <row r="188" spans="16:20" s="497" customFormat="1" ht="15">
      <c r="P188" s="447"/>
      <c r="Q188" s="450">
        <v>2.0099999999999998</v>
      </c>
      <c r="R188" s="450">
        <v>0.80100000000000005</v>
      </c>
      <c r="S188" s="450">
        <v>0.25</v>
      </c>
      <c r="T188" s="443">
        <v>1.2</v>
      </c>
    </row>
    <row r="189" spans="16:20" s="497" customFormat="1" ht="15">
      <c r="P189" s="447"/>
      <c r="Q189" s="450">
        <v>2.0099999999999998</v>
      </c>
      <c r="R189" s="450">
        <v>0.80100000000000005</v>
      </c>
      <c r="S189" s="450">
        <v>1</v>
      </c>
      <c r="T189" s="443">
        <v>1.2</v>
      </c>
    </row>
    <row r="190" spans="16:20" s="497" customFormat="1" ht="15">
      <c r="P190" s="447"/>
      <c r="Q190" s="450">
        <v>2.0099999999999998</v>
      </c>
      <c r="R190" s="450">
        <v>100</v>
      </c>
      <c r="S190" s="450">
        <v>0</v>
      </c>
      <c r="T190" s="443">
        <v>3</v>
      </c>
    </row>
    <row r="191" spans="16:20" s="497" customFormat="1" ht="15">
      <c r="P191" s="447"/>
      <c r="Q191" s="450">
        <v>2.0099999999999998</v>
      </c>
      <c r="R191" s="450">
        <v>100</v>
      </c>
      <c r="S191" s="450">
        <v>0.02</v>
      </c>
      <c r="T191" s="443">
        <v>3</v>
      </c>
    </row>
    <row r="192" spans="16:20" s="497" customFormat="1" ht="15">
      <c r="P192" s="447"/>
      <c r="Q192" s="450">
        <v>2.0099999999999998</v>
      </c>
      <c r="R192" s="450">
        <v>100</v>
      </c>
      <c r="S192" s="450">
        <v>0.04</v>
      </c>
      <c r="T192" s="443">
        <v>1.5</v>
      </c>
    </row>
    <row r="193" spans="16:20" s="497" customFormat="1" ht="15">
      <c r="P193" s="447"/>
      <c r="Q193" s="450">
        <v>2.0099999999999998</v>
      </c>
      <c r="R193" s="450">
        <v>100</v>
      </c>
      <c r="S193" s="450">
        <v>0.05</v>
      </c>
      <c r="T193" s="443">
        <v>1.5</v>
      </c>
    </row>
    <row r="194" spans="16:20" s="497" customFormat="1" ht="15">
      <c r="P194" s="447"/>
      <c r="Q194" s="450">
        <v>2.0099999999999998</v>
      </c>
      <c r="R194" s="450">
        <v>100</v>
      </c>
      <c r="S194" s="450">
        <v>0.06</v>
      </c>
      <c r="T194" s="443">
        <v>1.5</v>
      </c>
    </row>
    <row r="195" spans="16:20" s="497" customFormat="1" ht="15">
      <c r="P195" s="447"/>
      <c r="Q195" s="450">
        <v>2.0099999999999998</v>
      </c>
      <c r="R195" s="450">
        <v>100</v>
      </c>
      <c r="S195" s="450">
        <v>0.08</v>
      </c>
      <c r="T195" s="443">
        <v>1.5</v>
      </c>
    </row>
    <row r="196" spans="16:20" s="497" customFormat="1" ht="15">
      <c r="P196" s="447"/>
      <c r="Q196" s="450">
        <v>2.0099999999999998</v>
      </c>
      <c r="R196" s="450">
        <v>100</v>
      </c>
      <c r="S196" s="450">
        <v>0.1</v>
      </c>
      <c r="T196" s="443">
        <v>1.5</v>
      </c>
    </row>
    <row r="197" spans="16:20" s="497" customFormat="1" ht="15">
      <c r="P197" s="447"/>
      <c r="Q197" s="450">
        <v>2.0099999999999998</v>
      </c>
      <c r="R197" s="450">
        <v>100</v>
      </c>
      <c r="S197" s="450">
        <v>0.15</v>
      </c>
      <c r="T197" s="443">
        <v>1.2</v>
      </c>
    </row>
    <row r="198" spans="16:20" s="497" customFormat="1" ht="15">
      <c r="P198" s="447"/>
      <c r="Q198" s="450">
        <v>2.0099999999999998</v>
      </c>
      <c r="R198" s="450">
        <v>100</v>
      </c>
      <c r="S198" s="450">
        <v>0.2</v>
      </c>
      <c r="T198" s="443">
        <v>1.2</v>
      </c>
    </row>
    <row r="199" spans="16:20" s="497" customFormat="1" ht="15">
      <c r="P199" s="447"/>
      <c r="Q199" s="450">
        <v>2.0099999999999998</v>
      </c>
      <c r="R199" s="450">
        <v>100</v>
      </c>
      <c r="S199" s="450">
        <v>0.25</v>
      </c>
      <c r="T199" s="443">
        <v>1.2</v>
      </c>
    </row>
    <row r="200" spans="16:20" s="497" customFormat="1" ht="15">
      <c r="P200" s="447"/>
      <c r="Q200" s="450">
        <v>2.0099999999999998</v>
      </c>
      <c r="R200" s="450">
        <v>100</v>
      </c>
      <c r="S200" s="450">
        <v>1</v>
      </c>
      <c r="T200" s="443">
        <v>1.2</v>
      </c>
    </row>
    <row r="201" spans="16:20" s="497" customFormat="1" ht="15">
      <c r="P201" s="447"/>
      <c r="Q201" s="450">
        <v>3</v>
      </c>
      <c r="R201" s="450">
        <v>0</v>
      </c>
      <c r="S201" s="450">
        <v>0</v>
      </c>
      <c r="T201" s="443">
        <v>1.2</v>
      </c>
    </row>
    <row r="202" spans="16:20" s="497" customFormat="1" ht="15">
      <c r="P202" s="447"/>
      <c r="Q202" s="450">
        <v>3</v>
      </c>
      <c r="R202" s="450">
        <v>0</v>
      </c>
      <c r="S202" s="450">
        <v>0.02</v>
      </c>
      <c r="T202" s="443">
        <v>1.2</v>
      </c>
    </row>
    <row r="203" spans="16:20" s="497" customFormat="1" ht="15">
      <c r="P203" s="447"/>
      <c r="Q203" s="450">
        <v>3</v>
      </c>
      <c r="R203" s="450">
        <v>0</v>
      </c>
      <c r="S203" s="450">
        <v>0.04</v>
      </c>
      <c r="T203" s="443">
        <v>1.2</v>
      </c>
    </row>
    <row r="204" spans="16:20" s="497" customFormat="1" ht="15">
      <c r="P204" s="447"/>
      <c r="Q204" s="450">
        <v>3</v>
      </c>
      <c r="R204" s="450">
        <v>0</v>
      </c>
      <c r="S204" s="450">
        <v>0.05</v>
      </c>
      <c r="T204" s="443">
        <v>1.2</v>
      </c>
    </row>
    <row r="205" spans="16:20" s="497" customFormat="1" ht="15">
      <c r="P205" s="447"/>
      <c r="Q205" s="450">
        <v>3</v>
      </c>
      <c r="R205" s="450">
        <v>0</v>
      </c>
      <c r="S205" s="450">
        <v>0.06</v>
      </c>
      <c r="T205" s="443">
        <v>1.2</v>
      </c>
    </row>
    <row r="206" spans="16:20" s="497" customFormat="1" ht="15">
      <c r="P206" s="447"/>
      <c r="Q206" s="450">
        <v>3</v>
      </c>
      <c r="R206" s="450">
        <v>0</v>
      </c>
      <c r="S206" s="450">
        <v>0.08</v>
      </c>
      <c r="T206" s="443">
        <v>1.2</v>
      </c>
    </row>
    <row r="207" spans="16:20" s="497" customFormat="1" ht="15">
      <c r="P207" s="447"/>
      <c r="Q207" s="450">
        <v>3</v>
      </c>
      <c r="R207" s="450">
        <v>0</v>
      </c>
      <c r="S207" s="450">
        <v>0.1</v>
      </c>
      <c r="T207" s="443">
        <v>1.2</v>
      </c>
    </row>
    <row r="208" spans="16:20" s="497" customFormat="1" ht="15">
      <c r="P208" s="447"/>
      <c r="Q208" s="450">
        <v>3</v>
      </c>
      <c r="R208" s="450">
        <v>0</v>
      </c>
      <c r="S208" s="450">
        <v>0.15</v>
      </c>
      <c r="T208" s="443">
        <v>1.2</v>
      </c>
    </row>
    <row r="209" spans="16:20" s="497" customFormat="1" ht="15">
      <c r="P209" s="447"/>
      <c r="Q209" s="450">
        <v>3</v>
      </c>
      <c r="R209" s="450">
        <v>0</v>
      </c>
      <c r="S209" s="450">
        <v>0.2</v>
      </c>
      <c r="T209" s="443">
        <v>1.2</v>
      </c>
    </row>
    <row r="210" spans="16:20" s="497" customFormat="1" ht="15">
      <c r="P210" s="447"/>
      <c r="Q210" s="450">
        <v>3</v>
      </c>
      <c r="R210" s="450">
        <v>0</v>
      </c>
      <c r="S210" s="450">
        <v>0.25</v>
      </c>
      <c r="T210" s="443">
        <v>1.2</v>
      </c>
    </row>
    <row r="211" spans="16:20" s="497" customFormat="1" ht="15">
      <c r="P211" s="447"/>
      <c r="Q211" s="450">
        <v>3</v>
      </c>
      <c r="R211" s="450">
        <v>0</v>
      </c>
      <c r="S211" s="450">
        <v>1</v>
      </c>
      <c r="T211" s="443">
        <v>1.2</v>
      </c>
    </row>
    <row r="212" spans="16:20" s="497" customFormat="1" ht="15">
      <c r="P212" s="447"/>
      <c r="Q212" s="450">
        <v>3</v>
      </c>
      <c r="R212" s="450">
        <v>0.4</v>
      </c>
      <c r="S212" s="450">
        <v>0</v>
      </c>
      <c r="T212" s="443">
        <v>1.2</v>
      </c>
    </row>
    <row r="213" spans="16:20" s="497" customFormat="1" ht="15">
      <c r="P213" s="447"/>
      <c r="Q213" s="450">
        <v>3</v>
      </c>
      <c r="R213" s="450">
        <v>0.4</v>
      </c>
      <c r="S213" s="450">
        <v>0.02</v>
      </c>
      <c r="T213" s="443">
        <v>1.2</v>
      </c>
    </row>
    <row r="214" spans="16:20" s="497" customFormat="1" ht="15">
      <c r="P214" s="447"/>
      <c r="Q214" s="450">
        <v>3</v>
      </c>
      <c r="R214" s="450">
        <v>0.4</v>
      </c>
      <c r="S214" s="450">
        <v>0.04</v>
      </c>
      <c r="T214" s="443">
        <v>1.2</v>
      </c>
    </row>
    <row r="215" spans="16:20" s="497" customFormat="1" ht="15">
      <c r="P215" s="447"/>
      <c r="Q215" s="450">
        <v>3</v>
      </c>
      <c r="R215" s="450">
        <v>0.4</v>
      </c>
      <c r="S215" s="450">
        <v>0.05</v>
      </c>
      <c r="T215" s="443">
        <v>1.2</v>
      </c>
    </row>
    <row r="216" spans="16:20" s="497" customFormat="1" ht="15">
      <c r="P216" s="447"/>
      <c r="Q216" s="450">
        <v>3</v>
      </c>
      <c r="R216" s="450">
        <v>0.4</v>
      </c>
      <c r="S216" s="450">
        <v>0.06</v>
      </c>
      <c r="T216" s="443">
        <v>1.2</v>
      </c>
    </row>
    <row r="217" spans="16:20" s="497" customFormat="1" ht="15">
      <c r="P217" s="447"/>
      <c r="Q217" s="450">
        <v>3</v>
      </c>
      <c r="R217" s="450">
        <v>0.4</v>
      </c>
      <c r="S217" s="450">
        <v>0.08</v>
      </c>
      <c r="T217" s="443">
        <v>1.2</v>
      </c>
    </row>
    <row r="218" spans="16:20" s="497" customFormat="1" ht="15">
      <c r="P218" s="447"/>
      <c r="Q218" s="450">
        <v>3</v>
      </c>
      <c r="R218" s="450">
        <v>0.4</v>
      </c>
      <c r="S218" s="450">
        <v>0.1</v>
      </c>
      <c r="T218" s="443">
        <v>1.2</v>
      </c>
    </row>
    <row r="219" spans="16:20" s="497" customFormat="1" ht="15">
      <c r="P219" s="447"/>
      <c r="Q219" s="450">
        <v>3</v>
      </c>
      <c r="R219" s="450">
        <v>0.4</v>
      </c>
      <c r="S219" s="450">
        <v>0.15</v>
      </c>
      <c r="T219" s="443">
        <v>1.2</v>
      </c>
    </row>
    <row r="220" spans="16:20" s="497" customFormat="1" ht="15">
      <c r="P220" s="447"/>
      <c r="Q220" s="450">
        <v>3</v>
      </c>
      <c r="R220" s="450">
        <v>0.4</v>
      </c>
      <c r="S220" s="450">
        <v>0.2</v>
      </c>
      <c r="T220" s="443">
        <v>1.2</v>
      </c>
    </row>
    <row r="221" spans="16:20" s="497" customFormat="1" ht="15">
      <c r="P221" s="447"/>
      <c r="Q221" s="450">
        <v>3</v>
      </c>
      <c r="R221" s="450">
        <v>0.4</v>
      </c>
      <c r="S221" s="450">
        <v>0.25</v>
      </c>
      <c r="T221" s="443">
        <v>1.2</v>
      </c>
    </row>
    <row r="222" spans="16:20" s="497" customFormat="1" ht="15">
      <c r="P222" s="447"/>
      <c r="Q222" s="450">
        <v>3</v>
      </c>
      <c r="R222" s="450">
        <v>0.4</v>
      </c>
      <c r="S222" s="450">
        <v>1</v>
      </c>
      <c r="T222" s="443">
        <v>1.2</v>
      </c>
    </row>
    <row r="223" spans="16:20" s="497" customFormat="1" ht="15">
      <c r="P223" s="447"/>
      <c r="Q223" s="450">
        <v>3</v>
      </c>
      <c r="R223" s="450">
        <v>0.40100000000000002</v>
      </c>
      <c r="S223" s="450">
        <v>0</v>
      </c>
      <c r="T223" s="443">
        <v>1.2</v>
      </c>
    </row>
    <row r="224" spans="16:20" s="497" customFormat="1" ht="15">
      <c r="P224" s="447"/>
      <c r="Q224" s="450">
        <v>3</v>
      </c>
      <c r="R224" s="450">
        <v>0.40100000000000002</v>
      </c>
      <c r="S224" s="450">
        <v>0.02</v>
      </c>
      <c r="T224" s="443">
        <v>1.2</v>
      </c>
    </row>
    <row r="225" spans="16:20" s="497" customFormat="1" ht="15">
      <c r="P225" s="447"/>
      <c r="Q225" s="450">
        <v>3</v>
      </c>
      <c r="R225" s="450">
        <v>0.40100000000000002</v>
      </c>
      <c r="S225" s="450">
        <v>0.04</v>
      </c>
      <c r="T225" s="443">
        <v>1.2</v>
      </c>
    </row>
    <row r="226" spans="16:20" s="497" customFormat="1" ht="15">
      <c r="P226" s="447"/>
      <c r="Q226" s="450">
        <v>3</v>
      </c>
      <c r="R226" s="450">
        <v>0.40100000000000002</v>
      </c>
      <c r="S226" s="450">
        <v>0.05</v>
      </c>
      <c r="T226" s="443">
        <v>1.2</v>
      </c>
    </row>
    <row r="227" spans="16:20" s="497" customFormat="1" ht="15">
      <c r="P227" s="447"/>
      <c r="Q227" s="450">
        <v>3</v>
      </c>
      <c r="R227" s="450">
        <v>0.40100000000000002</v>
      </c>
      <c r="S227" s="450">
        <v>0.06</v>
      </c>
      <c r="T227" s="443">
        <v>1.2</v>
      </c>
    </row>
    <row r="228" spans="16:20" s="497" customFormat="1" ht="15">
      <c r="P228" s="447"/>
      <c r="Q228" s="450">
        <v>3</v>
      </c>
      <c r="R228" s="450">
        <v>0.40100000000000002</v>
      </c>
      <c r="S228" s="450">
        <v>0.08</v>
      </c>
      <c r="T228" s="443">
        <v>1.2</v>
      </c>
    </row>
    <row r="229" spans="16:20" s="497" customFormat="1" ht="15">
      <c r="P229" s="447"/>
      <c r="Q229" s="450">
        <v>3</v>
      </c>
      <c r="R229" s="450">
        <v>0.40100000000000002</v>
      </c>
      <c r="S229" s="450">
        <v>0.1</v>
      </c>
      <c r="T229" s="443">
        <v>1.2</v>
      </c>
    </row>
    <row r="230" spans="16:20" s="497" customFormat="1" ht="15">
      <c r="P230" s="447"/>
      <c r="Q230" s="450">
        <v>3</v>
      </c>
      <c r="R230" s="450">
        <v>0.40100000000000002</v>
      </c>
      <c r="S230" s="450">
        <v>0.15</v>
      </c>
      <c r="T230" s="443">
        <v>1.2</v>
      </c>
    </row>
    <row r="231" spans="16:20" s="497" customFormat="1" ht="15">
      <c r="P231" s="447"/>
      <c r="Q231" s="450">
        <v>3</v>
      </c>
      <c r="R231" s="450">
        <v>0.40100000000000002</v>
      </c>
      <c r="S231" s="450">
        <v>0.2</v>
      </c>
      <c r="T231" s="443">
        <v>1.2</v>
      </c>
    </row>
    <row r="232" spans="16:20" s="497" customFormat="1" ht="15">
      <c r="P232" s="447"/>
      <c r="Q232" s="450">
        <v>3</v>
      </c>
      <c r="R232" s="450">
        <v>0.40100000000000002</v>
      </c>
      <c r="S232" s="450">
        <v>0.25</v>
      </c>
      <c r="T232" s="443">
        <v>1.2</v>
      </c>
    </row>
    <row r="233" spans="16:20" s="497" customFormat="1" ht="15">
      <c r="P233" s="447"/>
      <c r="Q233" s="450">
        <v>3</v>
      </c>
      <c r="R233" s="450">
        <v>0.40100000000000002</v>
      </c>
      <c r="S233" s="450">
        <v>1</v>
      </c>
      <c r="T233" s="443">
        <v>1.2</v>
      </c>
    </row>
    <row r="234" spans="16:20" s="497" customFormat="1" ht="15">
      <c r="P234" s="447"/>
      <c r="Q234" s="450">
        <v>3</v>
      </c>
      <c r="R234" s="450">
        <v>0.8</v>
      </c>
      <c r="S234" s="450">
        <v>0</v>
      </c>
      <c r="T234" s="443">
        <v>1.2</v>
      </c>
    </row>
    <row r="235" spans="16:20" s="497" customFormat="1" ht="15">
      <c r="P235" s="447"/>
      <c r="Q235" s="450">
        <v>3</v>
      </c>
      <c r="R235" s="450">
        <v>0.8</v>
      </c>
      <c r="S235" s="450">
        <v>0.02</v>
      </c>
      <c r="T235" s="443">
        <v>1.2</v>
      </c>
    </row>
    <row r="236" spans="16:20" s="497" customFormat="1" ht="15">
      <c r="P236" s="447"/>
      <c r="Q236" s="450">
        <v>3</v>
      </c>
      <c r="R236" s="450">
        <v>0.8</v>
      </c>
      <c r="S236" s="450">
        <v>0.04</v>
      </c>
      <c r="T236" s="443">
        <v>1.2</v>
      </c>
    </row>
    <row r="237" spans="16:20" s="497" customFormat="1" ht="15">
      <c r="P237" s="447"/>
      <c r="Q237" s="450">
        <v>3</v>
      </c>
      <c r="R237" s="450">
        <v>0.8</v>
      </c>
      <c r="S237" s="450">
        <v>0.05</v>
      </c>
      <c r="T237" s="443">
        <v>1.2</v>
      </c>
    </row>
    <row r="238" spans="16:20" s="497" customFormat="1" ht="15">
      <c r="P238" s="447"/>
      <c r="Q238" s="450">
        <v>3</v>
      </c>
      <c r="R238" s="450">
        <v>0.8</v>
      </c>
      <c r="S238" s="450">
        <v>0.06</v>
      </c>
      <c r="T238" s="443">
        <v>1.2</v>
      </c>
    </row>
    <row r="239" spans="16:20" s="497" customFormat="1" ht="15">
      <c r="P239" s="447"/>
      <c r="Q239" s="450">
        <v>3</v>
      </c>
      <c r="R239" s="450">
        <v>0.8</v>
      </c>
      <c r="S239" s="450">
        <v>0.08</v>
      </c>
      <c r="T239" s="443">
        <v>1.2</v>
      </c>
    </row>
    <row r="240" spans="16:20" s="497" customFormat="1" ht="15">
      <c r="P240" s="447"/>
      <c r="Q240" s="450">
        <v>3</v>
      </c>
      <c r="R240" s="450">
        <v>0.8</v>
      </c>
      <c r="S240" s="450">
        <v>0.1</v>
      </c>
      <c r="T240" s="443">
        <v>1.2</v>
      </c>
    </row>
    <row r="241" spans="16:20" s="497" customFormat="1" ht="15">
      <c r="P241" s="447"/>
      <c r="Q241" s="450">
        <v>3</v>
      </c>
      <c r="R241" s="450">
        <v>0.8</v>
      </c>
      <c r="S241" s="450">
        <v>0.15</v>
      </c>
      <c r="T241" s="443">
        <v>1.2</v>
      </c>
    </row>
    <row r="242" spans="16:20" s="497" customFormat="1" ht="15">
      <c r="P242" s="447"/>
      <c r="Q242" s="450">
        <v>3</v>
      </c>
      <c r="R242" s="450">
        <v>0.8</v>
      </c>
      <c r="S242" s="450">
        <v>0.2</v>
      </c>
      <c r="T242" s="443">
        <v>1.2</v>
      </c>
    </row>
    <row r="243" spans="16:20" s="497" customFormat="1" ht="15">
      <c r="P243" s="447"/>
      <c r="Q243" s="450">
        <v>3</v>
      </c>
      <c r="R243" s="450">
        <v>0.8</v>
      </c>
      <c r="S243" s="450">
        <v>0.25</v>
      </c>
      <c r="T243" s="443">
        <v>1.2</v>
      </c>
    </row>
    <row r="244" spans="16:20" s="497" customFormat="1" ht="15">
      <c r="P244" s="447"/>
      <c r="Q244" s="450">
        <v>3</v>
      </c>
      <c r="R244" s="450">
        <v>0.8</v>
      </c>
      <c r="S244" s="450">
        <v>1</v>
      </c>
      <c r="T244" s="443">
        <v>1.2</v>
      </c>
    </row>
    <row r="245" spans="16:20" s="497" customFormat="1" ht="15">
      <c r="P245" s="447"/>
      <c r="Q245" s="450">
        <v>3</v>
      </c>
      <c r="R245" s="450">
        <v>0.80100000000000005</v>
      </c>
      <c r="S245" s="450">
        <v>0</v>
      </c>
      <c r="T245" s="443">
        <v>3</v>
      </c>
    </row>
    <row r="246" spans="16:20" s="497" customFormat="1" ht="15">
      <c r="P246" s="447"/>
      <c r="Q246" s="450">
        <v>3</v>
      </c>
      <c r="R246" s="450">
        <v>0.80100000000000005</v>
      </c>
      <c r="S246" s="450">
        <v>0.02</v>
      </c>
      <c r="T246" s="443">
        <v>3</v>
      </c>
    </row>
    <row r="247" spans="16:20" s="497" customFormat="1" ht="15">
      <c r="P247" s="447"/>
      <c r="Q247" s="450">
        <v>3</v>
      </c>
      <c r="R247" s="450">
        <v>0.80100000000000005</v>
      </c>
      <c r="S247" s="450">
        <v>0.04</v>
      </c>
      <c r="T247" s="443">
        <v>1.5</v>
      </c>
    </row>
    <row r="248" spans="16:20" s="497" customFormat="1" ht="15">
      <c r="P248" s="447"/>
      <c r="Q248" s="450">
        <v>3</v>
      </c>
      <c r="R248" s="450">
        <v>0.80100000000000005</v>
      </c>
      <c r="S248" s="450">
        <v>0.05</v>
      </c>
      <c r="T248" s="443">
        <v>1.5</v>
      </c>
    </row>
    <row r="249" spans="16:20" s="497" customFormat="1" ht="15">
      <c r="P249" s="447"/>
      <c r="Q249" s="450">
        <v>3</v>
      </c>
      <c r="R249" s="450">
        <v>0.80100000000000005</v>
      </c>
      <c r="S249" s="450">
        <v>0.06</v>
      </c>
      <c r="T249" s="443">
        <v>1.5</v>
      </c>
    </row>
    <row r="250" spans="16:20" s="497" customFormat="1" ht="15">
      <c r="P250" s="447"/>
      <c r="Q250" s="450">
        <v>3</v>
      </c>
      <c r="R250" s="450">
        <v>0.80100000000000005</v>
      </c>
      <c r="S250" s="450">
        <v>0.08</v>
      </c>
      <c r="T250" s="443">
        <v>1.5</v>
      </c>
    </row>
    <row r="251" spans="16:20" s="497" customFormat="1" ht="15">
      <c r="P251" s="447"/>
      <c r="Q251" s="450">
        <v>3</v>
      </c>
      <c r="R251" s="450">
        <v>0.80100000000000005</v>
      </c>
      <c r="S251" s="450">
        <v>0.1</v>
      </c>
      <c r="T251" s="443">
        <v>1.5</v>
      </c>
    </row>
    <row r="252" spans="16:20" s="497" customFormat="1" ht="15">
      <c r="P252" s="447"/>
      <c r="Q252" s="450">
        <v>3</v>
      </c>
      <c r="R252" s="450">
        <v>0.80100000000000005</v>
      </c>
      <c r="S252" s="450">
        <v>0.15</v>
      </c>
      <c r="T252" s="443">
        <v>1.2</v>
      </c>
    </row>
    <row r="253" spans="16:20" s="497" customFormat="1" ht="15">
      <c r="P253" s="447"/>
      <c r="Q253" s="450">
        <v>3</v>
      </c>
      <c r="R253" s="450">
        <v>0.80100000000000005</v>
      </c>
      <c r="S253" s="450">
        <v>0.2</v>
      </c>
      <c r="T253" s="443">
        <v>1.2</v>
      </c>
    </row>
    <row r="254" spans="16:20" s="497" customFormat="1" ht="15">
      <c r="P254" s="447"/>
      <c r="Q254" s="450">
        <v>3</v>
      </c>
      <c r="R254" s="450">
        <v>0.80100000000000005</v>
      </c>
      <c r="S254" s="450">
        <v>0.25</v>
      </c>
      <c r="T254" s="443">
        <v>1.2</v>
      </c>
    </row>
    <row r="255" spans="16:20" s="497" customFormat="1" ht="15">
      <c r="P255" s="447"/>
      <c r="Q255" s="450">
        <v>3</v>
      </c>
      <c r="R255" s="450">
        <v>0.80100000000000005</v>
      </c>
      <c r="S255" s="450">
        <v>1</v>
      </c>
      <c r="T255" s="443">
        <v>1.2</v>
      </c>
    </row>
    <row r="256" spans="16:20" s="497" customFormat="1" ht="15">
      <c r="P256" s="447"/>
      <c r="Q256" s="474">
        <v>3</v>
      </c>
      <c r="R256" s="474">
        <v>100</v>
      </c>
      <c r="S256" s="474">
        <v>0</v>
      </c>
      <c r="T256" s="474">
        <v>3</v>
      </c>
    </row>
    <row r="257" spans="16:20" s="497" customFormat="1" ht="15">
      <c r="P257" s="447"/>
      <c r="Q257" s="474">
        <v>3</v>
      </c>
      <c r="R257" s="474">
        <v>100</v>
      </c>
      <c r="S257" s="474">
        <v>0.02</v>
      </c>
      <c r="T257" s="474">
        <v>3</v>
      </c>
    </row>
    <row r="258" spans="16:20" s="497" customFormat="1" ht="15">
      <c r="P258" s="447"/>
      <c r="Q258" s="474">
        <v>3</v>
      </c>
      <c r="R258" s="474">
        <v>100</v>
      </c>
      <c r="S258" s="474">
        <v>0.04</v>
      </c>
      <c r="T258" s="474">
        <v>1.5</v>
      </c>
    </row>
    <row r="259" spans="16:20" s="497" customFormat="1" ht="15">
      <c r="P259" s="447"/>
      <c r="Q259" s="474">
        <v>3</v>
      </c>
      <c r="R259" s="474">
        <v>100</v>
      </c>
      <c r="S259" s="474">
        <v>0.05</v>
      </c>
      <c r="T259" s="474">
        <v>1.5</v>
      </c>
    </row>
    <row r="260" spans="16:20" s="497" customFormat="1" ht="15">
      <c r="P260" s="447"/>
      <c r="Q260" s="474">
        <v>3</v>
      </c>
      <c r="R260" s="474">
        <v>100</v>
      </c>
      <c r="S260" s="474">
        <v>0.06</v>
      </c>
      <c r="T260" s="474">
        <v>1.5</v>
      </c>
    </row>
    <row r="261" spans="16:20" s="497" customFormat="1" ht="15">
      <c r="P261" s="447"/>
      <c r="Q261" s="474">
        <v>3</v>
      </c>
      <c r="R261" s="474">
        <v>100</v>
      </c>
      <c r="S261" s="474">
        <v>0.08</v>
      </c>
      <c r="T261" s="474">
        <v>1.5</v>
      </c>
    </row>
    <row r="262" spans="16:20" s="497" customFormat="1" ht="15">
      <c r="P262" s="447"/>
      <c r="Q262" s="474">
        <v>3</v>
      </c>
      <c r="R262" s="474">
        <v>100</v>
      </c>
      <c r="S262" s="474">
        <v>0.1</v>
      </c>
      <c r="T262" s="474">
        <v>1.5</v>
      </c>
    </row>
    <row r="263" spans="16:20" s="497" customFormat="1" ht="15">
      <c r="P263" s="447"/>
      <c r="Q263" s="474">
        <v>3</v>
      </c>
      <c r="R263" s="474">
        <v>100</v>
      </c>
      <c r="S263" s="474">
        <v>0.15</v>
      </c>
      <c r="T263" s="474">
        <v>1.2</v>
      </c>
    </row>
    <row r="264" spans="16:20" s="497" customFormat="1" ht="15">
      <c r="P264" s="447"/>
      <c r="Q264" s="474">
        <v>3</v>
      </c>
      <c r="R264" s="474">
        <v>100</v>
      </c>
      <c r="S264" s="474">
        <v>0.2</v>
      </c>
      <c r="T264" s="474">
        <v>1.2</v>
      </c>
    </row>
    <row r="265" spans="16:20" s="497" customFormat="1" ht="15">
      <c r="P265" s="447"/>
      <c r="Q265" s="474">
        <v>3</v>
      </c>
      <c r="R265" s="474">
        <v>100</v>
      </c>
      <c r="S265" s="474">
        <v>0.25</v>
      </c>
      <c r="T265" s="474">
        <v>1.2</v>
      </c>
    </row>
    <row r="266" spans="16:20" s="497" customFormat="1" ht="15">
      <c r="P266" s="447"/>
      <c r="Q266" s="474">
        <v>3</v>
      </c>
      <c r="R266" s="474">
        <v>100</v>
      </c>
      <c r="S266" s="474">
        <v>1</v>
      </c>
      <c r="T266" s="474">
        <v>1.2</v>
      </c>
    </row>
    <row r="267" spans="16:20" s="497" customFormat="1" ht="15">
      <c r="P267" s="447"/>
      <c r="Q267" s="474">
        <v>3.01</v>
      </c>
      <c r="R267" s="474">
        <v>0</v>
      </c>
      <c r="S267" s="474">
        <v>0</v>
      </c>
      <c r="T267" s="474">
        <v>1.2</v>
      </c>
    </row>
    <row r="268" spans="16:20" s="497" customFormat="1" ht="15">
      <c r="P268" s="447"/>
      <c r="Q268" s="474">
        <v>3.01</v>
      </c>
      <c r="R268" s="474">
        <v>0</v>
      </c>
      <c r="S268" s="474">
        <v>0.02</v>
      </c>
      <c r="T268" s="474">
        <v>1.2</v>
      </c>
    </row>
    <row r="269" spans="16:20" s="497" customFormat="1" ht="15">
      <c r="P269" s="447"/>
      <c r="Q269" s="474">
        <v>3.01</v>
      </c>
      <c r="R269" s="474">
        <v>0</v>
      </c>
      <c r="S269" s="474">
        <v>0.04</v>
      </c>
      <c r="T269" s="474">
        <v>1.2</v>
      </c>
    </row>
    <row r="270" spans="16:20" s="497" customFormat="1" ht="15">
      <c r="P270" s="447"/>
      <c r="Q270" s="474">
        <v>3.01</v>
      </c>
      <c r="R270" s="474">
        <v>0</v>
      </c>
      <c r="S270" s="474">
        <v>0.05</v>
      </c>
      <c r="T270" s="474">
        <v>1.2</v>
      </c>
    </row>
    <row r="271" spans="16:20" s="497" customFormat="1" ht="15">
      <c r="P271" s="447"/>
      <c r="Q271" s="474">
        <v>3.01</v>
      </c>
      <c r="R271" s="474">
        <v>0</v>
      </c>
      <c r="S271" s="474">
        <v>0.06</v>
      </c>
      <c r="T271" s="474">
        <v>1.2</v>
      </c>
    </row>
    <row r="272" spans="16:20" s="497" customFormat="1" ht="15">
      <c r="P272" s="447"/>
      <c r="Q272" s="474">
        <v>3.01</v>
      </c>
      <c r="R272" s="474">
        <v>0</v>
      </c>
      <c r="S272" s="474">
        <v>0.08</v>
      </c>
      <c r="T272" s="474">
        <v>1.2</v>
      </c>
    </row>
    <row r="273" spans="16:20" s="497" customFormat="1" ht="15">
      <c r="P273" s="447"/>
      <c r="Q273" s="474">
        <v>3.01</v>
      </c>
      <c r="R273" s="474">
        <v>0</v>
      </c>
      <c r="S273" s="474">
        <v>0.1</v>
      </c>
      <c r="T273" s="474">
        <v>1.2</v>
      </c>
    </row>
    <row r="274" spans="16:20" s="497" customFormat="1" ht="15">
      <c r="P274" s="447"/>
      <c r="Q274" s="474">
        <v>3.01</v>
      </c>
      <c r="R274" s="474">
        <v>0</v>
      </c>
      <c r="S274" s="474">
        <v>0.15</v>
      </c>
      <c r="T274" s="474">
        <v>1.2</v>
      </c>
    </row>
    <row r="275" spans="16:20" s="497" customFormat="1" ht="15">
      <c r="P275" s="447"/>
      <c r="Q275" s="474">
        <v>3.01</v>
      </c>
      <c r="R275" s="474">
        <v>0</v>
      </c>
      <c r="S275" s="474">
        <v>0.2</v>
      </c>
      <c r="T275" s="474">
        <v>1.2</v>
      </c>
    </row>
    <row r="276" spans="16:20" s="497" customFormat="1" ht="15">
      <c r="P276" s="447"/>
      <c r="Q276" s="474">
        <v>3.01</v>
      </c>
      <c r="R276" s="474">
        <v>0</v>
      </c>
      <c r="S276" s="474">
        <v>0.25</v>
      </c>
      <c r="T276" s="474">
        <v>1.2</v>
      </c>
    </row>
    <row r="277" spans="16:20" s="497" customFormat="1" ht="15">
      <c r="P277" s="447"/>
      <c r="Q277" s="474">
        <v>3.01</v>
      </c>
      <c r="R277" s="474">
        <v>0</v>
      </c>
      <c r="S277" s="474">
        <v>1</v>
      </c>
      <c r="T277" s="474">
        <v>1.2</v>
      </c>
    </row>
    <row r="278" spans="16:20" s="497" customFormat="1" ht="15">
      <c r="P278" s="447"/>
      <c r="Q278" s="474">
        <v>3.01</v>
      </c>
      <c r="R278" s="474">
        <v>0.4</v>
      </c>
      <c r="S278" s="474">
        <v>0</v>
      </c>
      <c r="T278" s="474">
        <v>1.2</v>
      </c>
    </row>
    <row r="279" spans="16:20" s="497" customFormat="1" ht="15">
      <c r="P279" s="447"/>
      <c r="Q279" s="474">
        <v>3.01</v>
      </c>
      <c r="R279" s="474">
        <v>0.4</v>
      </c>
      <c r="S279" s="474">
        <v>0.02</v>
      </c>
      <c r="T279" s="474">
        <v>1.2</v>
      </c>
    </row>
    <row r="280" spans="16:20" s="497" customFormat="1" ht="15">
      <c r="P280" s="447"/>
      <c r="Q280" s="474">
        <v>3.01</v>
      </c>
      <c r="R280" s="474">
        <v>0.4</v>
      </c>
      <c r="S280" s="474">
        <v>0.04</v>
      </c>
      <c r="T280" s="474">
        <v>1.2</v>
      </c>
    </row>
    <row r="281" spans="16:20" s="497" customFormat="1" ht="15">
      <c r="P281" s="447"/>
      <c r="Q281" s="474">
        <v>3.01</v>
      </c>
      <c r="R281" s="474">
        <v>0.4</v>
      </c>
      <c r="S281" s="474">
        <v>0.05</v>
      </c>
      <c r="T281" s="474">
        <v>1.2</v>
      </c>
    </row>
    <row r="282" spans="16:20" s="497" customFormat="1" ht="15">
      <c r="P282" s="447"/>
      <c r="Q282" s="474">
        <v>3.01</v>
      </c>
      <c r="R282" s="474">
        <v>0.4</v>
      </c>
      <c r="S282" s="474">
        <v>0.06</v>
      </c>
      <c r="T282" s="474">
        <v>1.2</v>
      </c>
    </row>
    <row r="283" spans="16:20" s="497" customFormat="1" ht="15">
      <c r="P283" s="447"/>
      <c r="Q283" s="474">
        <v>3.01</v>
      </c>
      <c r="R283" s="474">
        <v>0.4</v>
      </c>
      <c r="S283" s="474">
        <v>0.08</v>
      </c>
      <c r="T283" s="474">
        <v>1.2</v>
      </c>
    </row>
    <row r="284" spans="16:20" s="497" customFormat="1" ht="15">
      <c r="P284" s="447"/>
      <c r="Q284" s="474">
        <v>3.01</v>
      </c>
      <c r="R284" s="474">
        <v>0.4</v>
      </c>
      <c r="S284" s="474">
        <v>0.1</v>
      </c>
      <c r="T284" s="474">
        <v>1.2</v>
      </c>
    </row>
    <row r="285" spans="16:20" s="497" customFormat="1" ht="15">
      <c r="P285" s="447"/>
      <c r="Q285" s="474">
        <v>3.01</v>
      </c>
      <c r="R285" s="474">
        <v>0.4</v>
      </c>
      <c r="S285" s="474">
        <v>0.15</v>
      </c>
      <c r="T285" s="474">
        <v>1.2</v>
      </c>
    </row>
    <row r="286" spans="16:20" s="497" customFormat="1" ht="15">
      <c r="P286" s="447"/>
      <c r="Q286" s="474">
        <v>3.01</v>
      </c>
      <c r="R286" s="474">
        <v>0.4</v>
      </c>
      <c r="S286" s="474">
        <v>0.2</v>
      </c>
      <c r="T286" s="474">
        <v>1.2</v>
      </c>
    </row>
    <row r="287" spans="16:20" s="497" customFormat="1" ht="15">
      <c r="P287" s="447"/>
      <c r="Q287" s="497">
        <v>3.01</v>
      </c>
      <c r="R287" s="497">
        <v>0.4</v>
      </c>
      <c r="S287" s="497">
        <v>0.25</v>
      </c>
      <c r="T287" s="497">
        <v>1.2</v>
      </c>
    </row>
    <row r="288" spans="16:20" s="497" customFormat="1" ht="15">
      <c r="P288" s="447"/>
      <c r="Q288" s="497">
        <v>3.01</v>
      </c>
      <c r="R288" s="497">
        <v>0.4</v>
      </c>
      <c r="S288" s="497">
        <v>1</v>
      </c>
      <c r="T288" s="497">
        <v>1.2</v>
      </c>
    </row>
    <row r="289" spans="16:20" s="497" customFormat="1" ht="15">
      <c r="P289" s="447"/>
      <c r="Q289" s="497">
        <v>3.01</v>
      </c>
      <c r="R289" s="497">
        <v>0.40100000000000002</v>
      </c>
      <c r="S289" s="497">
        <v>0</v>
      </c>
      <c r="T289" s="497">
        <v>2.5</v>
      </c>
    </row>
    <row r="290" spans="16:20" s="497" customFormat="1" ht="15">
      <c r="P290" s="447"/>
      <c r="Q290" s="497">
        <v>3.01</v>
      </c>
      <c r="R290" s="497">
        <v>0.40100000000000002</v>
      </c>
      <c r="S290" s="497">
        <v>0.02</v>
      </c>
      <c r="T290" s="497">
        <v>2.5</v>
      </c>
    </row>
    <row r="291" spans="16:20" s="497" customFormat="1" ht="15">
      <c r="P291" s="447"/>
      <c r="Q291" s="497">
        <v>3.01</v>
      </c>
      <c r="R291" s="497">
        <v>0.40100000000000002</v>
      </c>
      <c r="S291" s="497">
        <v>0.04</v>
      </c>
      <c r="T291" s="497">
        <v>2.5</v>
      </c>
    </row>
    <row r="292" spans="16:20" s="497" customFormat="1" ht="15">
      <c r="P292" s="447"/>
      <c r="Q292" s="497">
        <v>3.01</v>
      </c>
      <c r="R292" s="497">
        <v>0.40100000000000002</v>
      </c>
      <c r="S292" s="497">
        <v>0.05</v>
      </c>
      <c r="T292" s="497">
        <v>2</v>
      </c>
    </row>
    <row r="293" spans="16:20" s="497" customFormat="1" ht="15">
      <c r="P293" s="447"/>
      <c r="Q293" s="497">
        <v>3.01</v>
      </c>
      <c r="R293" s="497">
        <v>0.40100000000000002</v>
      </c>
      <c r="S293" s="497">
        <v>0.06</v>
      </c>
      <c r="T293" s="497">
        <v>2</v>
      </c>
    </row>
    <row r="294" spans="16:20" s="497" customFormat="1" ht="15">
      <c r="P294" s="447"/>
      <c r="Q294" s="497">
        <v>3.01</v>
      </c>
      <c r="R294" s="497">
        <v>0.40100000000000002</v>
      </c>
      <c r="S294" s="497">
        <v>0.08</v>
      </c>
      <c r="T294" s="497">
        <v>2</v>
      </c>
    </row>
    <row r="295" spans="16:20" s="497" customFormat="1" ht="15">
      <c r="P295" s="447"/>
      <c r="Q295" s="497">
        <v>3.01</v>
      </c>
      <c r="R295" s="497">
        <v>0.40100000000000002</v>
      </c>
      <c r="S295" s="497">
        <v>0.1</v>
      </c>
      <c r="T295" s="497">
        <v>2</v>
      </c>
    </row>
    <row r="296" spans="16:20" s="497" customFormat="1" ht="15">
      <c r="P296" s="447"/>
      <c r="Q296" s="497">
        <v>3.01</v>
      </c>
      <c r="R296" s="497">
        <v>0.40100000000000002</v>
      </c>
      <c r="S296" s="497">
        <v>0.15</v>
      </c>
      <c r="T296" s="497">
        <v>1.5</v>
      </c>
    </row>
    <row r="297" spans="16:20" s="497" customFormat="1" ht="15">
      <c r="P297" s="447"/>
      <c r="Q297" s="497">
        <v>3.01</v>
      </c>
      <c r="R297" s="497">
        <v>0.40100000000000002</v>
      </c>
      <c r="S297" s="497">
        <v>0.2</v>
      </c>
      <c r="T297" s="497">
        <v>1.5</v>
      </c>
    </row>
    <row r="298" spans="16:20" s="497" customFormat="1" ht="15">
      <c r="P298" s="447"/>
      <c r="Q298" s="497">
        <v>3.01</v>
      </c>
      <c r="R298" s="497">
        <v>0.40100000000000002</v>
      </c>
      <c r="S298" s="497">
        <v>0.25</v>
      </c>
      <c r="T298" s="497">
        <v>1.5</v>
      </c>
    </row>
    <row r="299" spans="16:20" s="497" customFormat="1" ht="15">
      <c r="P299" s="447"/>
      <c r="Q299" s="497">
        <v>3.01</v>
      </c>
      <c r="R299" s="497">
        <v>0.40100000000000002</v>
      </c>
      <c r="S299" s="497">
        <v>1</v>
      </c>
      <c r="T299" s="497">
        <v>1.5</v>
      </c>
    </row>
    <row r="300" spans="16:20" s="497" customFormat="1" ht="15">
      <c r="P300" s="447"/>
      <c r="Q300" s="497">
        <v>3.01</v>
      </c>
      <c r="R300" s="497">
        <v>0.8</v>
      </c>
      <c r="S300" s="497">
        <v>0</v>
      </c>
      <c r="T300" s="497">
        <v>2.5</v>
      </c>
    </row>
    <row r="301" spans="16:20" s="497" customFormat="1" ht="15">
      <c r="P301" s="447"/>
      <c r="Q301" s="497">
        <v>3.01</v>
      </c>
      <c r="R301" s="497">
        <v>0.8</v>
      </c>
      <c r="S301" s="497">
        <v>0.02</v>
      </c>
      <c r="T301" s="497">
        <v>2.5</v>
      </c>
    </row>
    <row r="302" spans="16:20" s="497" customFormat="1" ht="15">
      <c r="P302" s="447"/>
      <c r="Q302" s="497">
        <v>3.01</v>
      </c>
      <c r="R302" s="497">
        <v>0.8</v>
      </c>
      <c r="S302" s="497">
        <v>0.04</v>
      </c>
      <c r="T302" s="497">
        <v>2.5</v>
      </c>
    </row>
    <row r="303" spans="16:20" s="497" customFormat="1" ht="15">
      <c r="P303" s="447"/>
      <c r="Q303" s="497">
        <v>3.01</v>
      </c>
      <c r="R303" s="497">
        <v>0.8</v>
      </c>
      <c r="S303" s="497">
        <v>0.05</v>
      </c>
      <c r="T303" s="497">
        <v>2</v>
      </c>
    </row>
    <row r="304" spans="16:20" s="497" customFormat="1" ht="15">
      <c r="P304" s="447"/>
      <c r="Q304" s="497">
        <v>3.01</v>
      </c>
      <c r="R304" s="497">
        <v>0.8</v>
      </c>
      <c r="S304" s="497">
        <v>0.06</v>
      </c>
      <c r="T304" s="497">
        <v>2</v>
      </c>
    </row>
    <row r="305" spans="16:20" s="497" customFormat="1" ht="15">
      <c r="P305" s="447"/>
      <c r="Q305" s="497">
        <v>3.01</v>
      </c>
      <c r="R305" s="497">
        <v>0.8</v>
      </c>
      <c r="S305" s="497">
        <v>0.08</v>
      </c>
      <c r="T305" s="497">
        <v>2</v>
      </c>
    </row>
    <row r="306" spans="16:20" s="497" customFormat="1" ht="15">
      <c r="P306" s="447"/>
      <c r="Q306" s="497">
        <v>3.01</v>
      </c>
      <c r="R306" s="497">
        <v>0.8</v>
      </c>
      <c r="S306" s="497">
        <v>0.1</v>
      </c>
      <c r="T306" s="497">
        <v>2</v>
      </c>
    </row>
    <row r="307" spans="16:20" s="497" customFormat="1" ht="15">
      <c r="P307" s="447"/>
      <c r="Q307" s="497">
        <v>3.01</v>
      </c>
      <c r="R307" s="497">
        <v>0.8</v>
      </c>
      <c r="S307" s="497">
        <v>0.15</v>
      </c>
      <c r="T307" s="497">
        <v>1.5</v>
      </c>
    </row>
    <row r="308" spans="16:20" s="497" customFormat="1" ht="15">
      <c r="P308" s="447"/>
      <c r="Q308" s="497">
        <v>3.01</v>
      </c>
      <c r="R308" s="497">
        <v>0.8</v>
      </c>
      <c r="S308" s="497">
        <v>0.2</v>
      </c>
      <c r="T308" s="497">
        <v>1.5</v>
      </c>
    </row>
    <row r="309" spans="16:20" s="497" customFormat="1" ht="15">
      <c r="P309" s="447"/>
      <c r="Q309" s="497">
        <v>3.01</v>
      </c>
      <c r="R309" s="497">
        <v>0.8</v>
      </c>
      <c r="S309" s="497">
        <v>0.25</v>
      </c>
      <c r="T309" s="497">
        <v>1.5</v>
      </c>
    </row>
    <row r="310" spans="16:20" s="497" customFormat="1" ht="15">
      <c r="P310" s="447"/>
      <c r="Q310" s="497">
        <v>3.01</v>
      </c>
      <c r="R310" s="497">
        <v>0.8</v>
      </c>
      <c r="S310" s="497">
        <v>1</v>
      </c>
      <c r="T310" s="497">
        <v>1.5</v>
      </c>
    </row>
    <row r="311" spans="16:20" s="497" customFormat="1" ht="15">
      <c r="P311" s="447"/>
      <c r="Q311" s="497">
        <v>3.01</v>
      </c>
      <c r="R311" s="497">
        <v>0.80100000000000005</v>
      </c>
      <c r="S311" s="497">
        <v>0</v>
      </c>
      <c r="T311" s="497">
        <v>3</v>
      </c>
    </row>
    <row r="312" spans="16:20" s="497" customFormat="1" ht="15">
      <c r="P312" s="447"/>
      <c r="Q312" s="497">
        <v>3.01</v>
      </c>
      <c r="R312" s="497">
        <v>0.80100000000000005</v>
      </c>
      <c r="S312" s="497">
        <v>0.02</v>
      </c>
      <c r="T312" s="497">
        <v>3</v>
      </c>
    </row>
    <row r="313" spans="16:20" s="497" customFormat="1" ht="15">
      <c r="P313" s="447"/>
      <c r="Q313" s="497">
        <v>3.01</v>
      </c>
      <c r="R313" s="497">
        <v>0.80100000000000005</v>
      </c>
      <c r="S313" s="497">
        <v>0.04</v>
      </c>
      <c r="T313" s="497">
        <v>2.5</v>
      </c>
    </row>
    <row r="314" spans="16:20" s="497" customFormat="1" ht="15">
      <c r="P314" s="447"/>
      <c r="Q314" s="497">
        <v>3.01</v>
      </c>
      <c r="R314" s="497">
        <v>0.80100000000000005</v>
      </c>
      <c r="S314" s="497">
        <v>0.05</v>
      </c>
      <c r="T314" s="497">
        <v>2.5</v>
      </c>
    </row>
    <row r="315" spans="16:20" s="497" customFormat="1" ht="15">
      <c r="P315" s="447"/>
      <c r="Q315" s="497">
        <v>3.01</v>
      </c>
      <c r="R315" s="497">
        <v>0.80100000000000005</v>
      </c>
      <c r="S315" s="497">
        <v>0.06</v>
      </c>
      <c r="T315" s="497">
        <v>2.5</v>
      </c>
    </row>
    <row r="316" spans="16:20" s="497" customFormat="1" ht="15">
      <c r="P316" s="447"/>
      <c r="Q316" s="497">
        <v>3.01</v>
      </c>
      <c r="R316" s="497">
        <v>0.80100000000000005</v>
      </c>
      <c r="S316" s="497">
        <v>0.08</v>
      </c>
      <c r="T316" s="497">
        <v>2</v>
      </c>
    </row>
    <row r="317" spans="16:20" s="497" customFormat="1" ht="15">
      <c r="P317" s="447"/>
      <c r="Q317" s="497">
        <v>3.01</v>
      </c>
      <c r="R317" s="497">
        <v>0.80100000000000005</v>
      </c>
      <c r="S317" s="497">
        <v>0.1</v>
      </c>
      <c r="T317" s="497">
        <v>2</v>
      </c>
    </row>
    <row r="318" spans="16:20" s="497" customFormat="1" ht="15">
      <c r="P318" s="447"/>
      <c r="Q318" s="497">
        <v>3.01</v>
      </c>
      <c r="R318" s="497">
        <v>0.80100000000000005</v>
      </c>
      <c r="S318" s="497">
        <v>0.15</v>
      </c>
      <c r="T318" s="497">
        <v>2</v>
      </c>
    </row>
    <row r="319" spans="16:20" s="497" customFormat="1" ht="15">
      <c r="P319" s="447"/>
      <c r="Q319" s="497">
        <v>3.01</v>
      </c>
      <c r="R319" s="497">
        <v>0.80100000000000005</v>
      </c>
      <c r="S319" s="497">
        <v>0.2</v>
      </c>
      <c r="T319" s="497">
        <v>1.5</v>
      </c>
    </row>
    <row r="320" spans="16:20" s="497" customFormat="1" ht="15">
      <c r="P320" s="447"/>
      <c r="Q320" s="497">
        <v>3.01</v>
      </c>
      <c r="R320" s="497">
        <v>0.80100000000000005</v>
      </c>
      <c r="S320" s="497">
        <v>0.25</v>
      </c>
      <c r="T320" s="497">
        <v>1.5</v>
      </c>
    </row>
    <row r="321" spans="16:20" ht="15">
      <c r="P321" s="447"/>
      <c r="Q321" s="497">
        <v>3.01</v>
      </c>
      <c r="R321" s="497">
        <v>0.80100000000000005</v>
      </c>
      <c r="S321" s="497">
        <v>1</v>
      </c>
      <c r="T321" s="497">
        <v>1.5</v>
      </c>
    </row>
    <row r="322" spans="16:20" ht="15">
      <c r="P322" s="447"/>
      <c r="Q322" s="497">
        <v>3.01</v>
      </c>
      <c r="R322" s="497">
        <v>100</v>
      </c>
      <c r="S322" s="497">
        <v>0</v>
      </c>
      <c r="T322" s="497">
        <v>3</v>
      </c>
    </row>
    <row r="323" spans="16:20" ht="15">
      <c r="P323" s="447"/>
      <c r="Q323" s="497">
        <v>3.01</v>
      </c>
      <c r="R323" s="497">
        <v>100</v>
      </c>
      <c r="S323" s="497">
        <v>0.02</v>
      </c>
      <c r="T323" s="497">
        <v>3</v>
      </c>
    </row>
    <row r="324" spans="16:20" ht="15">
      <c r="P324" s="447"/>
      <c r="Q324" s="497">
        <v>3.01</v>
      </c>
      <c r="R324" s="497">
        <v>100</v>
      </c>
      <c r="S324" s="497">
        <v>0.04</v>
      </c>
      <c r="T324" s="497">
        <v>2.5</v>
      </c>
    </row>
    <row r="325" spans="16:20" ht="15">
      <c r="P325" s="447"/>
      <c r="Q325" s="497">
        <v>3.01</v>
      </c>
      <c r="R325" s="497">
        <v>100</v>
      </c>
      <c r="S325" s="497">
        <v>0.05</v>
      </c>
      <c r="T325" s="497">
        <v>2.5</v>
      </c>
    </row>
    <row r="326" spans="16:20" ht="15">
      <c r="P326" s="447"/>
      <c r="Q326" s="497">
        <v>3.01</v>
      </c>
      <c r="R326" s="497">
        <v>100</v>
      </c>
      <c r="S326" s="497">
        <v>0.06</v>
      </c>
      <c r="T326" s="497">
        <v>2.5</v>
      </c>
    </row>
    <row r="327" spans="16:20" ht="15">
      <c r="P327" s="447"/>
      <c r="Q327" s="497">
        <v>3.01</v>
      </c>
      <c r="R327" s="497">
        <v>100</v>
      </c>
      <c r="S327" s="497">
        <v>0.08</v>
      </c>
      <c r="T327" s="497">
        <v>2</v>
      </c>
    </row>
    <row r="328" spans="16:20" ht="15">
      <c r="P328" s="447"/>
      <c r="Q328" s="497">
        <v>3.01</v>
      </c>
      <c r="R328" s="497">
        <v>100</v>
      </c>
      <c r="S328" s="497">
        <v>0.1</v>
      </c>
      <c r="T328" s="497">
        <v>2</v>
      </c>
    </row>
    <row r="329" spans="16:20" ht="15">
      <c r="P329" s="447"/>
      <c r="Q329" s="497">
        <v>3.01</v>
      </c>
      <c r="R329" s="497">
        <v>100</v>
      </c>
      <c r="S329" s="497">
        <v>0.15</v>
      </c>
      <c r="T329" s="497">
        <v>2</v>
      </c>
    </row>
    <row r="330" spans="16:20" ht="15">
      <c r="P330" s="447"/>
      <c r="Q330" s="497">
        <v>3.01</v>
      </c>
      <c r="R330" s="497">
        <v>100</v>
      </c>
      <c r="S330" s="497">
        <v>0.2</v>
      </c>
      <c r="T330" s="497">
        <v>1.5</v>
      </c>
    </row>
    <row r="331" spans="16:20" ht="15">
      <c r="P331" s="447"/>
      <c r="Q331" s="497">
        <v>3.01</v>
      </c>
      <c r="R331" s="497">
        <v>100</v>
      </c>
      <c r="S331" s="497">
        <v>0.25</v>
      </c>
      <c r="T331" s="497">
        <v>1.5</v>
      </c>
    </row>
    <row r="332" spans="16:20" ht="15">
      <c r="P332" s="447"/>
      <c r="Q332" s="497">
        <v>3.01</v>
      </c>
      <c r="R332" s="497">
        <v>100</v>
      </c>
      <c r="S332" s="497">
        <v>1</v>
      </c>
      <c r="T332" s="497">
        <v>1.5</v>
      </c>
    </row>
    <row r="333" spans="16:20" ht="15">
      <c r="P333" s="447"/>
      <c r="Q333" s="497">
        <v>4</v>
      </c>
      <c r="R333" s="497">
        <v>0</v>
      </c>
      <c r="S333" s="497">
        <v>0</v>
      </c>
      <c r="T333" s="497">
        <v>1.2</v>
      </c>
    </row>
    <row r="334" spans="16:20" ht="15">
      <c r="P334" s="447"/>
      <c r="Q334" s="497">
        <v>4</v>
      </c>
      <c r="R334" s="497">
        <v>0</v>
      </c>
      <c r="S334" s="497">
        <v>0.02</v>
      </c>
      <c r="T334" s="497">
        <v>1.2</v>
      </c>
    </row>
    <row r="335" spans="16:20" ht="15">
      <c r="P335" s="447"/>
      <c r="Q335" s="497">
        <v>4</v>
      </c>
      <c r="R335" s="497">
        <v>0</v>
      </c>
      <c r="S335" s="497">
        <v>0.04</v>
      </c>
      <c r="T335" s="497">
        <v>1.2</v>
      </c>
    </row>
    <row r="336" spans="16:20" ht="15">
      <c r="P336" s="447"/>
      <c r="Q336" s="497">
        <v>4</v>
      </c>
      <c r="R336" s="497">
        <v>0</v>
      </c>
      <c r="S336" s="497">
        <v>0.05</v>
      </c>
      <c r="T336" s="497">
        <v>1.2</v>
      </c>
    </row>
    <row r="337" spans="16:20" ht="15">
      <c r="P337" s="447"/>
      <c r="Q337" s="497">
        <v>4</v>
      </c>
      <c r="R337" s="497">
        <v>0</v>
      </c>
      <c r="S337" s="497">
        <v>0.06</v>
      </c>
      <c r="T337" s="497">
        <v>1.2</v>
      </c>
    </row>
    <row r="338" spans="16:20" ht="15">
      <c r="P338" s="447"/>
      <c r="Q338" s="497">
        <v>4</v>
      </c>
      <c r="R338" s="497">
        <v>0</v>
      </c>
      <c r="S338" s="497">
        <v>0.08</v>
      </c>
      <c r="T338" s="497">
        <v>1.2</v>
      </c>
    </row>
    <row r="339" spans="16:20" ht="15">
      <c r="P339" s="447"/>
      <c r="Q339" s="497">
        <v>4</v>
      </c>
      <c r="R339" s="497">
        <v>0</v>
      </c>
      <c r="S339" s="497">
        <v>0.1</v>
      </c>
      <c r="T339" s="497">
        <v>1.2</v>
      </c>
    </row>
    <row r="340" spans="16:20" ht="15">
      <c r="P340" s="447"/>
      <c r="Q340" s="497">
        <v>4</v>
      </c>
      <c r="R340" s="497">
        <v>0</v>
      </c>
      <c r="S340" s="497">
        <v>0.15</v>
      </c>
      <c r="T340" s="497">
        <v>1.2</v>
      </c>
    </row>
    <row r="341" spans="16:20" ht="15">
      <c r="P341" s="447"/>
      <c r="Q341" s="497">
        <v>4</v>
      </c>
      <c r="R341" s="497">
        <v>0</v>
      </c>
      <c r="S341" s="497">
        <v>0.2</v>
      </c>
      <c r="T341" s="497">
        <v>1.2</v>
      </c>
    </row>
    <row r="342" spans="16:20" ht="15">
      <c r="P342" s="447"/>
      <c r="Q342" s="497">
        <v>4</v>
      </c>
      <c r="R342" s="497">
        <v>0</v>
      </c>
      <c r="S342" s="497">
        <v>0.25</v>
      </c>
      <c r="T342" s="497">
        <v>1.2</v>
      </c>
    </row>
    <row r="343" spans="16:20" ht="15">
      <c r="P343" s="447"/>
      <c r="Q343" s="497">
        <v>4</v>
      </c>
      <c r="R343" s="497">
        <v>0</v>
      </c>
      <c r="S343" s="497">
        <v>1</v>
      </c>
      <c r="T343" s="497">
        <v>1.2</v>
      </c>
    </row>
    <row r="344" spans="16:20" ht="15">
      <c r="P344" s="447"/>
      <c r="Q344" s="497">
        <v>4</v>
      </c>
      <c r="R344" s="497">
        <v>0.4</v>
      </c>
      <c r="S344" s="497">
        <v>0</v>
      </c>
      <c r="T344" s="497">
        <v>1.2</v>
      </c>
    </row>
    <row r="345" spans="16:20" ht="15">
      <c r="P345" s="447"/>
      <c r="Q345" s="497">
        <v>4</v>
      </c>
      <c r="R345" s="497">
        <v>0.4</v>
      </c>
      <c r="S345" s="497">
        <v>0.02</v>
      </c>
      <c r="T345" s="497">
        <v>1.2</v>
      </c>
    </row>
    <row r="346" spans="16:20" ht="15">
      <c r="P346" s="447"/>
      <c r="Q346" s="497">
        <v>4</v>
      </c>
      <c r="R346" s="497">
        <v>0.4</v>
      </c>
      <c r="S346" s="497">
        <v>0.04</v>
      </c>
      <c r="T346" s="497">
        <v>1.2</v>
      </c>
    </row>
    <row r="347" spans="16:20" ht="15">
      <c r="P347" s="447"/>
      <c r="Q347" s="497">
        <v>4</v>
      </c>
      <c r="R347" s="497">
        <v>0.4</v>
      </c>
      <c r="S347" s="497">
        <v>0.05</v>
      </c>
      <c r="T347" s="497">
        <v>1.2</v>
      </c>
    </row>
    <row r="348" spans="16:20" ht="15">
      <c r="P348" s="447"/>
      <c r="Q348" s="497">
        <v>4</v>
      </c>
      <c r="R348" s="497">
        <v>0.4</v>
      </c>
      <c r="S348" s="497">
        <v>0.06</v>
      </c>
      <c r="T348" s="497">
        <v>1.2</v>
      </c>
    </row>
    <row r="349" spans="16:20" ht="15">
      <c r="P349" s="447"/>
      <c r="Q349" s="497">
        <v>4</v>
      </c>
      <c r="R349" s="497">
        <v>0.4</v>
      </c>
      <c r="S349" s="497">
        <v>0.08</v>
      </c>
      <c r="T349" s="497">
        <v>1.2</v>
      </c>
    </row>
    <row r="350" spans="16:20" ht="15">
      <c r="P350" s="447"/>
      <c r="Q350" s="497">
        <v>4</v>
      </c>
      <c r="R350" s="497">
        <v>0.4</v>
      </c>
      <c r="S350" s="497">
        <v>0.1</v>
      </c>
      <c r="T350" s="497">
        <v>1.2</v>
      </c>
    </row>
    <row r="351" spans="16:20" ht="15">
      <c r="P351" s="447"/>
      <c r="Q351" s="497">
        <v>4</v>
      </c>
      <c r="R351" s="497">
        <v>0.4</v>
      </c>
      <c r="S351" s="497">
        <v>0.15</v>
      </c>
      <c r="T351" s="497">
        <v>1.2</v>
      </c>
    </row>
    <row r="352" spans="16:20" ht="15">
      <c r="P352" s="447"/>
      <c r="Q352" s="497">
        <v>4</v>
      </c>
      <c r="R352" s="497">
        <v>0.4</v>
      </c>
      <c r="S352" s="497">
        <v>0.2</v>
      </c>
      <c r="T352" s="497">
        <v>1.2</v>
      </c>
    </row>
    <row r="353" spans="16:20" ht="15">
      <c r="P353" s="447"/>
      <c r="Q353" s="497">
        <v>4</v>
      </c>
      <c r="R353" s="497">
        <v>0.4</v>
      </c>
      <c r="S353" s="497">
        <v>0.25</v>
      </c>
      <c r="T353" s="497">
        <v>1.2</v>
      </c>
    </row>
    <row r="354" spans="16:20" ht="15">
      <c r="P354" s="447"/>
      <c r="Q354" s="497">
        <v>4</v>
      </c>
      <c r="R354" s="497">
        <v>0.4</v>
      </c>
      <c r="S354" s="497">
        <v>1</v>
      </c>
      <c r="T354" s="497">
        <v>1.2</v>
      </c>
    </row>
    <row r="355" spans="16:20" ht="15">
      <c r="P355" s="447"/>
      <c r="Q355" s="497">
        <v>4</v>
      </c>
      <c r="R355" s="497">
        <v>0.40100000000000002</v>
      </c>
      <c r="S355" s="497">
        <v>0</v>
      </c>
      <c r="T355" s="497">
        <v>2.5</v>
      </c>
    </row>
    <row r="356" spans="16:20" ht="15">
      <c r="P356" s="447"/>
      <c r="Q356" s="497">
        <v>4</v>
      </c>
      <c r="R356" s="497">
        <v>0.40100000000000002</v>
      </c>
      <c r="S356" s="497">
        <v>0.02</v>
      </c>
      <c r="T356" s="497">
        <v>2.5</v>
      </c>
    </row>
    <row r="357" spans="16:20" ht="15">
      <c r="P357" s="447"/>
      <c r="Q357" s="497">
        <v>4</v>
      </c>
      <c r="R357" s="497">
        <v>0.40100000000000002</v>
      </c>
      <c r="S357" s="497">
        <v>0.04</v>
      </c>
      <c r="T357" s="497">
        <v>2.5</v>
      </c>
    </row>
    <row r="358" spans="16:20" ht="15">
      <c r="P358" s="447"/>
      <c r="Q358" s="497">
        <v>4</v>
      </c>
      <c r="R358" s="497">
        <v>0.40100000000000002</v>
      </c>
      <c r="S358" s="497">
        <v>0.05</v>
      </c>
      <c r="T358" s="497">
        <v>2</v>
      </c>
    </row>
    <row r="359" spans="16:20" ht="15">
      <c r="P359" s="447"/>
      <c r="Q359" s="497">
        <v>4</v>
      </c>
      <c r="R359" s="497">
        <v>0.40100000000000002</v>
      </c>
      <c r="S359" s="497">
        <v>0.06</v>
      </c>
      <c r="T359" s="497">
        <v>2</v>
      </c>
    </row>
    <row r="360" spans="16:20" ht="15">
      <c r="P360" s="447"/>
      <c r="Q360" s="497">
        <v>4</v>
      </c>
      <c r="R360" s="497">
        <v>0.40100000000000002</v>
      </c>
      <c r="S360" s="497">
        <v>0.08</v>
      </c>
      <c r="T360" s="497">
        <v>2</v>
      </c>
    </row>
    <row r="361" spans="16:20" ht="15">
      <c r="P361" s="447"/>
      <c r="Q361" s="497">
        <v>4</v>
      </c>
      <c r="R361" s="497">
        <v>0.40100000000000002</v>
      </c>
      <c r="S361" s="497">
        <v>0.1</v>
      </c>
      <c r="T361" s="497">
        <v>2</v>
      </c>
    </row>
    <row r="362" spans="16:20" ht="15">
      <c r="P362" s="447"/>
      <c r="Q362" s="497">
        <v>4</v>
      </c>
      <c r="R362" s="497">
        <v>0.40100000000000002</v>
      </c>
      <c r="S362" s="497">
        <v>0.15</v>
      </c>
      <c r="T362" s="497">
        <v>1.5</v>
      </c>
    </row>
    <row r="363" spans="16:20" ht="15">
      <c r="P363" s="447"/>
      <c r="Q363" s="497">
        <v>4</v>
      </c>
      <c r="R363" s="497">
        <v>0.40100000000000002</v>
      </c>
      <c r="S363" s="497">
        <v>0.2</v>
      </c>
      <c r="T363" s="497">
        <v>1.5</v>
      </c>
    </row>
    <row r="364" spans="16:20" ht="15">
      <c r="P364" s="447"/>
      <c r="Q364" s="497">
        <v>4</v>
      </c>
      <c r="R364" s="497">
        <v>0.40100000000000002</v>
      </c>
      <c r="S364" s="497">
        <v>0.25</v>
      </c>
      <c r="T364" s="497">
        <v>1.5</v>
      </c>
    </row>
    <row r="365" spans="16:20" ht="15">
      <c r="P365" s="447"/>
      <c r="Q365" s="497">
        <v>4</v>
      </c>
      <c r="R365" s="497">
        <v>0.40100000000000002</v>
      </c>
      <c r="S365" s="497">
        <v>1</v>
      </c>
      <c r="T365" s="497">
        <v>1.5</v>
      </c>
    </row>
    <row r="366" spans="16:20" ht="15">
      <c r="P366" s="447"/>
      <c r="Q366" s="497">
        <v>4</v>
      </c>
      <c r="R366" s="497">
        <v>0.8</v>
      </c>
      <c r="S366" s="497">
        <v>0</v>
      </c>
      <c r="T366" s="497">
        <v>2.5</v>
      </c>
    </row>
    <row r="367" spans="16:20" ht="15">
      <c r="P367" s="447"/>
      <c r="Q367" s="497">
        <v>4</v>
      </c>
      <c r="R367" s="497">
        <v>0.8</v>
      </c>
      <c r="S367" s="497">
        <v>0.02</v>
      </c>
      <c r="T367" s="497">
        <v>2.5</v>
      </c>
    </row>
    <row r="368" spans="16:20" ht="15">
      <c r="P368" s="447"/>
      <c r="Q368" s="497">
        <v>4</v>
      </c>
      <c r="R368" s="497">
        <v>0.8</v>
      </c>
      <c r="S368" s="497">
        <v>0.04</v>
      </c>
      <c r="T368" s="497">
        <v>2.5</v>
      </c>
    </row>
    <row r="369" spans="16:20" ht="15">
      <c r="P369" s="447"/>
      <c r="Q369" s="497">
        <v>4</v>
      </c>
      <c r="R369" s="497">
        <v>0.8</v>
      </c>
      <c r="S369" s="497">
        <v>0.05</v>
      </c>
      <c r="T369" s="497">
        <v>2</v>
      </c>
    </row>
    <row r="370" spans="16:20" ht="15">
      <c r="P370" s="447"/>
      <c r="Q370" s="497">
        <v>4</v>
      </c>
      <c r="R370" s="497">
        <v>0.8</v>
      </c>
      <c r="S370" s="497">
        <v>0.06</v>
      </c>
      <c r="T370" s="497">
        <v>2</v>
      </c>
    </row>
    <row r="371" spans="16:20" ht="15">
      <c r="P371" s="447"/>
      <c r="Q371" s="497">
        <v>4</v>
      </c>
      <c r="R371" s="497">
        <v>0.8</v>
      </c>
      <c r="S371" s="497">
        <v>0.08</v>
      </c>
      <c r="T371" s="497">
        <v>2</v>
      </c>
    </row>
    <row r="372" spans="16:20" ht="15">
      <c r="P372" s="447"/>
      <c r="Q372" s="497">
        <v>4</v>
      </c>
      <c r="R372" s="497">
        <v>0.8</v>
      </c>
      <c r="S372" s="497">
        <v>0.1</v>
      </c>
      <c r="T372" s="497">
        <v>2</v>
      </c>
    </row>
    <row r="373" spans="16:20" ht="15">
      <c r="P373" s="447"/>
      <c r="Q373" s="497">
        <v>4</v>
      </c>
      <c r="R373" s="497">
        <v>0.8</v>
      </c>
      <c r="S373" s="497">
        <v>0.15</v>
      </c>
      <c r="T373" s="497">
        <v>1.5</v>
      </c>
    </row>
    <row r="374" spans="16:20" ht="15">
      <c r="P374" s="447"/>
      <c r="Q374" s="497">
        <v>4</v>
      </c>
      <c r="R374" s="497">
        <v>0.8</v>
      </c>
      <c r="S374" s="497">
        <v>0.2</v>
      </c>
      <c r="T374" s="497">
        <v>1.5</v>
      </c>
    </row>
    <row r="375" spans="16:20" ht="15">
      <c r="P375" s="447"/>
      <c r="Q375" s="497">
        <v>4</v>
      </c>
      <c r="R375" s="497">
        <v>0.8</v>
      </c>
      <c r="S375" s="497">
        <v>0.25</v>
      </c>
      <c r="T375" s="497">
        <v>1.5</v>
      </c>
    </row>
    <row r="376" spans="16:20" ht="15">
      <c r="P376" s="447"/>
      <c r="Q376" s="497">
        <v>4</v>
      </c>
      <c r="R376" s="497">
        <v>0.8</v>
      </c>
      <c r="S376" s="497">
        <v>1</v>
      </c>
      <c r="T376" s="497">
        <v>1.5</v>
      </c>
    </row>
    <row r="377" spans="16:20" ht="15">
      <c r="P377" s="447"/>
      <c r="Q377" s="497">
        <v>4</v>
      </c>
      <c r="R377" s="497">
        <v>0.80100000000000005</v>
      </c>
      <c r="S377" s="497">
        <v>0</v>
      </c>
      <c r="T377" s="497">
        <v>3</v>
      </c>
    </row>
    <row r="378" spans="16:20" ht="15">
      <c r="P378" s="447"/>
      <c r="Q378" s="497">
        <v>4</v>
      </c>
      <c r="R378" s="497">
        <v>0.80100000000000005</v>
      </c>
      <c r="S378" s="497">
        <v>0.02</v>
      </c>
      <c r="T378" s="497">
        <v>3</v>
      </c>
    </row>
    <row r="379" spans="16:20" ht="15">
      <c r="P379" s="447"/>
      <c r="Q379" s="497">
        <v>4</v>
      </c>
      <c r="R379" s="497">
        <v>0.80100000000000005</v>
      </c>
      <c r="S379" s="497">
        <v>0.04</v>
      </c>
      <c r="T379" s="497">
        <v>2.5</v>
      </c>
    </row>
    <row r="380" spans="16:20" ht="15">
      <c r="P380" s="447"/>
      <c r="Q380" s="497">
        <v>4</v>
      </c>
      <c r="R380" s="497">
        <v>0.80100000000000005</v>
      </c>
      <c r="S380" s="497">
        <v>0.05</v>
      </c>
      <c r="T380" s="497">
        <v>2.5</v>
      </c>
    </row>
    <row r="381" spans="16:20" ht="15">
      <c r="P381" s="447"/>
      <c r="Q381" s="497">
        <v>4</v>
      </c>
      <c r="R381" s="497">
        <v>0.80100000000000005</v>
      </c>
      <c r="S381" s="497">
        <v>0.06</v>
      </c>
      <c r="T381" s="497">
        <v>2.5</v>
      </c>
    </row>
    <row r="382" spans="16:20" ht="15">
      <c r="P382" s="447"/>
      <c r="Q382" s="497">
        <v>4</v>
      </c>
      <c r="R382" s="497">
        <v>0.80100000000000005</v>
      </c>
      <c r="S382" s="497">
        <v>0.08</v>
      </c>
      <c r="T382" s="497">
        <v>2</v>
      </c>
    </row>
    <row r="383" spans="16:20" ht="15">
      <c r="P383" s="447"/>
      <c r="Q383" s="497">
        <v>4</v>
      </c>
      <c r="R383" s="497">
        <v>0.80100000000000005</v>
      </c>
      <c r="S383" s="497">
        <v>0.1</v>
      </c>
      <c r="T383" s="497">
        <v>2</v>
      </c>
    </row>
    <row r="384" spans="16:20" ht="15">
      <c r="P384" s="447"/>
      <c r="Q384" s="497">
        <v>4</v>
      </c>
      <c r="R384" s="497">
        <v>0.80100000000000005</v>
      </c>
      <c r="S384" s="497">
        <v>0.15</v>
      </c>
      <c r="T384" s="497">
        <v>2</v>
      </c>
    </row>
    <row r="385" spans="16:20" ht="15">
      <c r="P385" s="447"/>
      <c r="Q385" s="497">
        <v>4</v>
      </c>
      <c r="R385" s="497">
        <v>0.80100000000000005</v>
      </c>
      <c r="S385" s="497">
        <v>0.2</v>
      </c>
      <c r="T385" s="497">
        <v>1.5</v>
      </c>
    </row>
    <row r="386" spans="16:20" ht="15">
      <c r="P386" s="447"/>
      <c r="Q386" s="497">
        <v>4</v>
      </c>
      <c r="R386" s="497">
        <v>0.80100000000000005</v>
      </c>
      <c r="S386" s="497">
        <v>0.25</v>
      </c>
      <c r="T386" s="497">
        <v>1.5</v>
      </c>
    </row>
    <row r="387" spans="16:20" ht="15">
      <c r="P387" s="447"/>
      <c r="Q387" s="497">
        <v>4</v>
      </c>
      <c r="R387" s="497">
        <v>0.80100000000000005</v>
      </c>
      <c r="S387" s="497">
        <v>1</v>
      </c>
      <c r="T387" s="497">
        <v>1.5</v>
      </c>
    </row>
    <row r="388" spans="16:20" ht="15">
      <c r="P388" s="447"/>
      <c r="Q388" s="497">
        <v>4</v>
      </c>
      <c r="R388" s="497">
        <v>100</v>
      </c>
      <c r="S388" s="497">
        <v>0</v>
      </c>
      <c r="T388" s="497">
        <v>3</v>
      </c>
    </row>
    <row r="389" spans="16:20" ht="15">
      <c r="P389" s="447"/>
      <c r="Q389" s="497">
        <v>4</v>
      </c>
      <c r="R389" s="497">
        <v>100</v>
      </c>
      <c r="S389" s="497">
        <v>0.02</v>
      </c>
      <c r="T389" s="497">
        <v>3</v>
      </c>
    </row>
    <row r="390" spans="16:20" ht="15">
      <c r="P390" s="447"/>
      <c r="Q390" s="497">
        <v>4</v>
      </c>
      <c r="R390" s="497">
        <v>100</v>
      </c>
      <c r="S390" s="497">
        <v>0.04</v>
      </c>
      <c r="T390" s="497">
        <v>2.5</v>
      </c>
    </row>
    <row r="391" spans="16:20" ht="15">
      <c r="P391" s="447"/>
      <c r="Q391" s="497">
        <v>4</v>
      </c>
      <c r="R391" s="497">
        <v>100</v>
      </c>
      <c r="S391" s="497">
        <v>0.05</v>
      </c>
      <c r="T391" s="497">
        <v>2.5</v>
      </c>
    </row>
    <row r="392" spans="16:20" ht="15">
      <c r="P392" s="447"/>
      <c r="Q392" s="497">
        <v>4</v>
      </c>
      <c r="R392" s="497">
        <v>100</v>
      </c>
      <c r="S392" s="497">
        <v>0.06</v>
      </c>
      <c r="T392" s="497">
        <v>2.5</v>
      </c>
    </row>
    <row r="393" spans="16:20" ht="15">
      <c r="P393" s="447"/>
      <c r="Q393" s="497">
        <v>4</v>
      </c>
      <c r="R393" s="497">
        <v>100</v>
      </c>
      <c r="S393" s="497">
        <v>0.08</v>
      </c>
      <c r="T393" s="497">
        <v>2</v>
      </c>
    </row>
    <row r="394" spans="16:20" ht="15">
      <c r="P394" s="447"/>
      <c r="Q394" s="497">
        <v>4</v>
      </c>
      <c r="R394" s="497">
        <v>100</v>
      </c>
      <c r="S394" s="497">
        <v>0.1</v>
      </c>
      <c r="T394" s="497">
        <v>2</v>
      </c>
    </row>
    <row r="395" spans="16:20" ht="15">
      <c r="P395" s="447"/>
      <c r="Q395" s="497">
        <v>4</v>
      </c>
      <c r="R395" s="497">
        <v>100</v>
      </c>
      <c r="S395" s="497">
        <v>0.15</v>
      </c>
      <c r="T395" s="497">
        <v>2</v>
      </c>
    </row>
    <row r="396" spans="16:20" ht="15">
      <c r="P396" s="447"/>
      <c r="Q396" s="497">
        <v>4</v>
      </c>
      <c r="R396" s="497">
        <v>100</v>
      </c>
      <c r="S396" s="497">
        <v>0.2</v>
      </c>
      <c r="T396" s="497">
        <v>1.5</v>
      </c>
    </row>
    <row r="397" spans="16:20" ht="15">
      <c r="P397" s="447"/>
      <c r="Q397" s="497">
        <v>4</v>
      </c>
      <c r="R397" s="497">
        <v>100</v>
      </c>
      <c r="S397" s="497">
        <v>0.25</v>
      </c>
      <c r="T397" s="497">
        <v>1.5</v>
      </c>
    </row>
    <row r="398" spans="16:20" ht="15">
      <c r="P398" s="447"/>
      <c r="Q398" s="497">
        <v>4</v>
      </c>
      <c r="R398" s="497">
        <v>100</v>
      </c>
      <c r="S398" s="497">
        <v>1</v>
      </c>
      <c r="T398" s="497">
        <v>1.5</v>
      </c>
    </row>
    <row r="399" spans="16:20" ht="15">
      <c r="P399" s="447"/>
      <c r="Q399" s="497">
        <v>4.01</v>
      </c>
      <c r="R399" s="497">
        <v>0</v>
      </c>
      <c r="S399" s="497">
        <v>0</v>
      </c>
      <c r="T399" s="497">
        <v>2.5</v>
      </c>
    </row>
    <row r="400" spans="16:20" ht="15">
      <c r="P400" s="447"/>
      <c r="Q400" s="497">
        <v>4.01</v>
      </c>
      <c r="R400" s="497">
        <v>0</v>
      </c>
      <c r="S400" s="497">
        <v>0.02</v>
      </c>
      <c r="T400" s="497">
        <v>2.5</v>
      </c>
    </row>
    <row r="401" spans="16:20" ht="15">
      <c r="P401" s="447"/>
      <c r="Q401" s="497">
        <v>4.01</v>
      </c>
      <c r="R401" s="497">
        <v>0</v>
      </c>
      <c r="S401" s="497">
        <v>0.04</v>
      </c>
      <c r="T401" s="497">
        <v>2</v>
      </c>
    </row>
    <row r="402" spans="16:20" ht="15">
      <c r="P402" s="447"/>
      <c r="Q402" s="497">
        <v>4.01</v>
      </c>
      <c r="R402" s="497">
        <v>0</v>
      </c>
      <c r="S402" s="497">
        <v>0.05</v>
      </c>
      <c r="T402" s="497">
        <v>2</v>
      </c>
    </row>
    <row r="403" spans="16:20" ht="15">
      <c r="P403" s="447"/>
      <c r="Q403" s="497">
        <v>4.01</v>
      </c>
      <c r="R403" s="497">
        <v>0</v>
      </c>
      <c r="S403" s="497">
        <v>0.06</v>
      </c>
      <c r="T403" s="497">
        <v>2</v>
      </c>
    </row>
    <row r="404" spans="16:20" ht="15">
      <c r="P404" s="447"/>
      <c r="Q404" s="497">
        <v>4.01</v>
      </c>
      <c r="R404" s="497">
        <v>0</v>
      </c>
      <c r="S404" s="497">
        <v>0.08</v>
      </c>
      <c r="T404" s="497">
        <v>1.5</v>
      </c>
    </row>
    <row r="405" spans="16:20" ht="15">
      <c r="P405" s="447"/>
      <c r="Q405" s="497">
        <v>4.01</v>
      </c>
      <c r="R405" s="497">
        <v>0</v>
      </c>
      <c r="S405" s="497">
        <v>0.1</v>
      </c>
      <c r="T405" s="497">
        <v>1.5</v>
      </c>
    </row>
    <row r="406" spans="16:20" ht="15">
      <c r="P406" s="447"/>
      <c r="Q406" s="497">
        <v>4.01</v>
      </c>
      <c r="R406" s="497">
        <v>0</v>
      </c>
      <c r="S406" s="497">
        <v>0.15</v>
      </c>
      <c r="T406" s="497">
        <v>1.5</v>
      </c>
    </row>
    <row r="407" spans="16:20" ht="15">
      <c r="P407" s="447"/>
      <c r="Q407" s="497">
        <v>4.01</v>
      </c>
      <c r="R407" s="497">
        <v>0</v>
      </c>
      <c r="S407" s="497">
        <v>0.2</v>
      </c>
      <c r="T407" s="497">
        <v>1.5</v>
      </c>
    </row>
    <row r="408" spans="16:20" ht="15">
      <c r="P408" s="447"/>
      <c r="Q408" s="497">
        <v>4.01</v>
      </c>
      <c r="R408" s="497">
        <v>0</v>
      </c>
      <c r="S408" s="497">
        <v>0.25</v>
      </c>
      <c r="T408" s="497">
        <v>1.5</v>
      </c>
    </row>
    <row r="409" spans="16:20" ht="15">
      <c r="P409" s="447"/>
      <c r="Q409" s="497">
        <v>4.01</v>
      </c>
      <c r="R409" s="497">
        <v>0</v>
      </c>
      <c r="S409" s="497">
        <v>1</v>
      </c>
      <c r="T409" s="497">
        <v>1.5</v>
      </c>
    </row>
    <row r="410" spans="16:20" ht="15">
      <c r="P410" s="447"/>
      <c r="Q410" s="497">
        <v>4.01</v>
      </c>
      <c r="R410" s="497">
        <v>0.4</v>
      </c>
      <c r="S410" s="497">
        <v>0</v>
      </c>
      <c r="T410" s="497">
        <v>2.5</v>
      </c>
    </row>
    <row r="411" spans="16:20" ht="15">
      <c r="P411" s="447"/>
      <c r="Q411" s="497">
        <v>4.01</v>
      </c>
      <c r="R411" s="497">
        <v>0.4</v>
      </c>
      <c r="S411" s="497">
        <v>0.02</v>
      </c>
      <c r="T411" s="497">
        <v>2.5</v>
      </c>
    </row>
    <row r="412" spans="16:20" ht="15">
      <c r="P412" s="447"/>
      <c r="Q412" s="497">
        <v>4.01</v>
      </c>
      <c r="R412" s="497">
        <v>0.4</v>
      </c>
      <c r="S412" s="497">
        <v>0.04</v>
      </c>
      <c r="T412" s="497">
        <v>2</v>
      </c>
    </row>
    <row r="413" spans="16:20" ht="15">
      <c r="P413" s="447"/>
      <c r="Q413" s="497">
        <v>4.01</v>
      </c>
      <c r="R413" s="497">
        <v>0.4</v>
      </c>
      <c r="S413" s="497">
        <v>0.05</v>
      </c>
      <c r="T413" s="497">
        <v>2</v>
      </c>
    </row>
    <row r="414" spans="16:20" ht="15">
      <c r="P414" s="447"/>
      <c r="Q414" s="497">
        <v>4.01</v>
      </c>
      <c r="R414" s="497">
        <v>0.4</v>
      </c>
      <c r="S414" s="497">
        <v>0.06</v>
      </c>
      <c r="T414" s="497">
        <v>2</v>
      </c>
    </row>
    <row r="415" spans="16:20" ht="15">
      <c r="P415" s="447"/>
      <c r="Q415" s="497">
        <v>4.01</v>
      </c>
      <c r="R415" s="497">
        <v>0.4</v>
      </c>
      <c r="S415" s="497">
        <v>0.08</v>
      </c>
      <c r="T415" s="497">
        <v>1.5</v>
      </c>
    </row>
    <row r="416" spans="16:20" ht="15">
      <c r="P416" s="447"/>
      <c r="Q416" s="497">
        <v>4.01</v>
      </c>
      <c r="R416" s="497">
        <v>0.4</v>
      </c>
      <c r="S416" s="497">
        <v>0.1</v>
      </c>
      <c r="T416" s="497">
        <v>1.5</v>
      </c>
    </row>
    <row r="417" spans="16:20" ht="15">
      <c r="P417" s="447"/>
      <c r="Q417" s="497">
        <v>4.01</v>
      </c>
      <c r="R417" s="497">
        <v>0.4</v>
      </c>
      <c r="S417" s="497">
        <v>0.15</v>
      </c>
      <c r="T417" s="497">
        <v>1.5</v>
      </c>
    </row>
    <row r="418" spans="16:20" ht="15">
      <c r="P418" s="447"/>
      <c r="Q418" s="497">
        <v>4.01</v>
      </c>
      <c r="R418" s="497">
        <v>0.4</v>
      </c>
      <c r="S418" s="497">
        <v>0.2</v>
      </c>
      <c r="T418" s="497">
        <v>1.5</v>
      </c>
    </row>
    <row r="419" spans="16:20" ht="15">
      <c r="P419" s="447"/>
      <c r="Q419" s="497">
        <v>4.01</v>
      </c>
      <c r="R419" s="497">
        <v>0.4</v>
      </c>
      <c r="S419" s="497">
        <v>0.25</v>
      </c>
      <c r="T419" s="497">
        <v>1.5</v>
      </c>
    </row>
    <row r="420" spans="16:20" ht="15">
      <c r="P420" s="447"/>
      <c r="Q420" s="497">
        <v>4.01</v>
      </c>
      <c r="R420" s="497">
        <v>0.4</v>
      </c>
      <c r="S420" s="497">
        <v>1</v>
      </c>
      <c r="T420" s="497">
        <v>1.5</v>
      </c>
    </row>
    <row r="421" spans="16:20" ht="15">
      <c r="P421" s="447"/>
      <c r="Q421" s="497">
        <v>4.01</v>
      </c>
      <c r="R421" s="497">
        <v>0.40100000000000002</v>
      </c>
      <c r="S421" s="497">
        <v>0</v>
      </c>
      <c r="T421" s="497">
        <v>4</v>
      </c>
    </row>
    <row r="422" spans="16:20" ht="15">
      <c r="P422" s="447"/>
      <c r="Q422" s="497">
        <v>4.01</v>
      </c>
      <c r="R422" s="497">
        <v>0.40100000000000002</v>
      </c>
      <c r="S422" s="497">
        <v>0.02</v>
      </c>
      <c r="T422" s="497">
        <v>4</v>
      </c>
    </row>
    <row r="423" spans="16:20" ht="15">
      <c r="P423" s="447"/>
      <c r="Q423" s="497">
        <v>4.01</v>
      </c>
      <c r="R423" s="497">
        <v>0.40100000000000002</v>
      </c>
      <c r="S423" s="497">
        <v>0.04</v>
      </c>
      <c r="T423" s="497">
        <v>3</v>
      </c>
    </row>
    <row r="424" spans="16:20" ht="15">
      <c r="P424" s="447"/>
      <c r="Q424" s="497">
        <v>4.01</v>
      </c>
      <c r="R424" s="497">
        <v>0.40100000000000002</v>
      </c>
      <c r="S424" s="497">
        <v>0.05</v>
      </c>
      <c r="T424" s="497">
        <v>3</v>
      </c>
    </row>
    <row r="425" spans="16:20" ht="15">
      <c r="P425" s="447"/>
      <c r="Q425" s="497">
        <v>4.01</v>
      </c>
      <c r="R425" s="497">
        <v>0.40100000000000002</v>
      </c>
      <c r="S425" s="497">
        <v>0.06</v>
      </c>
      <c r="T425" s="497">
        <v>3</v>
      </c>
    </row>
    <row r="426" spans="16:20" ht="15">
      <c r="P426" s="447"/>
      <c r="Q426" s="497">
        <v>4.01</v>
      </c>
      <c r="R426" s="497">
        <v>0.40100000000000002</v>
      </c>
      <c r="S426" s="497">
        <v>0.08</v>
      </c>
      <c r="T426" s="497">
        <v>2.5</v>
      </c>
    </row>
    <row r="427" spans="16:20" ht="15">
      <c r="P427" s="447"/>
      <c r="Q427" s="497">
        <v>4.01</v>
      </c>
      <c r="R427" s="497">
        <v>0.40100000000000002</v>
      </c>
      <c r="S427" s="497">
        <v>0.1</v>
      </c>
      <c r="T427" s="497">
        <v>2.5</v>
      </c>
    </row>
    <row r="428" spans="16:20" ht="15">
      <c r="P428" s="447"/>
      <c r="Q428" s="497">
        <v>4.01</v>
      </c>
      <c r="R428" s="497">
        <v>0.40100000000000002</v>
      </c>
      <c r="S428" s="497">
        <v>0.15</v>
      </c>
      <c r="T428" s="497">
        <v>2</v>
      </c>
    </row>
    <row r="429" spans="16:20" ht="15">
      <c r="P429" s="447"/>
      <c r="Q429" s="497">
        <v>4.01</v>
      </c>
      <c r="R429" s="497">
        <v>0.40100000000000002</v>
      </c>
      <c r="S429" s="497">
        <v>0.2</v>
      </c>
      <c r="T429" s="497">
        <v>2</v>
      </c>
    </row>
    <row r="430" spans="16:20" ht="15">
      <c r="P430" s="447"/>
      <c r="Q430" s="497">
        <v>4.01</v>
      </c>
      <c r="R430" s="497">
        <v>0.40100000000000002</v>
      </c>
      <c r="S430" s="497">
        <v>0.25</v>
      </c>
      <c r="T430" s="497">
        <v>2</v>
      </c>
    </row>
    <row r="431" spans="16:20" ht="15">
      <c r="P431" s="447"/>
      <c r="Q431" s="497">
        <v>4.01</v>
      </c>
      <c r="R431" s="497">
        <v>0.40100000000000002</v>
      </c>
      <c r="S431" s="497">
        <v>1</v>
      </c>
      <c r="T431" s="497">
        <v>2</v>
      </c>
    </row>
    <row r="432" spans="16:20" ht="15">
      <c r="P432" s="447"/>
      <c r="Q432" s="497">
        <v>4.01</v>
      </c>
      <c r="R432" s="497">
        <v>0.8</v>
      </c>
      <c r="S432" s="497">
        <v>0</v>
      </c>
      <c r="T432" s="497">
        <v>4</v>
      </c>
    </row>
    <row r="433" spans="16:20" ht="15">
      <c r="P433" s="447"/>
      <c r="Q433" s="497">
        <v>4.01</v>
      </c>
      <c r="R433" s="497">
        <v>0.8</v>
      </c>
      <c r="S433" s="497">
        <v>0.02</v>
      </c>
      <c r="T433" s="497">
        <v>4</v>
      </c>
    </row>
    <row r="434" spans="16:20" ht="15">
      <c r="P434" s="447"/>
      <c r="Q434" s="497">
        <v>4.01</v>
      </c>
      <c r="R434" s="497">
        <v>0.8</v>
      </c>
      <c r="S434" s="497">
        <v>0.04</v>
      </c>
      <c r="T434" s="497">
        <v>3</v>
      </c>
    </row>
    <row r="435" spans="16:20" ht="15">
      <c r="P435" s="447"/>
      <c r="Q435" s="497">
        <v>4.01</v>
      </c>
      <c r="R435" s="497">
        <v>0.8</v>
      </c>
      <c r="S435" s="497">
        <v>0.05</v>
      </c>
      <c r="T435" s="497">
        <v>3</v>
      </c>
    </row>
    <row r="436" spans="16:20" ht="15">
      <c r="P436" s="447"/>
      <c r="Q436" s="497">
        <v>4.01</v>
      </c>
      <c r="R436" s="497">
        <v>0.8</v>
      </c>
      <c r="S436" s="497">
        <v>0.06</v>
      </c>
      <c r="T436" s="497">
        <v>3</v>
      </c>
    </row>
    <row r="437" spans="16:20" ht="15">
      <c r="P437" s="447"/>
      <c r="Q437" s="497">
        <v>4.01</v>
      </c>
      <c r="R437" s="497">
        <v>0.8</v>
      </c>
      <c r="S437" s="497">
        <v>0.08</v>
      </c>
      <c r="T437" s="497">
        <v>2.5</v>
      </c>
    </row>
    <row r="438" spans="16:20" ht="15">
      <c r="P438" s="447"/>
      <c r="Q438" s="497">
        <v>4.01</v>
      </c>
      <c r="R438" s="497">
        <v>0.8</v>
      </c>
      <c r="S438" s="497">
        <v>0.1</v>
      </c>
      <c r="T438" s="497">
        <v>2.5</v>
      </c>
    </row>
    <row r="439" spans="16:20" ht="15">
      <c r="P439" s="447"/>
      <c r="Q439" s="497">
        <v>4.01</v>
      </c>
      <c r="R439" s="497">
        <v>0.8</v>
      </c>
      <c r="S439" s="497">
        <v>0.15</v>
      </c>
      <c r="T439" s="497">
        <v>2</v>
      </c>
    </row>
    <row r="440" spans="16:20" ht="15">
      <c r="P440" s="447"/>
      <c r="Q440" s="497">
        <v>4.01</v>
      </c>
      <c r="R440" s="497">
        <v>0.8</v>
      </c>
      <c r="S440" s="497">
        <v>0.2</v>
      </c>
      <c r="T440" s="497">
        <v>2</v>
      </c>
    </row>
    <row r="441" spans="16:20" ht="15">
      <c r="P441" s="447"/>
      <c r="Q441" s="497">
        <v>4.01</v>
      </c>
      <c r="R441" s="497">
        <v>0.8</v>
      </c>
      <c r="S441" s="497">
        <v>0.25</v>
      </c>
      <c r="T441" s="497">
        <v>2</v>
      </c>
    </row>
    <row r="442" spans="16:20" ht="15">
      <c r="P442" s="447"/>
      <c r="Q442" s="497">
        <v>4.01</v>
      </c>
      <c r="R442" s="497">
        <v>0.8</v>
      </c>
      <c r="S442" s="497">
        <v>1</v>
      </c>
      <c r="T442" s="497">
        <v>2</v>
      </c>
    </row>
    <row r="443" spans="16:20" ht="15">
      <c r="P443" s="447"/>
      <c r="Q443" s="497">
        <v>4.01</v>
      </c>
      <c r="R443" s="497">
        <v>0.80100000000000005</v>
      </c>
      <c r="S443" s="497">
        <v>0</v>
      </c>
      <c r="T443" s="497">
        <v>4.5</v>
      </c>
    </row>
    <row r="444" spans="16:20" ht="15">
      <c r="P444" s="447"/>
      <c r="Q444" s="497">
        <v>4.01</v>
      </c>
      <c r="R444" s="497">
        <v>0.80100000000000005</v>
      </c>
      <c r="S444" s="497">
        <v>0.02</v>
      </c>
      <c r="T444" s="497">
        <v>4.5</v>
      </c>
    </row>
    <row r="445" spans="16:20" ht="15">
      <c r="P445" s="447"/>
      <c r="Q445" s="497">
        <v>4.01</v>
      </c>
      <c r="R445" s="497">
        <v>0.80100000000000005</v>
      </c>
      <c r="S445" s="497">
        <v>0.04</v>
      </c>
      <c r="T445" s="497">
        <v>3.5</v>
      </c>
    </row>
    <row r="446" spans="16:20" ht="15">
      <c r="P446" s="447"/>
      <c r="Q446" s="497">
        <v>4.01</v>
      </c>
      <c r="R446" s="497">
        <v>0.80100000000000005</v>
      </c>
      <c r="S446" s="497">
        <v>0.05</v>
      </c>
      <c r="T446" s="497">
        <v>3</v>
      </c>
    </row>
    <row r="447" spans="16:20" ht="15">
      <c r="P447" s="447"/>
      <c r="Q447" s="497">
        <v>4.01</v>
      </c>
      <c r="R447" s="497">
        <v>0.80100000000000005</v>
      </c>
      <c r="S447" s="497">
        <v>0.06</v>
      </c>
      <c r="T447" s="497">
        <v>3</v>
      </c>
    </row>
    <row r="448" spans="16:20" ht="15">
      <c r="P448" s="447"/>
      <c r="Q448" s="497">
        <v>4.01</v>
      </c>
      <c r="R448" s="497">
        <v>0.80100000000000005</v>
      </c>
      <c r="S448" s="497">
        <v>0.08</v>
      </c>
      <c r="T448" s="497">
        <v>3</v>
      </c>
    </row>
    <row r="449" spans="16:20" ht="15">
      <c r="P449" s="447"/>
      <c r="Q449" s="497">
        <v>4.01</v>
      </c>
      <c r="R449" s="497">
        <v>0.80100000000000005</v>
      </c>
      <c r="S449" s="497">
        <v>0.1</v>
      </c>
      <c r="T449" s="497">
        <v>2.5</v>
      </c>
    </row>
    <row r="450" spans="16:20" ht="15">
      <c r="P450" s="447"/>
      <c r="Q450" s="497">
        <v>4.01</v>
      </c>
      <c r="R450" s="497">
        <v>0.80100000000000005</v>
      </c>
      <c r="S450" s="497">
        <v>0.15</v>
      </c>
      <c r="T450" s="497">
        <v>2.5</v>
      </c>
    </row>
    <row r="451" spans="16:20" ht="15">
      <c r="P451" s="447"/>
      <c r="Q451" s="497">
        <v>4.01</v>
      </c>
      <c r="R451" s="497">
        <v>0.80100000000000005</v>
      </c>
      <c r="S451" s="497">
        <v>0.2</v>
      </c>
      <c r="T451" s="497">
        <v>2</v>
      </c>
    </row>
    <row r="452" spans="16:20" ht="15">
      <c r="P452" s="447"/>
      <c r="Q452" s="497">
        <v>4.01</v>
      </c>
      <c r="R452" s="497">
        <v>0.80100000000000005</v>
      </c>
      <c r="S452" s="497">
        <v>0.25</v>
      </c>
      <c r="T452" s="497">
        <v>2</v>
      </c>
    </row>
    <row r="453" spans="16:20" ht="15">
      <c r="P453" s="447"/>
      <c r="Q453" s="497">
        <v>4.01</v>
      </c>
      <c r="R453" s="497">
        <v>0.80100000000000005</v>
      </c>
      <c r="S453" s="497">
        <v>1</v>
      </c>
      <c r="T453" s="497">
        <v>2</v>
      </c>
    </row>
    <row r="454" spans="16:20" ht="15">
      <c r="P454" s="447"/>
      <c r="Q454" s="497">
        <v>4.01</v>
      </c>
      <c r="R454" s="497">
        <v>100</v>
      </c>
      <c r="S454" s="497">
        <v>0</v>
      </c>
      <c r="T454" s="497">
        <v>4.5</v>
      </c>
    </row>
    <row r="455" spans="16:20" ht="15">
      <c r="P455" s="447"/>
      <c r="Q455" s="497">
        <v>4.01</v>
      </c>
      <c r="R455" s="497">
        <v>100</v>
      </c>
      <c r="S455" s="497">
        <v>0.02</v>
      </c>
      <c r="T455" s="497">
        <v>4.5</v>
      </c>
    </row>
    <row r="456" spans="16:20" ht="15">
      <c r="P456" s="447"/>
      <c r="Q456" s="497">
        <v>4.01</v>
      </c>
      <c r="R456" s="497">
        <v>100</v>
      </c>
      <c r="S456" s="497">
        <v>0.04</v>
      </c>
      <c r="T456" s="497">
        <v>3.5</v>
      </c>
    </row>
    <row r="457" spans="16:20" ht="15">
      <c r="P457" s="447"/>
      <c r="Q457" s="497">
        <v>4.01</v>
      </c>
      <c r="R457" s="497">
        <v>100</v>
      </c>
      <c r="S457" s="497">
        <v>0.05</v>
      </c>
      <c r="T457" s="497">
        <v>3</v>
      </c>
    </row>
    <row r="458" spans="16:20" ht="15">
      <c r="P458" s="447"/>
      <c r="Q458" s="497">
        <v>4.01</v>
      </c>
      <c r="R458" s="497">
        <v>100</v>
      </c>
      <c r="S458" s="497">
        <v>0.06</v>
      </c>
      <c r="T458" s="497">
        <v>3</v>
      </c>
    </row>
    <row r="459" spans="16:20" ht="15">
      <c r="P459" s="447"/>
      <c r="Q459" s="497">
        <v>4.01</v>
      </c>
      <c r="R459" s="497">
        <v>100</v>
      </c>
      <c r="S459" s="497">
        <v>0.08</v>
      </c>
      <c r="T459" s="497">
        <v>3</v>
      </c>
    </row>
    <row r="460" spans="16:20" ht="15">
      <c r="P460" s="447"/>
      <c r="Q460" s="497">
        <v>4.01</v>
      </c>
      <c r="R460" s="497">
        <v>100</v>
      </c>
      <c r="S460" s="497">
        <v>0.1</v>
      </c>
      <c r="T460" s="497">
        <v>2.5</v>
      </c>
    </row>
    <row r="461" spans="16:20" ht="15">
      <c r="P461" s="447"/>
      <c r="Q461" s="497">
        <v>4.01</v>
      </c>
      <c r="R461" s="497">
        <v>100</v>
      </c>
      <c r="S461" s="497">
        <v>0.15</v>
      </c>
      <c r="T461" s="497">
        <v>2.5</v>
      </c>
    </row>
    <row r="462" spans="16:20" ht="15">
      <c r="P462" s="447"/>
      <c r="Q462" s="497">
        <v>4.01</v>
      </c>
      <c r="R462" s="497">
        <v>100</v>
      </c>
      <c r="S462" s="497">
        <v>0.2</v>
      </c>
      <c r="T462" s="497">
        <v>2</v>
      </c>
    </row>
    <row r="463" spans="16:20" ht="15">
      <c r="P463" s="447"/>
      <c r="Q463" s="497">
        <v>4.01</v>
      </c>
      <c r="R463" s="497">
        <v>100</v>
      </c>
      <c r="S463" s="497">
        <v>0.25</v>
      </c>
      <c r="T463" s="497">
        <v>2</v>
      </c>
    </row>
    <row r="464" spans="16:20" ht="15">
      <c r="P464" s="447"/>
      <c r="Q464" s="497">
        <v>4.01</v>
      </c>
      <c r="R464" s="497">
        <v>100</v>
      </c>
      <c r="S464" s="497">
        <v>1</v>
      </c>
      <c r="T464" s="497">
        <v>2</v>
      </c>
    </row>
    <row r="465" spans="16:20" ht="15">
      <c r="P465" s="447"/>
      <c r="Q465" s="497">
        <v>5</v>
      </c>
      <c r="R465" s="497">
        <v>0</v>
      </c>
      <c r="S465" s="497">
        <v>0</v>
      </c>
      <c r="T465" s="497">
        <v>2.5</v>
      </c>
    </row>
    <row r="466" spans="16:20" ht="15">
      <c r="P466" s="447"/>
      <c r="Q466" s="497">
        <v>5</v>
      </c>
      <c r="R466" s="497">
        <v>0</v>
      </c>
      <c r="S466" s="497">
        <v>0.02</v>
      </c>
      <c r="T466" s="497">
        <v>2.5</v>
      </c>
    </row>
    <row r="467" spans="16:20" ht="15">
      <c r="P467" s="447"/>
      <c r="Q467" s="497">
        <v>5</v>
      </c>
      <c r="R467" s="497">
        <v>0</v>
      </c>
      <c r="S467" s="497">
        <v>0.04</v>
      </c>
      <c r="T467" s="497">
        <v>2</v>
      </c>
    </row>
    <row r="468" spans="16:20" ht="15">
      <c r="P468" s="447"/>
      <c r="Q468" s="497">
        <v>5</v>
      </c>
      <c r="R468" s="497">
        <v>0</v>
      </c>
      <c r="S468" s="497">
        <v>0.05</v>
      </c>
      <c r="T468" s="497">
        <v>2</v>
      </c>
    </row>
    <row r="469" spans="16:20" ht="15">
      <c r="P469" s="447"/>
      <c r="Q469" s="497">
        <v>5</v>
      </c>
      <c r="R469" s="497">
        <v>0</v>
      </c>
      <c r="S469" s="497">
        <v>0.06</v>
      </c>
      <c r="T469" s="497">
        <v>2</v>
      </c>
    </row>
    <row r="470" spans="16:20" ht="15">
      <c r="P470" s="447"/>
      <c r="Q470" s="497">
        <v>5</v>
      </c>
      <c r="R470" s="497">
        <v>0</v>
      </c>
      <c r="S470" s="497">
        <v>0.08</v>
      </c>
      <c r="T470" s="497">
        <v>1.5</v>
      </c>
    </row>
    <row r="471" spans="16:20" ht="15">
      <c r="P471" s="447"/>
      <c r="Q471" s="497">
        <v>5</v>
      </c>
      <c r="R471" s="497">
        <v>0</v>
      </c>
      <c r="S471" s="497">
        <v>0.1</v>
      </c>
      <c r="T471" s="497">
        <v>1.5</v>
      </c>
    </row>
    <row r="472" spans="16:20" ht="15">
      <c r="P472" s="447"/>
      <c r="Q472" s="497">
        <v>5</v>
      </c>
      <c r="R472" s="497">
        <v>0</v>
      </c>
      <c r="S472" s="497">
        <v>0.15</v>
      </c>
      <c r="T472" s="497">
        <v>1.5</v>
      </c>
    </row>
    <row r="473" spans="16:20" ht="15">
      <c r="P473" s="447"/>
      <c r="Q473" s="497">
        <v>5</v>
      </c>
      <c r="R473" s="497">
        <v>0</v>
      </c>
      <c r="S473" s="497">
        <v>0.2</v>
      </c>
      <c r="T473" s="497">
        <v>1.5</v>
      </c>
    </row>
    <row r="474" spans="16:20" ht="15">
      <c r="P474" s="447"/>
      <c r="Q474" s="497">
        <v>5</v>
      </c>
      <c r="R474" s="497">
        <v>0</v>
      </c>
      <c r="S474" s="497">
        <v>0.25</v>
      </c>
      <c r="T474" s="497">
        <v>1.5</v>
      </c>
    </row>
    <row r="475" spans="16:20" ht="15">
      <c r="P475" s="447"/>
      <c r="Q475" s="497">
        <v>5</v>
      </c>
      <c r="R475" s="497">
        <v>0</v>
      </c>
      <c r="S475" s="497">
        <v>1</v>
      </c>
      <c r="T475" s="497">
        <v>1.5</v>
      </c>
    </row>
    <row r="476" spans="16:20" ht="15">
      <c r="P476" s="447"/>
      <c r="Q476" s="497">
        <v>5</v>
      </c>
      <c r="R476" s="497">
        <v>0.4</v>
      </c>
      <c r="S476" s="497">
        <v>0</v>
      </c>
      <c r="T476" s="497">
        <v>2.5</v>
      </c>
    </row>
    <row r="477" spans="16:20" ht="15">
      <c r="P477" s="447"/>
      <c r="Q477" s="497">
        <v>5</v>
      </c>
      <c r="R477" s="497">
        <v>0.4</v>
      </c>
      <c r="S477" s="497">
        <v>0.02</v>
      </c>
      <c r="T477" s="497">
        <v>2.5</v>
      </c>
    </row>
    <row r="478" spans="16:20" ht="15">
      <c r="P478" s="447"/>
      <c r="Q478" s="497">
        <v>5</v>
      </c>
      <c r="R478" s="497">
        <v>0.4</v>
      </c>
      <c r="S478" s="497">
        <v>0.04</v>
      </c>
      <c r="T478" s="497">
        <v>2</v>
      </c>
    </row>
    <row r="479" spans="16:20" ht="15">
      <c r="P479" s="447"/>
      <c r="Q479" s="497">
        <v>5</v>
      </c>
      <c r="R479" s="497">
        <v>0.4</v>
      </c>
      <c r="S479" s="497">
        <v>0.05</v>
      </c>
      <c r="T479" s="497">
        <v>2</v>
      </c>
    </row>
    <row r="480" spans="16:20" ht="15">
      <c r="P480" s="447"/>
      <c r="Q480" s="497">
        <v>5</v>
      </c>
      <c r="R480" s="497">
        <v>0.4</v>
      </c>
      <c r="S480" s="497">
        <v>0.06</v>
      </c>
      <c r="T480" s="497">
        <v>2</v>
      </c>
    </row>
    <row r="481" spans="16:20" ht="15">
      <c r="P481" s="447"/>
      <c r="Q481" s="497">
        <v>5</v>
      </c>
      <c r="R481" s="497">
        <v>0.4</v>
      </c>
      <c r="S481" s="497">
        <v>0.08</v>
      </c>
      <c r="T481" s="497">
        <v>1.5</v>
      </c>
    </row>
    <row r="482" spans="16:20" ht="15">
      <c r="P482" s="447"/>
      <c r="Q482" s="497">
        <v>5</v>
      </c>
      <c r="R482" s="497">
        <v>0.4</v>
      </c>
      <c r="S482" s="497">
        <v>0.1</v>
      </c>
      <c r="T482" s="497">
        <v>1.5</v>
      </c>
    </row>
    <row r="483" spans="16:20" ht="15">
      <c r="P483" s="447"/>
      <c r="Q483" s="497">
        <v>5</v>
      </c>
      <c r="R483" s="497">
        <v>0.4</v>
      </c>
      <c r="S483" s="497">
        <v>0.15</v>
      </c>
      <c r="T483" s="497">
        <v>1.5</v>
      </c>
    </row>
    <row r="484" spans="16:20" ht="15">
      <c r="P484" s="447"/>
      <c r="Q484" s="497">
        <v>5</v>
      </c>
      <c r="R484" s="497">
        <v>0.4</v>
      </c>
      <c r="S484" s="497">
        <v>0.2</v>
      </c>
      <c r="T484" s="497">
        <v>1.5</v>
      </c>
    </row>
    <row r="485" spans="16:20" ht="15">
      <c r="P485" s="447"/>
      <c r="Q485" s="497">
        <v>5</v>
      </c>
      <c r="R485" s="497">
        <v>0.4</v>
      </c>
      <c r="S485" s="497">
        <v>0.25</v>
      </c>
      <c r="T485" s="497">
        <v>1.5</v>
      </c>
    </row>
    <row r="486" spans="16:20" ht="15">
      <c r="P486" s="447"/>
      <c r="Q486" s="497">
        <v>5</v>
      </c>
      <c r="R486" s="497">
        <v>0.4</v>
      </c>
      <c r="S486" s="497">
        <v>1</v>
      </c>
      <c r="T486" s="497">
        <v>1.5</v>
      </c>
    </row>
    <row r="487" spans="16:20" ht="15">
      <c r="P487" s="447"/>
      <c r="Q487" s="497">
        <v>5</v>
      </c>
      <c r="R487" s="497">
        <v>0.40100000000000002</v>
      </c>
      <c r="S487" s="497">
        <v>0</v>
      </c>
      <c r="T487" s="497">
        <v>4</v>
      </c>
    </row>
    <row r="488" spans="16:20" ht="15">
      <c r="P488" s="447"/>
      <c r="Q488" s="497">
        <v>5</v>
      </c>
      <c r="R488" s="497">
        <v>0.40100000000000002</v>
      </c>
      <c r="S488" s="497">
        <v>0.02</v>
      </c>
      <c r="T488" s="497">
        <v>4</v>
      </c>
    </row>
    <row r="489" spans="16:20" ht="15">
      <c r="P489" s="447"/>
      <c r="Q489" s="497">
        <v>5</v>
      </c>
      <c r="R489" s="497">
        <v>0.40100000000000002</v>
      </c>
      <c r="S489" s="497">
        <v>0.04</v>
      </c>
      <c r="T489" s="497">
        <v>3</v>
      </c>
    </row>
    <row r="490" spans="16:20" ht="15">
      <c r="P490" s="447"/>
      <c r="Q490" s="497">
        <v>5</v>
      </c>
      <c r="R490" s="497">
        <v>0.40100000000000002</v>
      </c>
      <c r="S490" s="497">
        <v>0.05</v>
      </c>
      <c r="T490" s="497">
        <v>3</v>
      </c>
    </row>
    <row r="491" spans="16:20" ht="15">
      <c r="P491" s="447"/>
      <c r="Q491" s="497">
        <v>5</v>
      </c>
      <c r="R491" s="497">
        <v>0.40100000000000002</v>
      </c>
      <c r="S491" s="497">
        <v>0.06</v>
      </c>
      <c r="T491" s="497">
        <v>3</v>
      </c>
    </row>
    <row r="492" spans="16:20" ht="15">
      <c r="P492" s="447"/>
      <c r="Q492" s="497">
        <v>5</v>
      </c>
      <c r="R492" s="497">
        <v>0.40100000000000002</v>
      </c>
      <c r="S492" s="497">
        <v>0.08</v>
      </c>
      <c r="T492" s="497">
        <v>2.5</v>
      </c>
    </row>
    <row r="493" spans="16:20" ht="15">
      <c r="P493" s="447"/>
      <c r="Q493" s="497">
        <v>5</v>
      </c>
      <c r="R493" s="497">
        <v>0.40100000000000002</v>
      </c>
      <c r="S493" s="497">
        <v>0.1</v>
      </c>
      <c r="T493" s="497">
        <v>2.5</v>
      </c>
    </row>
    <row r="494" spans="16:20" ht="15">
      <c r="P494" s="447"/>
      <c r="Q494" s="497">
        <v>5</v>
      </c>
      <c r="R494" s="497">
        <v>0.40100000000000002</v>
      </c>
      <c r="S494" s="497">
        <v>0.15</v>
      </c>
      <c r="T494" s="497">
        <v>2</v>
      </c>
    </row>
    <row r="495" spans="16:20" ht="15">
      <c r="P495" s="447"/>
      <c r="Q495" s="497">
        <v>5</v>
      </c>
      <c r="R495" s="497">
        <v>0.40100000000000002</v>
      </c>
      <c r="S495" s="497">
        <v>0.2</v>
      </c>
      <c r="T495" s="497">
        <v>2</v>
      </c>
    </row>
    <row r="496" spans="16:20" ht="15">
      <c r="P496" s="447"/>
      <c r="Q496" s="497">
        <v>5</v>
      </c>
      <c r="R496" s="497">
        <v>0.40100000000000002</v>
      </c>
      <c r="S496" s="497">
        <v>0.25</v>
      </c>
      <c r="T496" s="497">
        <v>2</v>
      </c>
    </row>
    <row r="497" spans="16:20" ht="15">
      <c r="P497" s="447"/>
      <c r="Q497" s="497">
        <v>5</v>
      </c>
      <c r="R497" s="497">
        <v>0.40100000000000002</v>
      </c>
      <c r="S497" s="497">
        <v>1</v>
      </c>
      <c r="T497" s="497">
        <v>2</v>
      </c>
    </row>
    <row r="498" spans="16:20" ht="15">
      <c r="P498" s="447"/>
      <c r="Q498" s="497">
        <v>5</v>
      </c>
      <c r="R498" s="497">
        <v>0.8</v>
      </c>
      <c r="S498" s="497">
        <v>0</v>
      </c>
      <c r="T498" s="497">
        <v>4</v>
      </c>
    </row>
    <row r="499" spans="16:20" ht="15">
      <c r="P499" s="447"/>
      <c r="Q499" s="497">
        <v>5</v>
      </c>
      <c r="R499" s="497">
        <v>0.8</v>
      </c>
      <c r="S499" s="497">
        <v>0.02</v>
      </c>
      <c r="T499" s="497">
        <v>4</v>
      </c>
    </row>
    <row r="500" spans="16:20" ht="15">
      <c r="P500" s="447"/>
      <c r="Q500" s="497">
        <v>5</v>
      </c>
      <c r="R500" s="497">
        <v>0.8</v>
      </c>
      <c r="S500" s="497">
        <v>0.04</v>
      </c>
      <c r="T500" s="497">
        <v>3</v>
      </c>
    </row>
    <row r="501" spans="16:20" ht="15">
      <c r="P501" s="447"/>
      <c r="Q501" s="497">
        <v>5</v>
      </c>
      <c r="R501" s="497">
        <v>0.8</v>
      </c>
      <c r="S501" s="497">
        <v>0.05</v>
      </c>
      <c r="T501" s="497">
        <v>3</v>
      </c>
    </row>
    <row r="502" spans="16:20" ht="15">
      <c r="P502" s="447"/>
      <c r="Q502" s="497">
        <v>5</v>
      </c>
      <c r="R502" s="497">
        <v>0.8</v>
      </c>
      <c r="S502" s="497">
        <v>0.06</v>
      </c>
      <c r="T502" s="497">
        <v>3</v>
      </c>
    </row>
    <row r="503" spans="16:20" ht="15">
      <c r="P503" s="447"/>
      <c r="Q503" s="497">
        <v>5</v>
      </c>
      <c r="R503" s="497">
        <v>0.8</v>
      </c>
      <c r="S503" s="497">
        <v>0.08</v>
      </c>
      <c r="T503" s="497">
        <v>2.5</v>
      </c>
    </row>
    <row r="504" spans="16:20" ht="15">
      <c r="P504" s="447"/>
      <c r="Q504" s="497">
        <v>5</v>
      </c>
      <c r="R504" s="497">
        <v>0.8</v>
      </c>
      <c r="S504" s="497">
        <v>0.1</v>
      </c>
      <c r="T504" s="497">
        <v>2.5</v>
      </c>
    </row>
    <row r="505" spans="16:20" ht="15">
      <c r="P505" s="447"/>
      <c r="Q505" s="497">
        <v>5</v>
      </c>
      <c r="R505" s="497">
        <v>0.8</v>
      </c>
      <c r="S505" s="497">
        <v>0.15</v>
      </c>
      <c r="T505" s="497">
        <v>2</v>
      </c>
    </row>
    <row r="506" spans="16:20" ht="15">
      <c r="P506" s="447"/>
      <c r="Q506" s="497">
        <v>5</v>
      </c>
      <c r="R506" s="497">
        <v>0.8</v>
      </c>
      <c r="S506" s="497">
        <v>0.2</v>
      </c>
      <c r="T506" s="497">
        <v>2</v>
      </c>
    </row>
    <row r="507" spans="16:20" ht="15">
      <c r="P507" s="447"/>
      <c r="Q507" s="497">
        <v>5</v>
      </c>
      <c r="R507" s="497">
        <v>0.8</v>
      </c>
      <c r="S507" s="497">
        <v>0.25</v>
      </c>
      <c r="T507" s="497">
        <v>2</v>
      </c>
    </row>
    <row r="508" spans="16:20" ht="15">
      <c r="P508" s="447"/>
      <c r="Q508" s="497">
        <v>5</v>
      </c>
      <c r="R508" s="497">
        <v>0.8</v>
      </c>
      <c r="S508" s="497">
        <v>1</v>
      </c>
      <c r="T508" s="497">
        <v>2</v>
      </c>
    </row>
    <row r="509" spans="16:20" ht="15">
      <c r="P509" s="447"/>
      <c r="Q509" s="497">
        <v>5</v>
      </c>
      <c r="R509" s="497">
        <v>0.80100000000000005</v>
      </c>
      <c r="S509" s="497">
        <v>0</v>
      </c>
      <c r="T509" s="497">
        <v>4.5</v>
      </c>
    </row>
    <row r="510" spans="16:20" ht="15">
      <c r="P510" s="447"/>
      <c r="Q510" s="497">
        <v>5</v>
      </c>
      <c r="R510" s="497">
        <v>0.80100000000000005</v>
      </c>
      <c r="S510" s="497">
        <v>0.02</v>
      </c>
      <c r="T510" s="497">
        <v>4.5</v>
      </c>
    </row>
    <row r="511" spans="16:20" ht="15">
      <c r="P511" s="447"/>
      <c r="Q511" s="497">
        <v>5</v>
      </c>
      <c r="R511" s="497">
        <v>0.80100000000000005</v>
      </c>
      <c r="S511" s="497">
        <v>0.04</v>
      </c>
      <c r="T511" s="497">
        <v>3.5</v>
      </c>
    </row>
    <row r="512" spans="16:20" ht="15">
      <c r="P512" s="447"/>
      <c r="Q512" s="497">
        <v>5</v>
      </c>
      <c r="R512" s="497">
        <v>0.80100000000000005</v>
      </c>
      <c r="S512" s="497">
        <v>0.05</v>
      </c>
      <c r="T512" s="497">
        <v>3</v>
      </c>
    </row>
    <row r="513" spans="16:20" ht="15">
      <c r="P513" s="447"/>
      <c r="Q513" s="497">
        <v>5</v>
      </c>
      <c r="R513" s="497">
        <v>0.80100000000000005</v>
      </c>
      <c r="S513" s="497">
        <v>0.06</v>
      </c>
      <c r="T513" s="497">
        <v>3</v>
      </c>
    </row>
    <row r="514" spans="16:20" ht="15">
      <c r="P514" s="447"/>
      <c r="Q514" s="497">
        <v>5</v>
      </c>
      <c r="R514" s="497">
        <v>0.80100000000000005</v>
      </c>
      <c r="S514" s="497">
        <v>0.08</v>
      </c>
      <c r="T514" s="497">
        <v>3</v>
      </c>
    </row>
    <row r="515" spans="16:20" ht="15">
      <c r="P515" s="447"/>
      <c r="Q515" s="497">
        <v>5</v>
      </c>
      <c r="R515" s="497">
        <v>0.80100000000000005</v>
      </c>
      <c r="S515" s="497">
        <v>0.1</v>
      </c>
      <c r="T515" s="497">
        <v>2.5</v>
      </c>
    </row>
    <row r="516" spans="16:20" ht="15">
      <c r="P516" s="447"/>
      <c r="Q516" s="497">
        <v>5</v>
      </c>
      <c r="R516" s="497">
        <v>0.80100000000000005</v>
      </c>
      <c r="S516" s="497">
        <v>0.15</v>
      </c>
      <c r="T516" s="497">
        <v>2.5</v>
      </c>
    </row>
    <row r="517" spans="16:20" ht="15">
      <c r="P517" s="447"/>
      <c r="Q517" s="497">
        <v>5</v>
      </c>
      <c r="R517" s="497">
        <v>0.80100000000000005</v>
      </c>
      <c r="S517" s="497">
        <v>0.2</v>
      </c>
      <c r="T517" s="497">
        <v>2</v>
      </c>
    </row>
    <row r="518" spans="16:20" ht="15">
      <c r="P518" s="447"/>
      <c r="Q518" s="497">
        <v>5</v>
      </c>
      <c r="R518" s="497">
        <v>0.80100000000000005</v>
      </c>
      <c r="S518" s="497">
        <v>0.25</v>
      </c>
      <c r="T518" s="497">
        <v>2</v>
      </c>
    </row>
    <row r="519" spans="16:20" ht="15">
      <c r="P519" s="447"/>
      <c r="Q519" s="497">
        <v>5</v>
      </c>
      <c r="R519" s="497">
        <v>0.80100000000000005</v>
      </c>
      <c r="S519" s="497">
        <v>1</v>
      </c>
      <c r="T519" s="497">
        <v>2</v>
      </c>
    </row>
    <row r="520" spans="16:20" ht="15">
      <c r="P520" s="447"/>
      <c r="Q520" s="497">
        <v>5</v>
      </c>
      <c r="R520" s="497">
        <v>100</v>
      </c>
      <c r="S520" s="497">
        <v>0</v>
      </c>
      <c r="T520" s="497">
        <v>4.5</v>
      </c>
    </row>
    <row r="521" spans="16:20" ht="15">
      <c r="P521" s="447"/>
      <c r="Q521" s="497">
        <v>5</v>
      </c>
      <c r="R521" s="497">
        <v>100</v>
      </c>
      <c r="S521" s="497">
        <v>0.02</v>
      </c>
      <c r="T521" s="497">
        <v>4.5</v>
      </c>
    </row>
    <row r="522" spans="16:20" ht="15">
      <c r="P522" s="447"/>
      <c r="Q522" s="497">
        <v>5</v>
      </c>
      <c r="R522" s="497">
        <v>100</v>
      </c>
      <c r="S522" s="497">
        <v>0.04</v>
      </c>
      <c r="T522" s="497">
        <v>3.5</v>
      </c>
    </row>
    <row r="523" spans="16:20" ht="15">
      <c r="P523" s="447"/>
      <c r="Q523" s="497">
        <v>5</v>
      </c>
      <c r="R523" s="497">
        <v>100</v>
      </c>
      <c r="S523" s="497">
        <v>0.05</v>
      </c>
      <c r="T523" s="497">
        <v>3</v>
      </c>
    </row>
    <row r="524" spans="16:20" ht="15">
      <c r="P524" s="447"/>
      <c r="Q524" s="497">
        <v>5</v>
      </c>
      <c r="R524" s="497">
        <v>100</v>
      </c>
      <c r="S524" s="497">
        <v>0.06</v>
      </c>
      <c r="T524" s="497">
        <v>3</v>
      </c>
    </row>
    <row r="525" spans="16:20" ht="15">
      <c r="P525" s="447"/>
      <c r="Q525" s="497">
        <v>5</v>
      </c>
      <c r="R525" s="497">
        <v>100</v>
      </c>
      <c r="S525" s="497">
        <v>0.08</v>
      </c>
      <c r="T525" s="497">
        <v>3</v>
      </c>
    </row>
    <row r="526" spans="16:20" ht="15">
      <c r="P526" s="447"/>
      <c r="Q526" s="497">
        <v>5</v>
      </c>
      <c r="R526" s="497">
        <v>100</v>
      </c>
      <c r="S526" s="497">
        <v>0.1</v>
      </c>
      <c r="T526" s="497">
        <v>2.5</v>
      </c>
    </row>
    <row r="527" spans="16:20" ht="15">
      <c r="P527" s="447"/>
      <c r="Q527" s="497">
        <v>5</v>
      </c>
      <c r="R527" s="497">
        <v>100</v>
      </c>
      <c r="S527" s="497">
        <v>0.15</v>
      </c>
      <c r="T527" s="497">
        <v>2.5</v>
      </c>
    </row>
    <row r="528" spans="16:20" ht="15">
      <c r="P528" s="447"/>
      <c r="Q528" s="497">
        <v>5</v>
      </c>
      <c r="R528" s="497">
        <v>100</v>
      </c>
      <c r="S528" s="497">
        <v>0.2</v>
      </c>
      <c r="T528" s="497">
        <v>2</v>
      </c>
    </row>
    <row r="529" spans="16:20" ht="15">
      <c r="P529" s="447"/>
      <c r="Q529" s="497">
        <v>5</v>
      </c>
      <c r="R529" s="497">
        <v>100</v>
      </c>
      <c r="S529" s="497">
        <v>0.25</v>
      </c>
      <c r="T529" s="497">
        <v>2</v>
      </c>
    </row>
    <row r="530" spans="16:20" ht="15">
      <c r="P530" s="447"/>
      <c r="Q530" s="497">
        <v>5</v>
      </c>
      <c r="R530" s="497">
        <v>100</v>
      </c>
      <c r="S530" s="497">
        <v>1</v>
      </c>
      <c r="T530" s="497">
        <v>2</v>
      </c>
    </row>
    <row r="531" spans="16:20" ht="15">
      <c r="P531" s="447"/>
      <c r="Q531" s="497">
        <v>5.01</v>
      </c>
      <c r="R531" s="497">
        <v>0</v>
      </c>
      <c r="S531" s="497">
        <v>0</v>
      </c>
      <c r="T531" s="497">
        <v>4</v>
      </c>
    </row>
    <row r="532" spans="16:20" ht="15">
      <c r="P532" s="447"/>
      <c r="Q532" s="497">
        <v>5.01</v>
      </c>
      <c r="R532" s="497">
        <v>0</v>
      </c>
      <c r="S532" s="497">
        <v>0.02</v>
      </c>
      <c r="T532" s="497">
        <v>4</v>
      </c>
    </row>
    <row r="533" spans="16:20" ht="15">
      <c r="P533" s="447"/>
      <c r="Q533" s="497">
        <v>5.01</v>
      </c>
      <c r="R533" s="497">
        <v>0</v>
      </c>
      <c r="S533" s="497">
        <v>0.04</v>
      </c>
      <c r="T533" s="497">
        <v>3</v>
      </c>
    </row>
    <row r="534" spans="16:20" ht="15">
      <c r="P534" s="447"/>
      <c r="Q534" s="497">
        <v>5.01</v>
      </c>
      <c r="R534" s="497">
        <v>0</v>
      </c>
      <c r="S534" s="497">
        <v>0.05</v>
      </c>
      <c r="T534" s="497">
        <v>2.5</v>
      </c>
    </row>
    <row r="535" spans="16:20" ht="15">
      <c r="P535" s="447"/>
      <c r="Q535" s="497">
        <v>5.01</v>
      </c>
      <c r="R535" s="497">
        <v>0</v>
      </c>
      <c r="S535" s="497">
        <v>0.06</v>
      </c>
      <c r="T535" s="497">
        <v>2.5</v>
      </c>
    </row>
    <row r="536" spans="16:20" ht="15">
      <c r="P536" s="447"/>
      <c r="Q536" s="497">
        <v>5.01</v>
      </c>
      <c r="R536" s="497">
        <v>0</v>
      </c>
      <c r="S536" s="497">
        <v>0.08</v>
      </c>
      <c r="T536" s="497">
        <v>2.5</v>
      </c>
    </row>
    <row r="537" spans="16:20" ht="15">
      <c r="P537" s="447"/>
      <c r="Q537" s="497">
        <v>5.01</v>
      </c>
      <c r="R537" s="497">
        <v>0</v>
      </c>
      <c r="S537" s="497">
        <v>0.1</v>
      </c>
      <c r="T537" s="497">
        <v>2</v>
      </c>
    </row>
    <row r="538" spans="16:20" ht="15">
      <c r="P538" s="447"/>
      <c r="Q538" s="497">
        <v>5.01</v>
      </c>
      <c r="R538" s="497">
        <v>0</v>
      </c>
      <c r="S538" s="497">
        <v>0.15</v>
      </c>
      <c r="T538" s="497">
        <v>2</v>
      </c>
    </row>
    <row r="539" spans="16:20" ht="15">
      <c r="P539" s="447"/>
      <c r="Q539" s="497">
        <v>5.01</v>
      </c>
      <c r="R539" s="497">
        <v>0</v>
      </c>
      <c r="S539" s="497">
        <v>0.2</v>
      </c>
      <c r="T539" s="497">
        <v>2</v>
      </c>
    </row>
    <row r="540" spans="16:20" ht="15">
      <c r="P540" s="447"/>
      <c r="Q540" s="497">
        <v>5.01</v>
      </c>
      <c r="R540" s="497">
        <v>0</v>
      </c>
      <c r="S540" s="497">
        <v>0.25</v>
      </c>
      <c r="T540" s="497">
        <v>1.5</v>
      </c>
    </row>
    <row r="541" spans="16:20" ht="15">
      <c r="P541" s="447"/>
      <c r="Q541" s="497">
        <v>5.01</v>
      </c>
      <c r="R541" s="497">
        <v>0</v>
      </c>
      <c r="S541" s="497">
        <v>1</v>
      </c>
      <c r="T541" s="497">
        <v>1.5</v>
      </c>
    </row>
    <row r="542" spans="16:20" ht="15">
      <c r="P542" s="447"/>
      <c r="Q542" s="497">
        <v>5.01</v>
      </c>
      <c r="R542" s="497">
        <v>0.4</v>
      </c>
      <c r="S542" s="497">
        <v>0</v>
      </c>
      <c r="T542" s="497">
        <v>4</v>
      </c>
    </row>
    <row r="543" spans="16:20" ht="15">
      <c r="P543" s="447"/>
      <c r="Q543" s="497">
        <v>5.01</v>
      </c>
      <c r="R543" s="497">
        <v>0.4</v>
      </c>
      <c r="S543" s="497">
        <v>0.02</v>
      </c>
      <c r="T543" s="497">
        <v>4</v>
      </c>
    </row>
    <row r="544" spans="16:20" ht="15">
      <c r="P544" s="447"/>
      <c r="Q544" s="497">
        <v>5.01</v>
      </c>
      <c r="R544" s="497">
        <v>0.4</v>
      </c>
      <c r="S544" s="497">
        <v>0.04</v>
      </c>
      <c r="T544" s="497">
        <v>3</v>
      </c>
    </row>
    <row r="545" spans="16:20" ht="15">
      <c r="P545" s="447"/>
      <c r="Q545" s="497">
        <v>5.01</v>
      </c>
      <c r="R545" s="497">
        <v>0.4</v>
      </c>
      <c r="S545" s="497">
        <v>0.05</v>
      </c>
      <c r="T545" s="497">
        <v>2.5</v>
      </c>
    </row>
    <row r="546" spans="16:20" ht="15">
      <c r="P546" s="447"/>
      <c r="Q546" s="497">
        <v>5.01</v>
      </c>
      <c r="R546" s="497">
        <v>0.4</v>
      </c>
      <c r="S546" s="497">
        <v>0.06</v>
      </c>
      <c r="T546" s="497">
        <v>2.5</v>
      </c>
    </row>
    <row r="547" spans="16:20" ht="15">
      <c r="P547" s="447"/>
      <c r="Q547" s="497">
        <v>5.01</v>
      </c>
      <c r="R547" s="497">
        <v>0.4</v>
      </c>
      <c r="S547" s="497">
        <v>0.08</v>
      </c>
      <c r="T547" s="497">
        <v>2.5</v>
      </c>
    </row>
    <row r="548" spans="16:20" ht="15">
      <c r="P548" s="447"/>
      <c r="Q548" s="497">
        <v>5.01</v>
      </c>
      <c r="R548" s="497">
        <v>0.4</v>
      </c>
      <c r="S548" s="497">
        <v>0.1</v>
      </c>
      <c r="T548" s="497">
        <v>2</v>
      </c>
    </row>
    <row r="549" spans="16:20" ht="15">
      <c r="P549" s="447"/>
      <c r="Q549" s="497">
        <v>5.01</v>
      </c>
      <c r="R549" s="497">
        <v>0.4</v>
      </c>
      <c r="S549" s="497">
        <v>0.15</v>
      </c>
      <c r="T549" s="497">
        <v>2</v>
      </c>
    </row>
    <row r="550" spans="16:20" ht="15">
      <c r="P550" s="447"/>
      <c r="Q550" s="497">
        <v>5.01</v>
      </c>
      <c r="R550" s="497">
        <v>0.4</v>
      </c>
      <c r="S550" s="497">
        <v>0.2</v>
      </c>
      <c r="T550" s="497">
        <v>2</v>
      </c>
    </row>
    <row r="551" spans="16:20" ht="15">
      <c r="P551" s="447"/>
      <c r="Q551" s="497">
        <v>5.01</v>
      </c>
      <c r="R551" s="497">
        <v>0.4</v>
      </c>
      <c r="S551" s="497">
        <v>0.25</v>
      </c>
      <c r="T551" s="497">
        <v>1.5</v>
      </c>
    </row>
    <row r="552" spans="16:20" ht="15">
      <c r="P552" s="447"/>
      <c r="Q552" s="497">
        <v>5.01</v>
      </c>
      <c r="R552" s="497">
        <v>0.4</v>
      </c>
      <c r="S552" s="497">
        <v>1</v>
      </c>
      <c r="T552" s="497">
        <v>1.5</v>
      </c>
    </row>
    <row r="553" spans="16:20" ht="15">
      <c r="P553" s="447"/>
      <c r="Q553" s="497">
        <v>5.01</v>
      </c>
      <c r="R553" s="497">
        <v>0.40100000000000002</v>
      </c>
      <c r="S553" s="497">
        <v>0</v>
      </c>
      <c r="T553" s="497">
        <v>6</v>
      </c>
    </row>
    <row r="554" spans="16:20" ht="15">
      <c r="P554" s="447"/>
      <c r="Q554" s="497">
        <v>5.01</v>
      </c>
      <c r="R554" s="497">
        <v>0.40100000000000002</v>
      </c>
      <c r="S554" s="497">
        <v>0.02</v>
      </c>
      <c r="T554" s="497">
        <v>6</v>
      </c>
    </row>
    <row r="555" spans="16:20" ht="15">
      <c r="P555" s="447"/>
      <c r="Q555" s="497">
        <v>5.01</v>
      </c>
      <c r="R555" s="497">
        <v>0.40100000000000002</v>
      </c>
      <c r="S555" s="497">
        <v>0.04</v>
      </c>
      <c r="T555" s="497">
        <v>4</v>
      </c>
    </row>
    <row r="556" spans="16:20" ht="15">
      <c r="P556" s="447"/>
      <c r="Q556" s="497">
        <v>5.01</v>
      </c>
      <c r="R556" s="497">
        <v>0.40100000000000002</v>
      </c>
      <c r="S556" s="497">
        <v>0.05</v>
      </c>
      <c r="T556" s="497">
        <v>4</v>
      </c>
    </row>
    <row r="557" spans="16:20" ht="15">
      <c r="P557" s="447"/>
      <c r="Q557" s="497">
        <v>5.01</v>
      </c>
      <c r="R557" s="497">
        <v>0.40100000000000002</v>
      </c>
      <c r="S557" s="497">
        <v>0.06</v>
      </c>
      <c r="T557" s="497">
        <v>3.5</v>
      </c>
    </row>
    <row r="558" spans="16:20" ht="15">
      <c r="P558" s="447"/>
      <c r="Q558" s="497">
        <v>5.01</v>
      </c>
      <c r="R558" s="497">
        <v>0.40100000000000002</v>
      </c>
      <c r="S558" s="497">
        <v>0.08</v>
      </c>
      <c r="T558" s="497">
        <v>3</v>
      </c>
    </row>
    <row r="559" spans="16:20" ht="15">
      <c r="P559" s="447"/>
      <c r="Q559" s="497">
        <v>5.01</v>
      </c>
      <c r="R559" s="497">
        <v>0.40100000000000002</v>
      </c>
      <c r="S559" s="497">
        <v>0.1</v>
      </c>
      <c r="T559" s="497">
        <v>3</v>
      </c>
    </row>
    <row r="560" spans="16:20" ht="15">
      <c r="P560" s="447"/>
      <c r="Q560" s="497">
        <v>5.01</v>
      </c>
      <c r="R560" s="497">
        <v>0.40100000000000002</v>
      </c>
      <c r="S560" s="497">
        <v>0.15</v>
      </c>
      <c r="T560" s="497">
        <v>2.5</v>
      </c>
    </row>
    <row r="561" spans="16:20" ht="15">
      <c r="P561" s="447"/>
      <c r="Q561" s="497">
        <v>5.01</v>
      </c>
      <c r="R561" s="497">
        <v>0.40100000000000002</v>
      </c>
      <c r="S561" s="497">
        <v>0.2</v>
      </c>
      <c r="T561" s="497">
        <v>2.5</v>
      </c>
    </row>
    <row r="562" spans="16:20" ht="15">
      <c r="P562" s="447"/>
      <c r="Q562" s="497">
        <v>5.01</v>
      </c>
      <c r="R562" s="497">
        <v>0.40100000000000002</v>
      </c>
      <c r="S562" s="497">
        <v>0.25</v>
      </c>
      <c r="T562" s="497">
        <v>2</v>
      </c>
    </row>
    <row r="563" spans="16:20" ht="15">
      <c r="P563" s="447"/>
      <c r="Q563" s="497">
        <v>5.01</v>
      </c>
      <c r="R563" s="497">
        <v>0.40100000000000002</v>
      </c>
      <c r="S563" s="497">
        <v>1</v>
      </c>
      <c r="T563" s="497">
        <v>2</v>
      </c>
    </row>
    <row r="564" spans="16:20" ht="15">
      <c r="P564" s="447"/>
      <c r="Q564" s="497">
        <v>5.01</v>
      </c>
      <c r="R564" s="497">
        <v>0.8</v>
      </c>
      <c r="S564" s="497">
        <v>0</v>
      </c>
      <c r="T564" s="497">
        <v>6</v>
      </c>
    </row>
    <row r="565" spans="16:20" ht="15">
      <c r="P565" s="447"/>
      <c r="Q565" s="497">
        <v>5.01</v>
      </c>
      <c r="R565" s="497">
        <v>0.8</v>
      </c>
      <c r="S565" s="497">
        <v>0.02</v>
      </c>
      <c r="T565" s="497">
        <v>6</v>
      </c>
    </row>
    <row r="566" spans="16:20" ht="15">
      <c r="P566" s="447"/>
      <c r="Q566" s="497">
        <v>5.01</v>
      </c>
      <c r="R566" s="497">
        <v>0.8</v>
      </c>
      <c r="S566" s="497">
        <v>0.04</v>
      </c>
      <c r="T566" s="497">
        <v>4</v>
      </c>
    </row>
    <row r="567" spans="16:20" ht="15">
      <c r="P567" s="447"/>
      <c r="Q567" s="497">
        <v>5.01</v>
      </c>
      <c r="R567" s="497">
        <v>0.8</v>
      </c>
      <c r="S567" s="497">
        <v>0.05</v>
      </c>
      <c r="T567" s="497">
        <v>4</v>
      </c>
    </row>
    <row r="568" spans="16:20" ht="15">
      <c r="P568" s="447"/>
      <c r="Q568" s="497">
        <v>5.01</v>
      </c>
      <c r="R568" s="497">
        <v>0.8</v>
      </c>
      <c r="S568" s="497">
        <v>0.06</v>
      </c>
      <c r="T568" s="497">
        <v>3.5</v>
      </c>
    </row>
    <row r="569" spans="16:20" ht="15">
      <c r="P569" s="447"/>
      <c r="Q569" s="497">
        <v>5.01</v>
      </c>
      <c r="R569" s="497">
        <v>0.8</v>
      </c>
      <c r="S569" s="497">
        <v>0.08</v>
      </c>
      <c r="T569" s="497">
        <v>3</v>
      </c>
    </row>
    <row r="570" spans="16:20" ht="15">
      <c r="P570" s="447"/>
      <c r="Q570" s="497">
        <v>5.01</v>
      </c>
      <c r="R570" s="497">
        <v>0.8</v>
      </c>
      <c r="S570" s="497">
        <v>0.1</v>
      </c>
      <c r="T570" s="497">
        <v>3</v>
      </c>
    </row>
    <row r="571" spans="16:20" ht="15">
      <c r="P571" s="447"/>
      <c r="Q571" s="497">
        <v>5.01</v>
      </c>
      <c r="R571" s="497">
        <v>0.8</v>
      </c>
      <c r="S571" s="497">
        <v>0.15</v>
      </c>
      <c r="T571" s="497">
        <v>2.5</v>
      </c>
    </row>
    <row r="572" spans="16:20" ht="15">
      <c r="P572" s="447"/>
      <c r="Q572" s="497">
        <v>5.01</v>
      </c>
      <c r="R572" s="497">
        <v>0.8</v>
      </c>
      <c r="S572" s="497">
        <v>0.2</v>
      </c>
      <c r="T572" s="497">
        <v>2.5</v>
      </c>
    </row>
    <row r="573" spans="16:20" ht="15">
      <c r="P573" s="447"/>
      <c r="Q573" s="497">
        <v>5.01</v>
      </c>
      <c r="R573" s="497">
        <v>0.8</v>
      </c>
      <c r="S573" s="497">
        <v>0.25</v>
      </c>
      <c r="T573" s="497">
        <v>2</v>
      </c>
    </row>
    <row r="574" spans="16:20" ht="15">
      <c r="P574" s="447"/>
      <c r="Q574" s="497">
        <v>5.01</v>
      </c>
      <c r="R574" s="497">
        <v>0.8</v>
      </c>
      <c r="S574" s="497">
        <v>1</v>
      </c>
      <c r="T574" s="497">
        <v>2</v>
      </c>
    </row>
    <row r="575" spans="16:20" ht="15">
      <c r="P575" s="447"/>
      <c r="Q575" s="497">
        <v>5.01</v>
      </c>
      <c r="R575" s="497">
        <v>0.80100000000000005</v>
      </c>
      <c r="S575" s="497">
        <v>0</v>
      </c>
      <c r="T575" s="497">
        <v>6</v>
      </c>
    </row>
    <row r="576" spans="16:20" ht="15">
      <c r="P576" s="447"/>
      <c r="Q576" s="497">
        <v>5.01</v>
      </c>
      <c r="R576" s="497">
        <v>0.80100000000000005</v>
      </c>
      <c r="S576" s="497">
        <v>0.02</v>
      </c>
      <c r="T576" s="497">
        <v>6</v>
      </c>
    </row>
    <row r="577" spans="16:20" ht="15">
      <c r="P577" s="447"/>
      <c r="Q577" s="497">
        <v>5.01</v>
      </c>
      <c r="R577" s="497">
        <v>0.80100000000000005</v>
      </c>
      <c r="S577" s="497">
        <v>0.04</v>
      </c>
      <c r="T577" s="497">
        <v>4.5</v>
      </c>
    </row>
    <row r="578" spans="16:20" ht="15">
      <c r="P578" s="447"/>
      <c r="Q578" s="497">
        <v>5.01</v>
      </c>
      <c r="R578" s="497">
        <v>0.80100000000000005</v>
      </c>
      <c r="S578" s="497">
        <v>0.05</v>
      </c>
      <c r="T578" s="497">
        <v>4</v>
      </c>
    </row>
    <row r="579" spans="16:20" ht="15">
      <c r="P579" s="447"/>
      <c r="Q579" s="497">
        <v>5.01</v>
      </c>
      <c r="R579" s="497">
        <v>0.80100000000000005</v>
      </c>
      <c r="S579" s="497">
        <v>0.06</v>
      </c>
      <c r="T579" s="497">
        <v>4.5</v>
      </c>
    </row>
    <row r="580" spans="16:20" ht="15">
      <c r="P580" s="447"/>
      <c r="Q580" s="497">
        <v>5.01</v>
      </c>
      <c r="R580" s="497">
        <v>0.80100000000000005</v>
      </c>
      <c r="S580" s="497">
        <v>0.08</v>
      </c>
      <c r="T580" s="497">
        <v>3.5</v>
      </c>
    </row>
    <row r="581" spans="16:20" ht="15">
      <c r="P581" s="447"/>
      <c r="Q581" s="497">
        <v>5.01</v>
      </c>
      <c r="R581" s="497">
        <v>0.80100000000000005</v>
      </c>
      <c r="S581" s="497">
        <v>0.1</v>
      </c>
      <c r="T581" s="497">
        <v>3</v>
      </c>
    </row>
    <row r="582" spans="16:20" ht="15">
      <c r="P582" s="447"/>
      <c r="Q582" s="497">
        <v>5.01</v>
      </c>
      <c r="R582" s="497">
        <v>0.80100000000000005</v>
      </c>
      <c r="S582" s="497">
        <v>0.15</v>
      </c>
      <c r="T582" s="497">
        <v>3</v>
      </c>
    </row>
    <row r="583" spans="16:20" ht="15">
      <c r="P583" s="447"/>
      <c r="Q583" s="497">
        <v>5.01</v>
      </c>
      <c r="R583" s="497">
        <v>0.80100000000000005</v>
      </c>
      <c r="S583" s="497">
        <v>0.2</v>
      </c>
      <c r="T583" s="497">
        <v>2.5</v>
      </c>
    </row>
    <row r="584" spans="16:20" ht="15">
      <c r="P584" s="447"/>
      <c r="Q584" s="497">
        <v>5.01</v>
      </c>
      <c r="R584" s="497">
        <v>0.80100000000000005</v>
      </c>
      <c r="S584" s="497">
        <v>0.25</v>
      </c>
      <c r="T584" s="497">
        <v>2</v>
      </c>
    </row>
    <row r="585" spans="16:20" ht="15">
      <c r="P585" s="447"/>
      <c r="Q585" s="497">
        <v>5.01</v>
      </c>
      <c r="R585" s="497">
        <v>0.80100000000000005</v>
      </c>
      <c r="S585" s="497">
        <v>1</v>
      </c>
      <c r="T585" s="497">
        <v>2</v>
      </c>
    </row>
    <row r="586" spans="16:20" ht="15">
      <c r="P586" s="447"/>
      <c r="Q586" s="497">
        <v>5.01</v>
      </c>
      <c r="R586" s="497">
        <v>100</v>
      </c>
      <c r="S586" s="497">
        <v>0</v>
      </c>
      <c r="T586" s="497">
        <v>6</v>
      </c>
    </row>
    <row r="587" spans="16:20" ht="15">
      <c r="P587" s="447"/>
      <c r="Q587" s="497">
        <v>5.01</v>
      </c>
      <c r="R587" s="497">
        <v>100</v>
      </c>
      <c r="S587" s="497">
        <v>0.02</v>
      </c>
      <c r="T587" s="497">
        <v>6</v>
      </c>
    </row>
    <row r="588" spans="16:20" ht="15">
      <c r="P588" s="447"/>
      <c r="Q588" s="497">
        <v>5.01</v>
      </c>
      <c r="R588" s="497">
        <v>100</v>
      </c>
      <c r="S588" s="497">
        <v>0.04</v>
      </c>
      <c r="T588" s="497">
        <v>4.5</v>
      </c>
    </row>
    <row r="589" spans="16:20" ht="15">
      <c r="P589" s="447"/>
      <c r="Q589" s="497">
        <v>5.01</v>
      </c>
      <c r="R589" s="497">
        <v>100</v>
      </c>
      <c r="S589" s="497">
        <v>0.05</v>
      </c>
      <c r="T589" s="497">
        <v>4</v>
      </c>
    </row>
    <row r="590" spans="16:20" ht="15">
      <c r="P590" s="447"/>
      <c r="Q590" s="497">
        <v>5.01</v>
      </c>
      <c r="R590" s="497">
        <v>100</v>
      </c>
      <c r="S590" s="497">
        <v>0.06</v>
      </c>
      <c r="T590" s="497">
        <v>4.5</v>
      </c>
    </row>
    <row r="591" spans="16:20" ht="15">
      <c r="P591" s="447"/>
      <c r="Q591" s="497">
        <v>5.01</v>
      </c>
      <c r="R591" s="497">
        <v>100</v>
      </c>
      <c r="S591" s="497">
        <v>0.08</v>
      </c>
      <c r="T591" s="497">
        <v>3.5</v>
      </c>
    </row>
    <row r="592" spans="16:20" ht="15">
      <c r="P592" s="447"/>
      <c r="Q592" s="497">
        <v>5.01</v>
      </c>
      <c r="R592" s="497">
        <v>100</v>
      </c>
      <c r="S592" s="497">
        <v>0.1</v>
      </c>
      <c r="T592" s="497">
        <v>3</v>
      </c>
    </row>
    <row r="593" spans="16:20" ht="15">
      <c r="P593" s="447"/>
      <c r="Q593" s="497">
        <v>5.01</v>
      </c>
      <c r="R593" s="497">
        <v>100</v>
      </c>
      <c r="S593" s="497">
        <v>0.15</v>
      </c>
      <c r="T593" s="497">
        <v>3</v>
      </c>
    </row>
    <row r="594" spans="16:20" ht="15">
      <c r="P594" s="447"/>
      <c r="Q594" s="497">
        <v>5.01</v>
      </c>
      <c r="R594" s="497">
        <v>100</v>
      </c>
      <c r="S594" s="497">
        <v>0.2</v>
      </c>
      <c r="T594" s="497">
        <v>2.5</v>
      </c>
    </row>
    <row r="595" spans="16:20" ht="15">
      <c r="P595" s="447"/>
      <c r="Q595" s="497">
        <v>5.01</v>
      </c>
      <c r="R595" s="497">
        <v>100</v>
      </c>
      <c r="S595" s="497">
        <v>0.25</v>
      </c>
      <c r="T595" s="497">
        <v>2</v>
      </c>
    </row>
    <row r="596" spans="16:20" ht="15">
      <c r="P596" s="447"/>
      <c r="Q596" s="497">
        <v>5.01</v>
      </c>
      <c r="R596" s="497">
        <v>100</v>
      </c>
      <c r="S596" s="497">
        <v>1</v>
      </c>
      <c r="T596" s="497">
        <v>2</v>
      </c>
    </row>
    <row r="597" spans="16:20" ht="15">
      <c r="P597" s="447"/>
      <c r="Q597" s="497">
        <v>100</v>
      </c>
      <c r="R597" s="497">
        <v>0</v>
      </c>
      <c r="S597" s="497">
        <v>0</v>
      </c>
      <c r="T597" s="497">
        <v>4</v>
      </c>
    </row>
    <row r="598" spans="16:20" ht="15">
      <c r="P598" s="447"/>
      <c r="Q598" s="497">
        <v>100</v>
      </c>
      <c r="R598" s="497">
        <v>0</v>
      </c>
      <c r="S598" s="497">
        <v>0.02</v>
      </c>
      <c r="T598" s="497">
        <v>4</v>
      </c>
    </row>
    <row r="599" spans="16:20" ht="15">
      <c r="P599" s="447"/>
      <c r="Q599" s="497">
        <v>100</v>
      </c>
      <c r="R599" s="497">
        <v>0</v>
      </c>
      <c r="S599" s="497">
        <v>0.04</v>
      </c>
      <c r="T599" s="497">
        <v>3</v>
      </c>
    </row>
    <row r="600" spans="16:20" ht="15">
      <c r="P600" s="447"/>
      <c r="Q600" s="497">
        <v>100</v>
      </c>
      <c r="R600" s="497">
        <v>0</v>
      </c>
      <c r="S600" s="497">
        <v>0.05</v>
      </c>
      <c r="T600" s="497">
        <v>2.5</v>
      </c>
    </row>
    <row r="601" spans="16:20" ht="15">
      <c r="P601" s="447"/>
      <c r="Q601" s="497">
        <v>100</v>
      </c>
      <c r="R601" s="497">
        <v>0</v>
      </c>
      <c r="S601" s="497">
        <v>0.06</v>
      </c>
      <c r="T601" s="497">
        <v>2.5</v>
      </c>
    </row>
    <row r="602" spans="16:20" ht="15">
      <c r="P602" s="447"/>
      <c r="Q602" s="497">
        <v>100</v>
      </c>
      <c r="R602" s="497">
        <v>0</v>
      </c>
      <c r="S602" s="497">
        <v>0.08</v>
      </c>
      <c r="T602" s="497">
        <v>2.5</v>
      </c>
    </row>
    <row r="603" spans="16:20" ht="15">
      <c r="P603" s="447"/>
      <c r="Q603" s="497">
        <v>100</v>
      </c>
      <c r="R603" s="497">
        <v>0</v>
      </c>
      <c r="S603" s="497">
        <v>0.1</v>
      </c>
      <c r="T603" s="497">
        <v>2</v>
      </c>
    </row>
    <row r="604" spans="16:20" ht="15">
      <c r="P604" s="447"/>
      <c r="Q604" s="497">
        <v>100</v>
      </c>
      <c r="R604" s="497">
        <v>0</v>
      </c>
      <c r="S604" s="497">
        <v>0.15</v>
      </c>
      <c r="T604" s="497">
        <v>2</v>
      </c>
    </row>
    <row r="605" spans="16:20" ht="15">
      <c r="P605" s="447"/>
      <c r="Q605" s="497">
        <v>100</v>
      </c>
      <c r="R605" s="497">
        <v>0</v>
      </c>
      <c r="S605" s="497">
        <v>0.2</v>
      </c>
      <c r="T605" s="497">
        <v>2</v>
      </c>
    </row>
    <row r="606" spans="16:20" ht="15">
      <c r="P606" s="447"/>
      <c r="Q606" s="497">
        <v>100</v>
      </c>
      <c r="R606" s="497">
        <v>0</v>
      </c>
      <c r="S606" s="497">
        <v>0.25</v>
      </c>
      <c r="T606" s="497">
        <v>1.5</v>
      </c>
    </row>
    <row r="607" spans="16:20" ht="15">
      <c r="P607" s="447"/>
      <c r="Q607" s="497">
        <v>100</v>
      </c>
      <c r="R607" s="497">
        <v>0</v>
      </c>
      <c r="S607" s="497">
        <v>1</v>
      </c>
      <c r="T607" s="497">
        <v>1.5</v>
      </c>
    </row>
    <row r="608" spans="16:20" ht="15">
      <c r="P608" s="447"/>
      <c r="Q608" s="497">
        <v>100</v>
      </c>
      <c r="R608" s="497">
        <v>0.4</v>
      </c>
      <c r="S608" s="497">
        <v>0</v>
      </c>
      <c r="T608" s="497">
        <v>4</v>
      </c>
    </row>
    <row r="609" spans="16:20" ht="15">
      <c r="P609" s="447"/>
      <c r="Q609" s="497">
        <v>100</v>
      </c>
      <c r="R609" s="497">
        <v>0.4</v>
      </c>
      <c r="S609" s="497">
        <v>0.02</v>
      </c>
      <c r="T609" s="497">
        <v>4</v>
      </c>
    </row>
    <row r="610" spans="16:20" ht="15">
      <c r="P610" s="447"/>
      <c r="Q610" s="497">
        <v>100</v>
      </c>
      <c r="R610" s="497">
        <v>0.4</v>
      </c>
      <c r="S610" s="497">
        <v>0.04</v>
      </c>
      <c r="T610" s="497">
        <v>3</v>
      </c>
    </row>
    <row r="611" spans="16:20" ht="15">
      <c r="P611" s="447"/>
      <c r="Q611" s="497">
        <v>100</v>
      </c>
      <c r="R611" s="497">
        <v>0.4</v>
      </c>
      <c r="S611" s="497">
        <v>0.05</v>
      </c>
      <c r="T611" s="497">
        <v>2.5</v>
      </c>
    </row>
    <row r="612" spans="16:20" ht="15">
      <c r="P612" s="447"/>
      <c r="Q612" s="497">
        <v>100</v>
      </c>
      <c r="R612" s="497">
        <v>0.4</v>
      </c>
      <c r="S612" s="497">
        <v>0.06</v>
      </c>
      <c r="T612" s="497">
        <v>2.5</v>
      </c>
    </row>
    <row r="613" spans="16:20" ht="15">
      <c r="P613" s="447"/>
      <c r="Q613" s="497">
        <v>100</v>
      </c>
      <c r="R613" s="497">
        <v>0.4</v>
      </c>
      <c r="S613" s="497">
        <v>0.08</v>
      </c>
      <c r="T613" s="497">
        <v>2.5</v>
      </c>
    </row>
    <row r="614" spans="16:20" ht="15">
      <c r="P614" s="447"/>
      <c r="Q614" s="497">
        <v>100</v>
      </c>
      <c r="R614" s="497">
        <v>0.4</v>
      </c>
      <c r="S614" s="497">
        <v>0.1</v>
      </c>
      <c r="T614" s="497">
        <v>2</v>
      </c>
    </row>
    <row r="615" spans="16:20" ht="15">
      <c r="P615" s="447"/>
      <c r="Q615" s="497">
        <v>100</v>
      </c>
      <c r="R615" s="497">
        <v>0.4</v>
      </c>
      <c r="S615" s="497">
        <v>0.15</v>
      </c>
      <c r="T615" s="497">
        <v>2</v>
      </c>
    </row>
    <row r="616" spans="16:20" ht="15">
      <c r="P616" s="447"/>
      <c r="Q616" s="497">
        <v>100</v>
      </c>
      <c r="R616" s="497">
        <v>0.4</v>
      </c>
      <c r="S616" s="497">
        <v>0.2</v>
      </c>
      <c r="T616" s="497">
        <v>2</v>
      </c>
    </row>
    <row r="617" spans="16:20" ht="15">
      <c r="P617" s="447"/>
      <c r="Q617" s="497">
        <v>100</v>
      </c>
      <c r="R617" s="497">
        <v>0.4</v>
      </c>
      <c r="S617" s="497">
        <v>0.25</v>
      </c>
      <c r="T617" s="497">
        <v>1.5</v>
      </c>
    </row>
    <row r="618" spans="16:20" ht="15">
      <c r="P618" s="447"/>
      <c r="Q618" s="497">
        <v>100</v>
      </c>
      <c r="R618" s="497">
        <v>0.4</v>
      </c>
      <c r="S618" s="497">
        <v>1</v>
      </c>
      <c r="T618" s="497">
        <v>1.5</v>
      </c>
    </row>
    <row r="619" spans="16:20" ht="15">
      <c r="P619" s="447"/>
      <c r="Q619" s="497">
        <v>100</v>
      </c>
      <c r="R619" s="497">
        <v>0.40100000000000002</v>
      </c>
      <c r="S619" s="497">
        <v>0</v>
      </c>
      <c r="T619" s="497">
        <v>6</v>
      </c>
    </row>
    <row r="620" spans="16:20" ht="15">
      <c r="P620" s="447"/>
      <c r="Q620" s="497">
        <v>100</v>
      </c>
      <c r="R620" s="497">
        <v>0.40100000000000002</v>
      </c>
      <c r="S620" s="497">
        <v>0.02</v>
      </c>
      <c r="T620" s="497">
        <v>6</v>
      </c>
    </row>
    <row r="621" spans="16:20" ht="15">
      <c r="P621" s="447"/>
      <c r="Q621" s="497">
        <v>100</v>
      </c>
      <c r="R621" s="497">
        <v>0.40100000000000002</v>
      </c>
      <c r="S621" s="497">
        <v>0.04</v>
      </c>
      <c r="T621" s="497">
        <v>4</v>
      </c>
    </row>
    <row r="622" spans="16:20" ht="15">
      <c r="P622" s="447"/>
      <c r="Q622" s="497">
        <v>100</v>
      </c>
      <c r="R622" s="497">
        <v>0.40100000000000002</v>
      </c>
      <c r="S622" s="497">
        <v>0.05</v>
      </c>
      <c r="T622" s="497">
        <v>4</v>
      </c>
    </row>
    <row r="623" spans="16:20" ht="15">
      <c r="P623" s="447"/>
      <c r="Q623" s="497">
        <v>100</v>
      </c>
      <c r="R623" s="497">
        <v>0.40100000000000002</v>
      </c>
      <c r="S623" s="497">
        <v>0.06</v>
      </c>
      <c r="T623" s="497">
        <v>3.5</v>
      </c>
    </row>
    <row r="624" spans="16:20" ht="15">
      <c r="P624" s="447"/>
      <c r="Q624" s="497">
        <v>100</v>
      </c>
      <c r="R624" s="497">
        <v>0.40100000000000002</v>
      </c>
      <c r="S624" s="497">
        <v>0.08</v>
      </c>
      <c r="T624" s="497">
        <v>3</v>
      </c>
    </row>
    <row r="625" spans="16:20" ht="15">
      <c r="P625" s="447"/>
      <c r="Q625" s="497">
        <v>100</v>
      </c>
      <c r="R625" s="497">
        <v>0.40100000000000002</v>
      </c>
      <c r="S625" s="497">
        <v>0.1</v>
      </c>
      <c r="T625" s="497">
        <v>3</v>
      </c>
    </row>
    <row r="626" spans="16:20" ht="15">
      <c r="P626" s="447"/>
      <c r="Q626" s="497">
        <v>100</v>
      </c>
      <c r="R626" s="497">
        <v>0.40100000000000002</v>
      </c>
      <c r="S626" s="497">
        <v>0.15</v>
      </c>
      <c r="T626" s="497">
        <v>2.5</v>
      </c>
    </row>
    <row r="627" spans="16:20" ht="15">
      <c r="P627" s="447"/>
      <c r="Q627" s="497">
        <v>100</v>
      </c>
      <c r="R627" s="497">
        <v>0.40100000000000002</v>
      </c>
      <c r="S627" s="497">
        <v>0.2</v>
      </c>
      <c r="T627" s="497">
        <v>2.5</v>
      </c>
    </row>
    <row r="628" spans="16:20" ht="15">
      <c r="P628" s="447"/>
      <c r="Q628" s="497">
        <v>100</v>
      </c>
      <c r="R628" s="497">
        <v>0.40100000000000002</v>
      </c>
      <c r="S628" s="497">
        <v>0.25</v>
      </c>
      <c r="T628" s="497">
        <v>2</v>
      </c>
    </row>
    <row r="629" spans="16:20" ht="15">
      <c r="P629" s="447"/>
      <c r="Q629" s="497">
        <v>100</v>
      </c>
      <c r="R629" s="497">
        <v>0.40100000000000002</v>
      </c>
      <c r="S629" s="497">
        <v>1</v>
      </c>
      <c r="T629" s="497">
        <v>2</v>
      </c>
    </row>
    <row r="630" spans="16:20" ht="15">
      <c r="P630" s="447"/>
      <c r="Q630" s="497">
        <v>100</v>
      </c>
      <c r="R630" s="497">
        <v>0.8</v>
      </c>
      <c r="S630" s="497">
        <v>0</v>
      </c>
      <c r="T630" s="497">
        <v>6</v>
      </c>
    </row>
    <row r="631" spans="16:20" ht="15">
      <c r="P631" s="447"/>
      <c r="Q631" s="497">
        <v>100</v>
      </c>
      <c r="R631" s="497">
        <v>0.8</v>
      </c>
      <c r="S631" s="497">
        <v>0.02</v>
      </c>
      <c r="T631" s="497">
        <v>6</v>
      </c>
    </row>
    <row r="632" spans="16:20" ht="15">
      <c r="P632" s="447"/>
      <c r="Q632" s="497">
        <v>100</v>
      </c>
      <c r="R632" s="497">
        <v>0.8</v>
      </c>
      <c r="S632" s="497">
        <v>0.04</v>
      </c>
      <c r="T632" s="497">
        <v>4</v>
      </c>
    </row>
    <row r="633" spans="16:20" ht="15">
      <c r="P633" s="447"/>
      <c r="Q633" s="497">
        <v>100</v>
      </c>
      <c r="R633" s="497">
        <v>0.8</v>
      </c>
      <c r="S633" s="497">
        <v>0.05</v>
      </c>
      <c r="T633" s="497">
        <v>4</v>
      </c>
    </row>
    <row r="634" spans="16:20" ht="15">
      <c r="P634" s="447"/>
      <c r="Q634" s="497">
        <v>100</v>
      </c>
      <c r="R634" s="497">
        <v>0.8</v>
      </c>
      <c r="S634" s="497">
        <v>0.06</v>
      </c>
      <c r="T634" s="497">
        <v>3.5</v>
      </c>
    </row>
    <row r="635" spans="16:20" ht="15">
      <c r="P635" s="447"/>
      <c r="Q635" s="497">
        <v>100</v>
      </c>
      <c r="R635" s="497">
        <v>0.8</v>
      </c>
      <c r="S635" s="497">
        <v>0.08</v>
      </c>
      <c r="T635" s="497">
        <v>3</v>
      </c>
    </row>
    <row r="636" spans="16:20" ht="15">
      <c r="P636" s="447"/>
      <c r="Q636" s="497">
        <v>100</v>
      </c>
      <c r="R636" s="497">
        <v>0.8</v>
      </c>
      <c r="S636" s="497">
        <v>0.1</v>
      </c>
      <c r="T636" s="497">
        <v>3</v>
      </c>
    </row>
    <row r="637" spans="16:20" ht="15">
      <c r="P637" s="447"/>
      <c r="Q637" s="497">
        <v>100</v>
      </c>
      <c r="R637" s="497">
        <v>0.8</v>
      </c>
      <c r="S637" s="497">
        <v>0.15</v>
      </c>
      <c r="T637" s="497">
        <v>2.5</v>
      </c>
    </row>
    <row r="638" spans="16:20" ht="15">
      <c r="P638" s="447"/>
      <c r="Q638" s="497">
        <v>100</v>
      </c>
      <c r="R638" s="497">
        <v>0.8</v>
      </c>
      <c r="S638" s="497">
        <v>0.2</v>
      </c>
      <c r="T638" s="497">
        <v>2.5</v>
      </c>
    </row>
    <row r="639" spans="16:20" ht="15">
      <c r="P639" s="447"/>
      <c r="Q639" s="497">
        <v>100</v>
      </c>
      <c r="R639" s="497">
        <v>0.8</v>
      </c>
      <c r="S639" s="497">
        <v>0.25</v>
      </c>
      <c r="T639" s="497">
        <v>2</v>
      </c>
    </row>
    <row r="640" spans="16:20" ht="15">
      <c r="P640" s="447"/>
      <c r="Q640" s="497">
        <v>100</v>
      </c>
      <c r="R640" s="497">
        <v>0.8</v>
      </c>
      <c r="S640" s="497">
        <v>1</v>
      </c>
      <c r="T640" s="497">
        <v>2</v>
      </c>
    </row>
    <row r="641" spans="16:20" ht="15">
      <c r="P641" s="447"/>
      <c r="Q641" s="497">
        <v>100</v>
      </c>
      <c r="R641" s="497">
        <v>0.80100000000000005</v>
      </c>
      <c r="S641" s="497">
        <v>0</v>
      </c>
      <c r="T641" s="497">
        <v>6</v>
      </c>
    </row>
    <row r="642" spans="16:20" ht="15">
      <c r="P642" s="447"/>
      <c r="Q642" s="497">
        <v>100</v>
      </c>
      <c r="R642" s="497">
        <v>0.80100000000000005</v>
      </c>
      <c r="S642" s="497">
        <v>0.02</v>
      </c>
      <c r="T642" s="497">
        <v>6</v>
      </c>
    </row>
    <row r="643" spans="16:20" ht="15">
      <c r="P643" s="447"/>
      <c r="Q643" s="497">
        <v>100</v>
      </c>
      <c r="R643" s="497">
        <v>0.80100000000000005</v>
      </c>
      <c r="S643" s="497">
        <v>0.04</v>
      </c>
      <c r="T643" s="497">
        <v>4.5</v>
      </c>
    </row>
    <row r="644" spans="16:20" ht="15">
      <c r="P644" s="447"/>
      <c r="Q644" s="497">
        <v>100</v>
      </c>
      <c r="R644" s="497">
        <v>0.80100000000000005</v>
      </c>
      <c r="S644" s="497">
        <v>0.05</v>
      </c>
      <c r="T644" s="497">
        <v>4</v>
      </c>
    </row>
    <row r="645" spans="16:20" ht="15">
      <c r="P645" s="447"/>
      <c r="Q645" s="497">
        <v>100</v>
      </c>
      <c r="R645" s="497">
        <v>0.80100000000000005</v>
      </c>
      <c r="S645" s="497">
        <v>0.06</v>
      </c>
      <c r="T645" s="497">
        <v>4.5</v>
      </c>
    </row>
    <row r="646" spans="16:20" ht="15">
      <c r="P646" s="447"/>
      <c r="Q646" s="497">
        <v>100</v>
      </c>
      <c r="R646" s="497">
        <v>0.80100000000000005</v>
      </c>
      <c r="S646" s="497">
        <v>0.08</v>
      </c>
      <c r="T646" s="497">
        <v>3.5</v>
      </c>
    </row>
    <row r="647" spans="16:20" ht="15">
      <c r="P647" s="447"/>
      <c r="Q647" s="497">
        <v>100</v>
      </c>
      <c r="R647" s="497">
        <v>0.80100000000000005</v>
      </c>
      <c r="S647" s="497">
        <v>0.1</v>
      </c>
      <c r="T647" s="497">
        <v>3</v>
      </c>
    </row>
    <row r="648" spans="16:20" ht="15">
      <c r="P648" s="447"/>
      <c r="Q648" s="497">
        <v>100</v>
      </c>
      <c r="R648" s="497">
        <v>0.80100000000000005</v>
      </c>
      <c r="S648" s="497">
        <v>0.15</v>
      </c>
      <c r="T648" s="497">
        <v>3</v>
      </c>
    </row>
    <row r="649" spans="16:20" ht="15">
      <c r="P649" s="447"/>
      <c r="Q649" s="497">
        <v>100</v>
      </c>
      <c r="R649" s="497">
        <v>0.80100000000000005</v>
      </c>
      <c r="S649" s="497">
        <v>0.2</v>
      </c>
      <c r="T649" s="497">
        <v>2.5</v>
      </c>
    </row>
    <row r="650" spans="16:20" ht="15">
      <c r="P650" s="447"/>
      <c r="Q650" s="497">
        <v>100</v>
      </c>
      <c r="R650" s="497">
        <v>0.80100000000000005</v>
      </c>
      <c r="S650" s="497">
        <v>0.25</v>
      </c>
      <c r="T650" s="497">
        <v>2</v>
      </c>
    </row>
    <row r="651" spans="16:20" ht="15">
      <c r="P651" s="447"/>
      <c r="Q651" s="497">
        <v>100</v>
      </c>
      <c r="R651" s="497">
        <v>0.80100000000000005</v>
      </c>
      <c r="S651" s="497">
        <v>1</v>
      </c>
      <c r="T651" s="497">
        <v>2</v>
      </c>
    </row>
    <row r="652" spans="16:20" ht="15">
      <c r="P652" s="447"/>
      <c r="Q652" s="497">
        <v>100</v>
      </c>
      <c r="R652" s="497">
        <v>100</v>
      </c>
      <c r="S652" s="497">
        <v>0</v>
      </c>
      <c r="T652" s="497">
        <v>6</v>
      </c>
    </row>
    <row r="653" spans="16:20" ht="15">
      <c r="P653" s="447"/>
      <c r="Q653" s="497">
        <v>100</v>
      </c>
      <c r="R653" s="497">
        <v>100</v>
      </c>
      <c r="S653" s="497">
        <v>0.02</v>
      </c>
      <c r="T653" s="497">
        <v>6</v>
      </c>
    </row>
    <row r="654" spans="16:20" ht="15">
      <c r="P654" s="447"/>
      <c r="Q654" s="497">
        <v>100</v>
      </c>
      <c r="R654" s="497">
        <v>100</v>
      </c>
      <c r="S654" s="497">
        <v>0.04</v>
      </c>
      <c r="T654" s="497">
        <v>4.5</v>
      </c>
    </row>
    <row r="655" spans="16:20" ht="15">
      <c r="P655" s="447"/>
      <c r="Q655" s="497">
        <v>100</v>
      </c>
      <c r="R655" s="497">
        <v>100</v>
      </c>
      <c r="S655" s="497">
        <v>0.05</v>
      </c>
      <c r="T655" s="497">
        <v>4</v>
      </c>
    </row>
    <row r="656" spans="16:20" ht="15">
      <c r="P656" s="447"/>
      <c r="Q656" s="497">
        <v>100</v>
      </c>
      <c r="R656" s="497">
        <v>100</v>
      </c>
      <c r="S656" s="497">
        <v>0.06</v>
      </c>
      <c r="T656" s="497">
        <v>4.5</v>
      </c>
    </row>
    <row r="657" spans="16:20" ht="15">
      <c r="P657" s="447"/>
      <c r="Q657" s="497">
        <v>100</v>
      </c>
      <c r="R657" s="497">
        <v>100</v>
      </c>
      <c r="S657" s="497">
        <v>0.08</v>
      </c>
      <c r="T657" s="497">
        <v>3.5</v>
      </c>
    </row>
    <row r="658" spans="16:20" ht="15">
      <c r="P658" s="447"/>
      <c r="Q658" s="497">
        <v>100</v>
      </c>
      <c r="R658" s="497">
        <v>100</v>
      </c>
      <c r="S658" s="497">
        <v>0.1</v>
      </c>
      <c r="T658" s="497">
        <v>3</v>
      </c>
    </row>
    <row r="659" spans="16:20" ht="15">
      <c r="P659" s="447"/>
      <c r="Q659" s="497">
        <v>100</v>
      </c>
      <c r="R659" s="497">
        <v>100</v>
      </c>
      <c r="S659" s="497">
        <v>0.15</v>
      </c>
      <c r="T659" s="497">
        <v>3</v>
      </c>
    </row>
    <row r="660" spans="16:20" ht="15">
      <c r="P660" s="447"/>
      <c r="Q660" s="497">
        <v>100</v>
      </c>
      <c r="R660" s="497">
        <v>100</v>
      </c>
      <c r="S660" s="497">
        <v>0.2</v>
      </c>
      <c r="T660" s="497">
        <v>2.5</v>
      </c>
    </row>
    <row r="661" spans="16:20" ht="15">
      <c r="P661" s="447"/>
      <c r="Q661" s="497">
        <v>100</v>
      </c>
      <c r="R661" s="497">
        <v>100</v>
      </c>
      <c r="S661" s="497">
        <v>0.25</v>
      </c>
      <c r="T661" s="497">
        <v>2</v>
      </c>
    </row>
    <row r="662" spans="16:20" ht="15">
      <c r="P662" s="447"/>
      <c r="Q662" s="497">
        <v>100</v>
      </c>
      <c r="R662" s="497">
        <v>100</v>
      </c>
      <c r="S662" s="497">
        <v>1</v>
      </c>
      <c r="T662" s="497">
        <v>2</v>
      </c>
    </row>
    <row r="663" spans="16:20" ht="15">
      <c r="P663" s="447"/>
      <c r="Q663" s="497"/>
      <c r="R663" s="497"/>
      <c r="S663" s="497"/>
      <c r="T663" s="497"/>
    </row>
    <row r="664" spans="16:20" ht="15">
      <c r="P664" s="447"/>
      <c r="Q664" s="497"/>
      <c r="R664" s="497"/>
      <c r="S664" s="497"/>
      <c r="T664" s="497"/>
    </row>
    <row r="665" spans="16:20" ht="15">
      <c r="P665" s="447"/>
      <c r="Q665" s="497"/>
      <c r="R665" s="497"/>
      <c r="S665" s="497"/>
      <c r="T665" s="497"/>
    </row>
    <row r="666" spans="16:20" ht="15">
      <c r="P666" s="447"/>
      <c r="Q666" s="497"/>
      <c r="R666" s="497"/>
      <c r="S666" s="497"/>
      <c r="T666" s="497"/>
    </row>
    <row r="667" spans="16:20" ht="15">
      <c r="P667" s="447"/>
      <c r="Q667" s="497"/>
      <c r="R667" s="497"/>
      <c r="S667" s="497"/>
      <c r="T667" s="497"/>
    </row>
    <row r="668" spans="16:20" ht="15">
      <c r="P668" s="447"/>
      <c r="Q668" s="497"/>
      <c r="R668" s="497"/>
      <c r="S668" s="497"/>
      <c r="T668" s="497"/>
    </row>
    <row r="669" spans="16:20" ht="15">
      <c r="P669" s="447"/>
      <c r="Q669" s="497"/>
      <c r="R669" s="497"/>
      <c r="S669" s="497"/>
      <c r="T669" s="497"/>
    </row>
    <row r="670" spans="16:20" ht="15">
      <c r="P670" s="447"/>
      <c r="Q670" s="497"/>
      <c r="R670" s="497"/>
      <c r="S670" s="497"/>
      <c r="T670" s="497"/>
    </row>
    <row r="671" spans="16:20" ht="15">
      <c r="P671" s="447"/>
      <c r="Q671" s="497"/>
      <c r="R671" s="497"/>
      <c r="S671" s="497"/>
      <c r="T671" s="497"/>
    </row>
    <row r="672" spans="16:20" ht="15">
      <c r="P672" s="447"/>
      <c r="Q672" s="497"/>
      <c r="R672" s="497"/>
      <c r="S672" s="497"/>
      <c r="T672" s="497"/>
    </row>
    <row r="673" spans="16:20" ht="15">
      <c r="P673" s="447"/>
      <c r="Q673" s="497"/>
      <c r="R673" s="497"/>
      <c r="S673" s="497"/>
      <c r="T673" s="497"/>
    </row>
    <row r="674" spans="16:20" ht="15">
      <c r="P674" s="447"/>
      <c r="Q674" s="497"/>
      <c r="R674" s="497"/>
      <c r="S674" s="497"/>
      <c r="T674" s="497"/>
    </row>
    <row r="675" spans="16:20" ht="15">
      <c r="P675" s="447"/>
      <c r="Q675" s="497"/>
      <c r="R675" s="497"/>
      <c r="S675" s="497"/>
      <c r="T675" s="497"/>
    </row>
    <row r="676" spans="16:20" ht="15">
      <c r="P676" s="447"/>
      <c r="Q676" s="497"/>
      <c r="R676" s="497"/>
      <c r="S676" s="497"/>
      <c r="T676" s="497"/>
    </row>
    <row r="677" spans="16:20" ht="15">
      <c r="P677" s="447"/>
      <c r="Q677" s="497"/>
      <c r="R677" s="497"/>
      <c r="S677" s="497"/>
      <c r="T677" s="497"/>
    </row>
    <row r="678" spans="16:20" ht="15">
      <c r="P678" s="447"/>
      <c r="Q678" s="497"/>
      <c r="R678" s="497"/>
      <c r="S678" s="497"/>
      <c r="T678" s="497"/>
    </row>
    <row r="679" spans="16:20" ht="15">
      <c r="P679" s="447"/>
      <c r="Q679" s="497"/>
      <c r="R679" s="497"/>
      <c r="S679" s="497"/>
      <c r="T679" s="497"/>
    </row>
    <row r="680" spans="16:20" ht="15">
      <c r="P680" s="447"/>
      <c r="Q680" s="497"/>
      <c r="R680" s="497"/>
      <c r="S680" s="497"/>
      <c r="T680" s="497"/>
    </row>
    <row r="681" spans="16:20" ht="15">
      <c r="P681" s="447"/>
      <c r="Q681" s="497"/>
      <c r="R681" s="497"/>
      <c r="S681" s="497"/>
      <c r="T681" s="497"/>
    </row>
    <row r="682" spans="16:20" ht="15">
      <c r="P682" s="447"/>
      <c r="Q682" s="497"/>
      <c r="R682" s="497"/>
      <c r="S682" s="497"/>
      <c r="T682" s="497"/>
    </row>
    <row r="683" spans="16:20" ht="15">
      <c r="P683" s="447"/>
      <c r="Q683" s="497"/>
      <c r="R683" s="497"/>
      <c r="S683" s="497"/>
      <c r="T683" s="497"/>
    </row>
    <row r="684" spans="16:20" ht="15">
      <c r="P684" s="447"/>
      <c r="Q684" s="497"/>
      <c r="R684" s="497"/>
      <c r="S684" s="497"/>
      <c r="T684" s="497"/>
    </row>
    <row r="685" spans="16:20" ht="15">
      <c r="P685" s="447"/>
      <c r="Q685" s="497"/>
      <c r="R685" s="497"/>
      <c r="S685" s="497"/>
      <c r="T685" s="497"/>
    </row>
    <row r="686" spans="16:20" ht="15">
      <c r="P686" s="447"/>
      <c r="Q686" s="497"/>
      <c r="R686" s="497"/>
      <c r="S686" s="497"/>
      <c r="T686" s="497"/>
    </row>
    <row r="687" spans="16:20" ht="15">
      <c r="P687" s="447"/>
      <c r="Q687" s="497"/>
      <c r="R687" s="497"/>
      <c r="S687" s="497"/>
      <c r="T687" s="497"/>
    </row>
    <row r="688" spans="16:20" ht="15">
      <c r="P688" s="447"/>
      <c r="Q688" s="497"/>
      <c r="R688" s="497"/>
      <c r="S688" s="497"/>
      <c r="T688" s="497"/>
    </row>
    <row r="689" spans="16:20" ht="15">
      <c r="P689" s="447"/>
      <c r="Q689" s="497"/>
      <c r="R689" s="497"/>
      <c r="S689" s="497"/>
      <c r="T689" s="497"/>
    </row>
    <row r="690" spans="16:20" ht="15">
      <c r="P690" s="447"/>
      <c r="Q690" s="497"/>
      <c r="R690" s="497"/>
      <c r="S690" s="497"/>
      <c r="T690" s="497"/>
    </row>
    <row r="691" spans="16:20" ht="15">
      <c r="P691" s="447"/>
      <c r="Q691" s="497"/>
      <c r="R691" s="497"/>
      <c r="S691" s="497"/>
      <c r="T691" s="497"/>
    </row>
    <row r="692" spans="16:20" ht="15">
      <c r="P692" s="447"/>
      <c r="Q692" s="497"/>
      <c r="R692" s="497"/>
      <c r="S692" s="497"/>
      <c r="T692" s="497"/>
    </row>
    <row r="693" spans="16:20" ht="15">
      <c r="P693" s="447"/>
      <c r="Q693" s="497"/>
      <c r="R693" s="497"/>
      <c r="S693" s="497"/>
      <c r="T693" s="497"/>
    </row>
    <row r="694" spans="16:20" ht="15">
      <c r="P694" s="447"/>
      <c r="Q694" s="497"/>
      <c r="R694" s="497"/>
      <c r="S694" s="497"/>
      <c r="T694" s="497"/>
    </row>
    <row r="695" spans="16:20" ht="15">
      <c r="P695" s="447"/>
      <c r="Q695" s="497"/>
      <c r="R695" s="497"/>
      <c r="S695" s="497"/>
      <c r="T695" s="497"/>
    </row>
    <row r="696" spans="16:20" ht="15">
      <c r="P696" s="447"/>
      <c r="Q696" s="497"/>
      <c r="R696" s="497"/>
      <c r="S696" s="497"/>
      <c r="T696" s="497"/>
    </row>
    <row r="697" spans="16:20" ht="15">
      <c r="P697" s="447"/>
      <c r="Q697" s="497"/>
      <c r="R697" s="497"/>
      <c r="S697" s="497"/>
      <c r="T697" s="497"/>
    </row>
    <row r="698" spans="16:20" ht="15">
      <c r="P698" s="447"/>
      <c r="Q698" s="497"/>
      <c r="R698" s="497"/>
      <c r="S698" s="497"/>
      <c r="T698" s="497"/>
    </row>
    <row r="699" spans="16:20" ht="15">
      <c r="P699" s="447"/>
      <c r="Q699" s="497"/>
      <c r="R699" s="497"/>
      <c r="S699" s="497"/>
      <c r="T699" s="497"/>
    </row>
    <row r="700" spans="16:20" ht="15">
      <c r="P700" s="447"/>
      <c r="Q700" s="497"/>
      <c r="R700" s="497"/>
      <c r="S700" s="497"/>
      <c r="T700" s="497"/>
    </row>
    <row r="701" spans="16:20" ht="15">
      <c r="P701" s="447"/>
      <c r="Q701" s="497"/>
      <c r="R701" s="497"/>
      <c r="S701" s="497"/>
      <c r="T701" s="497"/>
    </row>
    <row r="702" spans="16:20" ht="15">
      <c r="P702" s="447"/>
      <c r="Q702" s="497"/>
      <c r="R702" s="497"/>
      <c r="S702" s="497"/>
      <c r="T702" s="497"/>
    </row>
    <row r="703" spans="16:20" ht="15">
      <c r="P703" s="447"/>
      <c r="Q703" s="497"/>
      <c r="R703" s="497"/>
      <c r="S703" s="497"/>
      <c r="T703" s="497"/>
    </row>
    <row r="704" spans="16:20" ht="15">
      <c r="P704" s="447"/>
      <c r="Q704" s="497"/>
      <c r="R704" s="497"/>
      <c r="S704" s="497"/>
      <c r="T704" s="497"/>
    </row>
    <row r="705" spans="16:20" ht="15">
      <c r="P705" s="447"/>
      <c r="Q705" s="497"/>
      <c r="R705" s="497"/>
      <c r="S705" s="497"/>
      <c r="T705" s="497"/>
    </row>
    <row r="706" spans="16:20" ht="15">
      <c r="P706" s="447"/>
      <c r="Q706" s="497"/>
      <c r="R706" s="497"/>
      <c r="S706" s="497"/>
      <c r="T706" s="497"/>
    </row>
    <row r="707" spans="16:20" ht="15">
      <c r="P707" s="447"/>
      <c r="Q707" s="497"/>
      <c r="R707" s="497"/>
      <c r="S707" s="497"/>
      <c r="T707" s="497"/>
    </row>
    <row r="708" spans="16:20" ht="15">
      <c r="P708" s="447"/>
      <c r="Q708" s="497"/>
      <c r="R708" s="497"/>
      <c r="S708" s="497"/>
      <c r="T708" s="497"/>
    </row>
    <row r="709" spans="16:20" ht="15">
      <c r="P709" s="447"/>
      <c r="Q709" s="497"/>
      <c r="R709" s="497"/>
      <c r="S709" s="497"/>
      <c r="T709" s="497"/>
    </row>
    <row r="710" spans="16:20" ht="15">
      <c r="P710" s="447"/>
      <c r="Q710" s="497"/>
      <c r="R710" s="497"/>
      <c r="S710" s="497"/>
      <c r="T710" s="497"/>
    </row>
    <row r="711" spans="16:20" ht="15">
      <c r="P711" s="447"/>
      <c r="Q711" s="497"/>
      <c r="R711" s="497"/>
      <c r="S711" s="497"/>
      <c r="T711" s="497"/>
    </row>
    <row r="712" spans="16:20" ht="15">
      <c r="P712" s="447"/>
      <c r="Q712" s="497"/>
      <c r="R712" s="497"/>
      <c r="S712" s="497"/>
      <c r="T712" s="497"/>
    </row>
    <row r="713" spans="16:20" ht="15">
      <c r="P713" s="447"/>
      <c r="Q713" s="497"/>
      <c r="R713" s="497"/>
      <c r="S713" s="497"/>
      <c r="T713" s="497"/>
    </row>
    <row r="714" spans="16:20" ht="15">
      <c r="P714" s="447"/>
      <c r="Q714" s="497"/>
      <c r="R714" s="497"/>
      <c r="S714" s="497"/>
      <c r="T714" s="497"/>
    </row>
    <row r="715" spans="16:20" ht="15">
      <c r="P715" s="447"/>
      <c r="Q715" s="497"/>
      <c r="R715" s="497"/>
      <c r="S715" s="497"/>
      <c r="T715" s="497"/>
    </row>
    <row r="716" spans="16:20" ht="15">
      <c r="P716" s="447"/>
      <c r="Q716" s="497"/>
      <c r="R716" s="497"/>
      <c r="S716" s="497"/>
      <c r="T716" s="497"/>
    </row>
    <row r="717" spans="16:20" ht="15">
      <c r="P717" s="447"/>
      <c r="Q717" s="497"/>
      <c r="R717" s="497"/>
      <c r="S717" s="497"/>
      <c r="T717" s="497"/>
    </row>
    <row r="718" spans="16:20" ht="15">
      <c r="P718" s="447"/>
      <c r="Q718" s="497"/>
      <c r="R718" s="497"/>
      <c r="S718" s="497"/>
      <c r="T718" s="497"/>
    </row>
    <row r="719" spans="16:20" ht="15">
      <c r="P719" s="447"/>
      <c r="Q719" s="497"/>
      <c r="R719" s="497"/>
      <c r="S719" s="497"/>
      <c r="T719" s="497"/>
    </row>
    <row r="720" spans="16:20" ht="15">
      <c r="P720" s="447"/>
      <c r="Q720" s="497"/>
      <c r="R720" s="497"/>
      <c r="S720" s="497"/>
      <c r="T720" s="497"/>
    </row>
    <row r="721" spans="16:20" ht="15">
      <c r="P721" s="447"/>
      <c r="Q721" s="497"/>
      <c r="R721" s="497"/>
      <c r="S721" s="497"/>
      <c r="T721" s="497"/>
    </row>
    <row r="722" spans="16:20" ht="15">
      <c r="P722" s="447"/>
      <c r="Q722" s="497"/>
      <c r="R722" s="497"/>
      <c r="S722" s="497"/>
      <c r="T722" s="497"/>
    </row>
    <row r="723" spans="16:20" ht="15">
      <c r="P723" s="447"/>
      <c r="Q723" s="497"/>
      <c r="R723" s="497"/>
      <c r="S723" s="497"/>
      <c r="T723" s="497"/>
    </row>
    <row r="724" spans="16:20" ht="15">
      <c r="P724" s="447"/>
      <c r="Q724" s="497"/>
      <c r="R724" s="497"/>
      <c r="S724" s="497"/>
      <c r="T724" s="497"/>
    </row>
    <row r="725" spans="16:20" ht="15">
      <c r="P725" s="447"/>
      <c r="Q725" s="497"/>
      <c r="R725" s="497"/>
      <c r="S725" s="497"/>
      <c r="T725" s="497"/>
    </row>
    <row r="726" spans="16:20" ht="15">
      <c r="P726" s="447"/>
      <c r="Q726" s="497"/>
      <c r="R726" s="497"/>
      <c r="S726" s="497"/>
      <c r="T726" s="497"/>
    </row>
    <row r="727" spans="16:20" ht="15">
      <c r="P727" s="447"/>
      <c r="Q727" s="497"/>
      <c r="R727" s="497"/>
      <c r="S727" s="497"/>
      <c r="T727" s="497"/>
    </row>
    <row r="728" spans="16:20" ht="15">
      <c r="P728" s="447"/>
      <c r="Q728" s="497"/>
      <c r="R728" s="497"/>
      <c r="S728" s="497"/>
      <c r="T728" s="497"/>
    </row>
    <row r="729" spans="16:20" ht="15">
      <c r="P729" s="447"/>
      <c r="Q729" s="497"/>
      <c r="R729" s="497"/>
      <c r="S729" s="497"/>
      <c r="T729" s="497"/>
    </row>
    <row r="730" spans="16:20" ht="15">
      <c r="P730" s="447"/>
      <c r="Q730" s="497"/>
      <c r="R730" s="497"/>
      <c r="S730" s="497"/>
      <c r="T730" s="497"/>
    </row>
    <row r="731" spans="16:20" ht="15">
      <c r="P731" s="447"/>
      <c r="Q731" s="497"/>
      <c r="R731" s="497"/>
      <c r="S731" s="497"/>
      <c r="T731" s="497"/>
    </row>
    <row r="732" spans="16:20" ht="15">
      <c r="P732" s="447"/>
      <c r="Q732" s="497"/>
      <c r="R732" s="497"/>
      <c r="S732" s="497"/>
      <c r="T732" s="497"/>
    </row>
    <row r="733" spans="16:20" ht="15">
      <c r="P733" s="447"/>
      <c r="Q733" s="497"/>
      <c r="R733" s="497"/>
      <c r="S733" s="497"/>
      <c r="T733" s="497"/>
    </row>
    <row r="734" spans="16:20" ht="15">
      <c r="P734" s="447"/>
      <c r="Q734" s="497"/>
      <c r="R734" s="497"/>
      <c r="S734" s="497"/>
      <c r="T734" s="497"/>
    </row>
    <row r="735" spans="16:20" ht="15">
      <c r="P735" s="447"/>
      <c r="Q735" s="497"/>
      <c r="R735" s="497"/>
      <c r="S735" s="497"/>
      <c r="T735" s="497"/>
    </row>
    <row r="736" spans="16:20" ht="15">
      <c r="P736" s="447"/>
      <c r="Q736" s="497"/>
      <c r="R736" s="497"/>
      <c r="S736" s="497"/>
      <c r="T736" s="497"/>
    </row>
    <row r="737" spans="16:16" s="497" customFormat="1" ht="15">
      <c r="P737" s="447"/>
    </row>
    <row r="738" spans="16:16" s="497" customFormat="1" ht="15">
      <c r="P738" s="447"/>
    </row>
    <row r="739" spans="16:16" s="497" customFormat="1" ht="15">
      <c r="P739" s="447"/>
    </row>
    <row r="740" spans="16:16" s="497" customFormat="1" ht="15">
      <c r="P740" s="447"/>
    </row>
    <row r="741" spans="16:16" s="497" customFormat="1" ht="15">
      <c r="P741" s="447"/>
    </row>
    <row r="742" spans="16:16" s="497" customFormat="1" ht="15">
      <c r="P742" s="447"/>
    </row>
    <row r="743" spans="16:16" s="497" customFormat="1" ht="15">
      <c r="P743" s="447"/>
    </row>
    <row r="744" spans="16:16" s="497" customFormat="1" ht="15">
      <c r="P744" s="447"/>
    </row>
    <row r="745" spans="16:16" s="497" customFormat="1" ht="15">
      <c r="P745" s="447"/>
    </row>
    <row r="746" spans="16:16" s="497" customFormat="1" ht="15">
      <c r="P746" s="447"/>
    </row>
    <row r="747" spans="16:16" s="497" customFormat="1" ht="15">
      <c r="P747" s="447"/>
    </row>
    <row r="748" spans="16:16" s="497" customFormat="1" ht="15">
      <c r="P748" s="447"/>
    </row>
    <row r="749" spans="16:16" s="497" customFormat="1" ht="15">
      <c r="P749" s="447"/>
    </row>
    <row r="750" spans="16:16" s="497" customFormat="1" ht="15">
      <c r="P750" s="447"/>
    </row>
    <row r="751" spans="16:16" s="497" customFormat="1" ht="15">
      <c r="P751" s="447"/>
    </row>
    <row r="752" spans="16:16" s="497" customFormat="1" ht="15">
      <c r="P752" s="447"/>
    </row>
    <row r="753" spans="16:16" s="497" customFormat="1" ht="15">
      <c r="P753" s="447"/>
    </row>
    <row r="754" spans="16:16" s="497" customFormat="1" ht="15">
      <c r="P754" s="447"/>
    </row>
    <row r="755" spans="16:16" s="497" customFormat="1" ht="15">
      <c r="P755" s="447"/>
    </row>
    <row r="756" spans="16:16" s="497" customFormat="1" ht="15">
      <c r="P756" s="447"/>
    </row>
    <row r="757" spans="16:16" s="497" customFormat="1" ht="15">
      <c r="P757" s="447"/>
    </row>
    <row r="758" spans="16:16" s="497" customFormat="1" ht="15">
      <c r="P758" s="447"/>
    </row>
    <row r="759" spans="16:16" s="497" customFormat="1" ht="15">
      <c r="P759" s="447"/>
    </row>
    <row r="760" spans="16:16" s="497" customFormat="1" ht="15">
      <c r="P760" s="447"/>
    </row>
    <row r="761" spans="16:16" s="497" customFormat="1" ht="15">
      <c r="P761" s="447"/>
    </row>
    <row r="762" spans="16:16" s="497" customFormat="1" ht="15">
      <c r="P762" s="447"/>
    </row>
    <row r="763" spans="16:16" s="497" customFormat="1" ht="15">
      <c r="P763" s="447"/>
    </row>
    <row r="764" spans="16:16" s="497" customFormat="1" ht="15">
      <c r="P764" s="447"/>
    </row>
    <row r="765" spans="16:16" s="497" customFormat="1" ht="15">
      <c r="P765" s="447"/>
    </row>
    <row r="766" spans="16:16" s="497" customFormat="1" ht="15">
      <c r="P766" s="447"/>
    </row>
    <row r="767" spans="16:16" s="497" customFormat="1" ht="15">
      <c r="P767" s="447"/>
    </row>
    <row r="768" spans="16:16" s="497" customFormat="1" ht="15">
      <c r="P768" s="447"/>
    </row>
    <row r="769" spans="16:16" s="497" customFormat="1" ht="15">
      <c r="P769" s="447"/>
    </row>
    <row r="770" spans="16:16" s="497" customFormat="1" ht="15">
      <c r="P770" s="447"/>
    </row>
    <row r="771" spans="16:16" s="497" customFormat="1" ht="15">
      <c r="P771" s="447"/>
    </row>
    <row r="772" spans="16:16" s="497" customFormat="1" ht="15">
      <c r="P772" s="447"/>
    </row>
    <row r="773" spans="16:16" s="497" customFormat="1" ht="15">
      <c r="P773" s="447"/>
    </row>
    <row r="774" spans="16:16" s="497" customFormat="1" ht="15">
      <c r="P774" s="447"/>
    </row>
    <row r="775" spans="16:16" s="497" customFormat="1" ht="15">
      <c r="P775" s="447"/>
    </row>
    <row r="776" spans="16:16" s="497" customFormat="1" ht="15">
      <c r="P776" s="447"/>
    </row>
    <row r="777" spans="16:16" s="497" customFormat="1" ht="15">
      <c r="P777" s="447"/>
    </row>
    <row r="778" spans="16:16" s="497" customFormat="1" ht="15">
      <c r="P778" s="447"/>
    </row>
    <row r="779" spans="16:16" s="497" customFormat="1" ht="15">
      <c r="P779" s="447"/>
    </row>
    <row r="780" spans="16:16" s="497" customFormat="1" ht="15">
      <c r="P780" s="447"/>
    </row>
    <row r="781" spans="16:16" s="497" customFormat="1" ht="15">
      <c r="P781" s="447"/>
    </row>
    <row r="782" spans="16:16" s="497" customFormat="1" ht="15">
      <c r="P782" s="447"/>
    </row>
    <row r="783" spans="16:16" s="497" customFormat="1" ht="15">
      <c r="P783" s="447"/>
    </row>
    <row r="784" spans="16:16" s="497" customFormat="1" ht="15">
      <c r="P784" s="447"/>
    </row>
    <row r="785" spans="16:16" s="497" customFormat="1" ht="15">
      <c r="P785" s="447"/>
    </row>
    <row r="786" spans="16:16" s="497" customFormat="1" ht="15">
      <c r="P786" s="447"/>
    </row>
    <row r="787" spans="16:16" s="497" customFormat="1" ht="15">
      <c r="P787" s="447"/>
    </row>
    <row r="788" spans="16:16" s="497" customFormat="1" ht="15">
      <c r="P788" s="447"/>
    </row>
    <row r="789" spans="16:16" s="497" customFormat="1" ht="15">
      <c r="P789" s="447"/>
    </row>
    <row r="790" spans="16:16" s="497" customFormat="1" ht="15">
      <c r="P790" s="447"/>
    </row>
    <row r="791" spans="16:16" s="497" customFormat="1" ht="15">
      <c r="P791" s="447"/>
    </row>
    <row r="792" spans="16:16" s="497" customFormat="1" ht="15">
      <c r="P792" s="447"/>
    </row>
    <row r="793" spans="16:16" s="497" customFormat="1" ht="15">
      <c r="P793" s="447"/>
    </row>
    <row r="794" spans="16:16" s="497" customFormat="1" ht="15">
      <c r="P794" s="447"/>
    </row>
    <row r="795" spans="16:16" s="497" customFormat="1" ht="15">
      <c r="P795" s="447"/>
    </row>
    <row r="796" spans="16:16" s="497" customFormat="1" ht="15">
      <c r="P796" s="447"/>
    </row>
    <row r="797" spans="16:16" s="497" customFormat="1" ht="15">
      <c r="P797" s="447"/>
    </row>
    <row r="798" spans="16:16" s="497" customFormat="1" ht="15">
      <c r="P798" s="447"/>
    </row>
    <row r="799" spans="16:16" s="497" customFormat="1" ht="15">
      <c r="P799" s="447"/>
    </row>
    <row r="800" spans="16:16" s="497" customFormat="1" ht="15">
      <c r="P800" s="447"/>
    </row>
    <row r="801" spans="16:16" s="497" customFormat="1" ht="15">
      <c r="P801" s="447"/>
    </row>
    <row r="802" spans="16:16" s="497" customFormat="1" ht="15">
      <c r="P802" s="447"/>
    </row>
    <row r="803" spans="16:16" s="497" customFormat="1" ht="15">
      <c r="P803" s="447"/>
    </row>
    <row r="804" spans="16:16" s="497" customFormat="1" ht="15">
      <c r="P804" s="447"/>
    </row>
    <row r="805" spans="16:16" s="497" customFormat="1" ht="15">
      <c r="P805" s="447"/>
    </row>
    <row r="806" spans="16:16" s="497" customFormat="1" ht="15">
      <c r="P806" s="447"/>
    </row>
    <row r="807" spans="16:16" s="497" customFormat="1" ht="15">
      <c r="P807" s="447"/>
    </row>
    <row r="808" spans="16:16" s="497" customFormat="1" ht="15">
      <c r="P808" s="447"/>
    </row>
    <row r="809" spans="16:16" s="497" customFormat="1" ht="15">
      <c r="P809" s="447"/>
    </row>
    <row r="810" spans="16:16" s="497" customFormat="1" ht="15">
      <c r="P810" s="447"/>
    </row>
    <row r="811" spans="16:16" s="497" customFormat="1" ht="15">
      <c r="P811" s="447"/>
    </row>
    <row r="812" spans="16:16" s="497" customFormat="1" ht="15">
      <c r="P812" s="447"/>
    </row>
    <row r="813" spans="16:16" s="497" customFormat="1" ht="15">
      <c r="P813" s="447"/>
    </row>
    <row r="814" spans="16:16" s="497" customFormat="1" ht="15">
      <c r="P814" s="447"/>
    </row>
    <row r="815" spans="16:16" s="497" customFormat="1" ht="15">
      <c r="P815" s="447"/>
    </row>
    <row r="816" spans="16:16" s="497" customFormat="1" ht="15">
      <c r="P816" s="447"/>
    </row>
    <row r="817" spans="16:16" s="497" customFormat="1" ht="15">
      <c r="P817" s="447"/>
    </row>
    <row r="818" spans="16:16" s="497" customFormat="1" ht="15">
      <c r="P818" s="447"/>
    </row>
    <row r="819" spans="16:16" s="497" customFormat="1" ht="15">
      <c r="P819" s="447"/>
    </row>
    <row r="820" spans="16:16" s="497" customFormat="1" ht="15">
      <c r="P820" s="447"/>
    </row>
    <row r="821" spans="16:16" s="497" customFormat="1" ht="15">
      <c r="P821" s="447"/>
    </row>
    <row r="822" spans="16:16" s="497" customFormat="1" ht="15">
      <c r="P822" s="447"/>
    </row>
    <row r="823" spans="16:16" s="497" customFormat="1" ht="15">
      <c r="P823" s="447"/>
    </row>
    <row r="824" spans="16:16" s="497" customFormat="1" ht="15">
      <c r="P824" s="447"/>
    </row>
    <row r="825" spans="16:16" s="497" customFormat="1" ht="15">
      <c r="P825" s="447"/>
    </row>
    <row r="826" spans="16:16" s="497" customFormat="1" ht="15">
      <c r="P826" s="447"/>
    </row>
    <row r="827" spans="16:16" s="497" customFormat="1" ht="15">
      <c r="P827" s="447"/>
    </row>
    <row r="828" spans="16:16" s="497" customFormat="1" ht="15">
      <c r="P828" s="447"/>
    </row>
    <row r="829" spans="16:16" s="497" customFormat="1" ht="15">
      <c r="P829" s="447"/>
    </row>
    <row r="830" spans="16:16" s="497" customFormat="1" ht="15">
      <c r="P830" s="447"/>
    </row>
    <row r="831" spans="16:16" s="497" customFormat="1" ht="15">
      <c r="P831" s="447"/>
    </row>
    <row r="832" spans="16:16" s="497" customFormat="1" ht="15">
      <c r="P832" s="447"/>
    </row>
    <row r="833" spans="16:16" s="497" customFormat="1" ht="15">
      <c r="P833" s="447"/>
    </row>
    <row r="834" spans="16:16" s="497" customFormat="1" ht="15">
      <c r="P834" s="447"/>
    </row>
    <row r="835" spans="16:16" s="497" customFormat="1" ht="15">
      <c r="P835" s="447"/>
    </row>
    <row r="836" spans="16:16" s="497" customFormat="1" ht="15">
      <c r="P836" s="447"/>
    </row>
    <row r="837" spans="16:16" s="497" customFormat="1" ht="15">
      <c r="P837" s="447"/>
    </row>
    <row r="838" spans="16:16" s="497" customFormat="1" ht="15">
      <c r="P838" s="447"/>
    </row>
    <row r="839" spans="16:16" s="497" customFormat="1" ht="15">
      <c r="P839" s="447"/>
    </row>
    <row r="840" spans="16:16" s="497" customFormat="1" ht="15">
      <c r="P840" s="447"/>
    </row>
    <row r="841" spans="16:16" s="497" customFormat="1" ht="15">
      <c r="P841" s="447"/>
    </row>
    <row r="842" spans="16:16" s="497" customFormat="1" ht="15">
      <c r="P842" s="447"/>
    </row>
    <row r="843" spans="16:16" s="497" customFormat="1" ht="15">
      <c r="P843" s="447"/>
    </row>
    <row r="844" spans="16:16" s="497" customFormat="1" ht="15">
      <c r="P844" s="447"/>
    </row>
    <row r="845" spans="16:16" s="497" customFormat="1" ht="15">
      <c r="P845" s="447"/>
    </row>
    <row r="846" spans="16:16" s="497" customFormat="1" ht="15">
      <c r="P846" s="447"/>
    </row>
    <row r="847" spans="16:16" s="497" customFormat="1" ht="15">
      <c r="P847" s="447"/>
    </row>
    <row r="848" spans="16:16" s="497" customFormat="1" ht="15">
      <c r="P848" s="447"/>
    </row>
    <row r="849" spans="16:16" s="497" customFormat="1" ht="15">
      <c r="P849" s="447"/>
    </row>
    <row r="850" spans="16:16" s="497" customFormat="1" ht="15">
      <c r="P850" s="447"/>
    </row>
    <row r="851" spans="16:16" s="497" customFormat="1" ht="15">
      <c r="P851" s="447"/>
    </row>
    <row r="852" spans="16:16" s="497" customFormat="1" ht="15">
      <c r="P852" s="447"/>
    </row>
    <row r="853" spans="16:16" s="497" customFormat="1" ht="15">
      <c r="P853" s="447"/>
    </row>
    <row r="854" spans="16:16" s="497" customFormat="1" ht="15">
      <c r="P854" s="447"/>
    </row>
    <row r="855" spans="16:16" s="497" customFormat="1" ht="15">
      <c r="P855" s="447"/>
    </row>
    <row r="856" spans="16:16" s="497" customFormat="1" ht="15">
      <c r="P856" s="447"/>
    </row>
    <row r="857" spans="16:16" s="497" customFormat="1" ht="15">
      <c r="P857" s="447"/>
    </row>
    <row r="858" spans="16:16" s="497" customFormat="1" ht="15">
      <c r="P858" s="447"/>
    </row>
    <row r="859" spans="16:16" s="497" customFormat="1" ht="15">
      <c r="P859" s="447"/>
    </row>
    <row r="860" spans="16:16" s="497" customFormat="1" ht="15">
      <c r="P860" s="447"/>
    </row>
    <row r="861" spans="16:16" s="497" customFormat="1" ht="15">
      <c r="P861" s="447"/>
    </row>
    <row r="862" spans="16:16" s="497" customFormat="1" ht="15">
      <c r="P862" s="447"/>
    </row>
    <row r="863" spans="16:16" s="497" customFormat="1" ht="15">
      <c r="P863" s="447"/>
    </row>
    <row r="864" spans="16:16" s="497" customFormat="1" ht="15">
      <c r="P864" s="447"/>
    </row>
    <row r="865" spans="16:16" s="497" customFormat="1" ht="15">
      <c r="P865" s="447"/>
    </row>
    <row r="866" spans="16:16" s="497" customFormat="1" ht="15">
      <c r="P866" s="447"/>
    </row>
    <row r="867" spans="16:16" s="497" customFormat="1" ht="15">
      <c r="P867" s="447"/>
    </row>
    <row r="868" spans="16:16" s="497" customFormat="1" ht="15">
      <c r="P868" s="447"/>
    </row>
    <row r="869" spans="16:16" s="497" customFormat="1" ht="15">
      <c r="P869" s="447"/>
    </row>
    <row r="870" spans="16:16" s="497" customFormat="1" ht="15">
      <c r="P870" s="447"/>
    </row>
    <row r="871" spans="16:16" s="497" customFormat="1" ht="15">
      <c r="P871" s="447"/>
    </row>
    <row r="872" spans="16:16" s="497" customFormat="1" ht="15">
      <c r="P872" s="447"/>
    </row>
    <row r="873" spans="16:16" s="497" customFormat="1" ht="15">
      <c r="P873" s="447"/>
    </row>
    <row r="874" spans="16:16" s="497" customFormat="1" ht="15">
      <c r="P874" s="447"/>
    </row>
    <row r="875" spans="16:16" s="497" customFormat="1" ht="15">
      <c r="P875" s="447"/>
    </row>
    <row r="876" spans="16:16" s="497" customFormat="1" ht="15">
      <c r="P876" s="447"/>
    </row>
    <row r="877" spans="16:16" s="497" customFormat="1" ht="15">
      <c r="P877" s="447"/>
    </row>
    <row r="878" spans="16:16" s="497" customFormat="1" ht="15">
      <c r="P878" s="447"/>
    </row>
    <row r="879" spans="16:16" s="497" customFormat="1" ht="15">
      <c r="P879" s="447"/>
    </row>
    <row r="880" spans="16:16" s="497" customFormat="1" ht="15">
      <c r="P880" s="447"/>
    </row>
    <row r="881" spans="16:16" s="497" customFormat="1" ht="15">
      <c r="P881" s="447"/>
    </row>
    <row r="882" spans="16:16" s="497" customFormat="1" ht="15">
      <c r="P882" s="447"/>
    </row>
    <row r="883" spans="16:16" s="497" customFormat="1" ht="15">
      <c r="P883" s="447"/>
    </row>
    <row r="884" spans="16:16" s="497" customFormat="1" ht="15">
      <c r="P884" s="447"/>
    </row>
    <row r="885" spans="16:16" s="497" customFormat="1" ht="15">
      <c r="P885" s="447"/>
    </row>
    <row r="886" spans="16:16" s="497" customFormat="1" ht="15">
      <c r="P886" s="447"/>
    </row>
    <row r="887" spans="16:16" s="497" customFormat="1" ht="15">
      <c r="P887" s="447"/>
    </row>
    <row r="888" spans="16:16" s="497" customFormat="1" ht="15">
      <c r="P888" s="447"/>
    </row>
    <row r="889" spans="16:16" s="497" customFormat="1" ht="15">
      <c r="P889" s="447"/>
    </row>
    <row r="890" spans="16:16" s="497" customFormat="1" ht="15">
      <c r="P890" s="447"/>
    </row>
    <row r="891" spans="16:16" s="497" customFormat="1" ht="15">
      <c r="P891" s="447"/>
    </row>
    <row r="892" spans="16:16" s="497" customFormat="1" ht="15">
      <c r="P892" s="447"/>
    </row>
    <row r="893" spans="16:16" s="497" customFormat="1" ht="15">
      <c r="P893" s="447"/>
    </row>
    <row r="894" spans="16:16" s="497" customFormat="1" ht="15">
      <c r="P894" s="447"/>
    </row>
    <row r="895" spans="16:16" s="497" customFormat="1" ht="15">
      <c r="P895" s="447"/>
    </row>
    <row r="896" spans="16:16" s="497" customFormat="1" ht="15">
      <c r="P896" s="447"/>
    </row>
    <row r="897" spans="16:16" s="497" customFormat="1" ht="15">
      <c r="P897" s="447"/>
    </row>
    <row r="898" spans="16:16" s="497" customFormat="1" ht="15">
      <c r="P898" s="447"/>
    </row>
    <row r="899" spans="16:16" s="497" customFormat="1" ht="15">
      <c r="P899" s="447"/>
    </row>
    <row r="900" spans="16:16" s="497" customFormat="1" ht="15">
      <c r="P900" s="447"/>
    </row>
    <row r="901" spans="16:16" s="497" customFormat="1" ht="15">
      <c r="P901" s="447"/>
    </row>
    <row r="902" spans="16:16" s="497" customFormat="1" ht="15">
      <c r="P902" s="447"/>
    </row>
    <row r="903" spans="16:16" s="497" customFormat="1" ht="15">
      <c r="P903" s="447"/>
    </row>
    <row r="904" spans="16:16" s="497" customFormat="1" ht="15">
      <c r="P904" s="447"/>
    </row>
    <row r="905" spans="16:16" s="497" customFormat="1" ht="15">
      <c r="P905" s="447"/>
    </row>
    <row r="906" spans="16:16" s="497" customFormat="1" ht="15">
      <c r="P906" s="447"/>
    </row>
    <row r="907" spans="16:16" s="497" customFormat="1" ht="15">
      <c r="P907" s="447"/>
    </row>
    <row r="908" spans="16:16" s="497" customFormat="1" ht="15">
      <c r="P908" s="447"/>
    </row>
    <row r="909" spans="16:16" s="497" customFormat="1" ht="15">
      <c r="P909" s="447"/>
    </row>
    <row r="910" spans="16:16" s="497" customFormat="1" ht="15">
      <c r="P910" s="447"/>
    </row>
    <row r="911" spans="16:16" s="497" customFormat="1" ht="15">
      <c r="P911" s="447"/>
    </row>
    <row r="912" spans="16:16" s="497" customFormat="1" ht="15">
      <c r="P912" s="447"/>
    </row>
    <row r="913" spans="16:16" s="497" customFormat="1" ht="15">
      <c r="P913" s="447"/>
    </row>
    <row r="914" spans="16:16" s="497" customFormat="1" ht="15">
      <c r="P914" s="447"/>
    </row>
    <row r="915" spans="16:16" s="497" customFormat="1" ht="15">
      <c r="P915" s="447"/>
    </row>
    <row r="916" spans="16:16" s="497" customFormat="1" ht="15">
      <c r="P916" s="447"/>
    </row>
    <row r="917" spans="16:16" s="497" customFormat="1" ht="15">
      <c r="P917" s="447"/>
    </row>
    <row r="918" spans="16:16" s="497" customFormat="1" ht="15">
      <c r="P918" s="447"/>
    </row>
    <row r="919" spans="16:16" s="497" customFormat="1" ht="15">
      <c r="P919" s="447"/>
    </row>
    <row r="920" spans="16:16" s="497" customFormat="1" ht="15">
      <c r="P920" s="447"/>
    </row>
    <row r="921" spans="16:16" s="497" customFormat="1" ht="15">
      <c r="P921" s="447"/>
    </row>
    <row r="922" spans="16:16" s="497" customFormat="1" ht="15">
      <c r="P922" s="447"/>
    </row>
    <row r="923" spans="16:16" s="497" customFormat="1" ht="15">
      <c r="P923" s="447"/>
    </row>
    <row r="924" spans="16:16" s="497" customFormat="1" ht="15">
      <c r="P924" s="447"/>
    </row>
    <row r="925" spans="16:16" s="497" customFormat="1" ht="15">
      <c r="P925" s="447"/>
    </row>
    <row r="926" spans="16:16" s="497" customFormat="1" ht="15">
      <c r="P926" s="447"/>
    </row>
    <row r="927" spans="16:16" s="497" customFormat="1" ht="15">
      <c r="P927" s="447"/>
    </row>
    <row r="928" spans="16:16" s="497" customFormat="1" ht="15">
      <c r="P928" s="447"/>
    </row>
    <row r="929" spans="16:16" s="497" customFormat="1" ht="15">
      <c r="P929" s="447"/>
    </row>
    <row r="930" spans="16:16" s="497" customFormat="1" ht="15">
      <c r="P930" s="447"/>
    </row>
    <row r="931" spans="16:16" s="497" customFormat="1" ht="15">
      <c r="P931" s="447"/>
    </row>
    <row r="932" spans="16:16" s="497" customFormat="1" ht="15">
      <c r="P932" s="447"/>
    </row>
    <row r="933" spans="16:16" s="497" customFormat="1" ht="15">
      <c r="P933" s="447"/>
    </row>
    <row r="934" spans="16:16" s="497" customFormat="1" ht="15">
      <c r="P934" s="447"/>
    </row>
    <row r="935" spans="16:16" s="497" customFormat="1" ht="15">
      <c r="P935" s="447"/>
    </row>
    <row r="936" spans="16:16" s="497" customFormat="1" ht="15">
      <c r="P936" s="447"/>
    </row>
    <row r="937" spans="16:16" s="497" customFormat="1" ht="15">
      <c r="P937" s="447"/>
    </row>
    <row r="938" spans="16:16" s="497" customFormat="1" ht="15">
      <c r="P938" s="447"/>
    </row>
    <row r="939" spans="16:16" s="497" customFormat="1" ht="15">
      <c r="P939" s="447"/>
    </row>
    <row r="940" spans="16:16" s="497" customFormat="1" ht="15">
      <c r="P940" s="447"/>
    </row>
    <row r="941" spans="16:16" s="497" customFormat="1" ht="15">
      <c r="P941" s="447"/>
    </row>
    <row r="942" spans="16:16" s="497" customFormat="1" ht="15">
      <c r="P942" s="447"/>
    </row>
    <row r="943" spans="16:16" s="497" customFormat="1" ht="15">
      <c r="P943" s="447"/>
    </row>
    <row r="944" spans="16:16" s="497" customFormat="1" ht="15">
      <c r="P944" s="447"/>
    </row>
    <row r="945" spans="16:16" s="497" customFormat="1" ht="15">
      <c r="P945" s="447"/>
    </row>
    <row r="946" spans="16:16" s="497" customFormat="1" ht="15">
      <c r="P946" s="447"/>
    </row>
    <row r="947" spans="16:16" s="497" customFormat="1" ht="15">
      <c r="P947" s="447"/>
    </row>
    <row r="948" spans="16:16" s="497" customFormat="1" ht="15">
      <c r="P948" s="447"/>
    </row>
    <row r="949" spans="16:16" s="497" customFormat="1" ht="15">
      <c r="P949" s="447"/>
    </row>
    <row r="950" spans="16:16" s="497" customFormat="1" ht="15">
      <c r="P950" s="447"/>
    </row>
    <row r="951" spans="16:16" s="497" customFormat="1" ht="15">
      <c r="P951" s="447"/>
    </row>
    <row r="952" spans="16:16" s="497" customFormat="1" ht="15">
      <c r="P952" s="447"/>
    </row>
    <row r="953" spans="16:16" s="497" customFormat="1" ht="15">
      <c r="P953" s="447"/>
    </row>
    <row r="954" spans="16:16" s="497" customFormat="1" ht="15">
      <c r="P954" s="447"/>
    </row>
    <row r="955" spans="16:16" s="497" customFormat="1" ht="15">
      <c r="P955" s="447"/>
    </row>
    <row r="956" spans="16:16" s="497" customFormat="1" ht="15">
      <c r="P956" s="447"/>
    </row>
    <row r="957" spans="16:16" s="497" customFormat="1" ht="15">
      <c r="P957" s="447"/>
    </row>
    <row r="958" spans="16:16" s="497" customFormat="1" ht="15">
      <c r="P958" s="447"/>
    </row>
    <row r="959" spans="16:16" s="497" customFormat="1" ht="15">
      <c r="P959" s="447"/>
    </row>
    <row r="960" spans="16:16" s="497" customFormat="1" ht="15">
      <c r="P960" s="447"/>
    </row>
    <row r="961" spans="16:16" s="497" customFormat="1" ht="15">
      <c r="P961" s="447"/>
    </row>
    <row r="962" spans="16:16" s="497" customFormat="1" ht="15">
      <c r="P962" s="447"/>
    </row>
    <row r="963" spans="16:16" s="497" customFormat="1" ht="15">
      <c r="P963" s="447"/>
    </row>
    <row r="964" spans="16:16" s="497" customFormat="1" ht="15">
      <c r="P964" s="447"/>
    </row>
    <row r="965" spans="16:16" s="497" customFormat="1" ht="15">
      <c r="P965" s="447"/>
    </row>
    <row r="966" spans="16:16" s="497" customFormat="1" ht="15">
      <c r="P966" s="447"/>
    </row>
    <row r="967" spans="16:16" s="497" customFormat="1" ht="15">
      <c r="P967" s="447"/>
    </row>
    <row r="968" spans="16:16" s="497" customFormat="1" ht="15">
      <c r="P968" s="447"/>
    </row>
    <row r="969" spans="16:16" s="497" customFormat="1" ht="15">
      <c r="P969" s="447"/>
    </row>
    <row r="970" spans="16:16" s="497" customFormat="1" ht="15">
      <c r="P970" s="447"/>
    </row>
    <row r="971" spans="16:16" s="497" customFormat="1" ht="15">
      <c r="P971" s="447"/>
    </row>
    <row r="972" spans="16:16" s="497" customFormat="1" ht="15">
      <c r="P972" s="447"/>
    </row>
    <row r="973" spans="16:16" s="497" customFormat="1" ht="15">
      <c r="P973" s="447"/>
    </row>
    <row r="974" spans="16:16" s="497" customFormat="1" ht="15">
      <c r="P974" s="447"/>
    </row>
    <row r="975" spans="16:16" s="497" customFormat="1" ht="15">
      <c r="P975" s="447"/>
    </row>
    <row r="976" spans="16:16" s="497" customFormat="1" ht="15">
      <c r="P976" s="447"/>
    </row>
    <row r="977" spans="16:16" s="497" customFormat="1" ht="15">
      <c r="P977" s="447"/>
    </row>
    <row r="978" spans="16:16" s="497" customFormat="1" ht="15">
      <c r="P978" s="447"/>
    </row>
    <row r="979" spans="16:16" s="497" customFormat="1" ht="15">
      <c r="P979" s="447"/>
    </row>
    <row r="980" spans="16:16" s="497" customFormat="1" ht="15">
      <c r="P980" s="447"/>
    </row>
    <row r="981" spans="16:16" s="497" customFormat="1" ht="15">
      <c r="P981" s="447"/>
    </row>
    <row r="982" spans="16:16" s="497" customFormat="1" ht="15">
      <c r="P982" s="447"/>
    </row>
    <row r="983" spans="16:16" s="497" customFormat="1" ht="15">
      <c r="P983" s="447"/>
    </row>
    <row r="984" spans="16:16" s="497" customFormat="1" ht="15">
      <c r="P984" s="447"/>
    </row>
    <row r="985" spans="16:16" s="497" customFormat="1" ht="15">
      <c r="P985" s="447"/>
    </row>
    <row r="986" spans="16:16" s="497" customFormat="1" ht="15">
      <c r="P986" s="447"/>
    </row>
    <row r="987" spans="16:16" s="497" customFormat="1" ht="15">
      <c r="P987" s="447"/>
    </row>
    <row r="988" spans="16:16" s="497" customFormat="1" ht="15">
      <c r="P988" s="447"/>
    </row>
    <row r="989" spans="16:16" s="497" customFormat="1" ht="15">
      <c r="P989" s="447"/>
    </row>
    <row r="990" spans="16:16" s="497" customFormat="1" ht="15">
      <c r="P990" s="447"/>
    </row>
    <row r="991" spans="16:16" s="497" customFormat="1" ht="15">
      <c r="P991" s="447"/>
    </row>
    <row r="992" spans="16:16" s="497" customFormat="1" ht="15">
      <c r="P992" s="447"/>
    </row>
    <row r="993" spans="16:16" s="497" customFormat="1" ht="15">
      <c r="P993" s="447"/>
    </row>
    <row r="994" spans="16:16" s="497" customFormat="1" ht="15">
      <c r="P994" s="447"/>
    </row>
    <row r="995" spans="16:16" s="497" customFormat="1" ht="15">
      <c r="P995" s="447"/>
    </row>
    <row r="996" spans="16:16" s="497" customFormat="1" ht="15">
      <c r="P996" s="447"/>
    </row>
    <row r="997" spans="16:16" s="497" customFormat="1" ht="15">
      <c r="P997" s="447"/>
    </row>
    <row r="998" spans="16:16" s="497" customFormat="1" ht="15">
      <c r="P998" s="447"/>
    </row>
    <row r="999" spans="16:16" s="497" customFormat="1" ht="15">
      <c r="P999" s="447"/>
    </row>
    <row r="1000" spans="16:16" s="497" customFormat="1" ht="15">
      <c r="P1000" s="447"/>
    </row>
    <row r="1001" spans="16:16" s="497" customFormat="1" ht="15">
      <c r="P1001" s="447"/>
    </row>
    <row r="1002" spans="16:16" s="497" customFormat="1" ht="15">
      <c r="P1002" s="447"/>
    </row>
    <row r="1003" spans="16:16" s="497" customFormat="1" ht="15">
      <c r="P1003" s="447"/>
    </row>
    <row r="1004" spans="16:16" s="497" customFormat="1" ht="15">
      <c r="P1004" s="447"/>
    </row>
    <row r="1005" spans="16:16" s="497" customFormat="1" ht="15">
      <c r="P1005" s="447"/>
    </row>
    <row r="1006" spans="16:16" s="497" customFormat="1" ht="15">
      <c r="P1006" s="447"/>
    </row>
    <row r="1007" spans="16:16" s="497" customFormat="1" ht="15">
      <c r="P1007" s="447"/>
    </row>
    <row r="1008" spans="16:16" s="497" customFormat="1" ht="15">
      <c r="P1008" s="447"/>
    </row>
    <row r="1009" spans="16:16" s="497" customFormat="1" ht="15">
      <c r="P1009" s="447"/>
    </row>
    <row r="1010" spans="16:16" s="497" customFormat="1" ht="15">
      <c r="P1010" s="447"/>
    </row>
    <row r="1011" spans="16:16" s="497" customFormat="1" ht="15">
      <c r="P1011" s="447"/>
    </row>
    <row r="1012" spans="16:16" s="497" customFormat="1" ht="15">
      <c r="P1012" s="447"/>
    </row>
    <row r="1013" spans="16:16" s="497" customFormat="1" ht="15">
      <c r="P1013" s="447"/>
    </row>
    <row r="1014" spans="16:16" s="497" customFormat="1" ht="15">
      <c r="P1014" s="447"/>
    </row>
    <row r="1015" spans="16:16" s="497" customFormat="1" ht="15">
      <c r="P1015" s="447"/>
    </row>
    <row r="1016" spans="16:16" s="497" customFormat="1" ht="15">
      <c r="P1016" s="447"/>
    </row>
    <row r="1017" spans="16:16" s="497" customFormat="1" ht="15">
      <c r="P1017" s="447"/>
    </row>
    <row r="1018" spans="16:16" s="497" customFormat="1" ht="15">
      <c r="P1018" s="447"/>
    </row>
    <row r="1019" spans="16:16" s="497" customFormat="1" ht="15">
      <c r="P1019" s="447"/>
    </row>
    <row r="1020" spans="16:16" s="497" customFormat="1" ht="15">
      <c r="P1020" s="447"/>
    </row>
    <row r="1021" spans="16:16" s="497" customFormat="1" ht="15">
      <c r="P1021" s="447"/>
    </row>
    <row r="1022" spans="16:16" s="497" customFormat="1" ht="15">
      <c r="P1022" s="447"/>
    </row>
    <row r="1023" spans="16:16" s="497" customFormat="1" ht="15">
      <c r="P1023" s="447"/>
    </row>
    <row r="1024" spans="16:16" s="497" customFormat="1" ht="15">
      <c r="P1024" s="447"/>
    </row>
    <row r="1025" spans="16:16" s="497" customFormat="1" ht="15">
      <c r="P1025" s="447"/>
    </row>
    <row r="1026" spans="16:16" s="497" customFormat="1" ht="15">
      <c r="P1026" s="447"/>
    </row>
    <row r="1027" spans="16:16" s="497" customFormat="1" ht="15">
      <c r="P1027" s="447"/>
    </row>
    <row r="1028" spans="16:16" s="497" customFormat="1" ht="15">
      <c r="P1028" s="447"/>
    </row>
    <row r="1029" spans="16:16" s="497" customFormat="1" ht="15">
      <c r="P1029" s="447"/>
    </row>
    <row r="1030" spans="16:16" s="497" customFormat="1" ht="15">
      <c r="P1030" s="447"/>
    </row>
    <row r="1031" spans="16:16" s="497" customFormat="1" ht="15">
      <c r="P1031" s="447"/>
    </row>
    <row r="1032" spans="16:16" s="497" customFormat="1" ht="15">
      <c r="P1032" s="447"/>
    </row>
    <row r="1033" spans="16:16" s="497" customFormat="1" ht="15">
      <c r="P1033" s="447"/>
    </row>
    <row r="1034" spans="16:16" s="497" customFormat="1" ht="15">
      <c r="P1034" s="447"/>
    </row>
    <row r="1035" spans="16:16" s="497" customFormat="1" ht="15">
      <c r="P1035" s="447"/>
    </row>
    <row r="1036" spans="16:16" s="497" customFormat="1" ht="15">
      <c r="P1036" s="447"/>
    </row>
    <row r="1037" spans="16:16" s="497" customFormat="1" ht="15">
      <c r="P1037" s="447"/>
    </row>
    <row r="1038" spans="16:16" s="497" customFormat="1" ht="15">
      <c r="P1038" s="447"/>
    </row>
    <row r="1039" spans="16:16" s="497" customFormat="1" ht="15">
      <c r="P1039" s="447"/>
    </row>
    <row r="1040" spans="16:16" s="497" customFormat="1" ht="15">
      <c r="P1040" s="447"/>
    </row>
    <row r="1041" spans="16:16" s="497" customFormat="1" ht="15">
      <c r="P1041" s="447"/>
    </row>
    <row r="1042" spans="16:16" s="497" customFormat="1" ht="15">
      <c r="P1042" s="447"/>
    </row>
    <row r="1043" spans="16:16" s="497" customFormat="1" ht="15">
      <c r="P1043" s="447"/>
    </row>
    <row r="1044" spans="16:16" s="497" customFormat="1" ht="15">
      <c r="P1044" s="447"/>
    </row>
    <row r="1045" spans="16:16" s="497" customFormat="1" ht="15">
      <c r="P1045" s="447"/>
    </row>
    <row r="1046" spans="16:16" s="497" customFormat="1" ht="15">
      <c r="P1046" s="447"/>
    </row>
    <row r="1047" spans="16:16" s="497" customFormat="1" ht="15">
      <c r="P1047" s="447"/>
    </row>
    <row r="1048" spans="16:16" s="497" customFormat="1" ht="15">
      <c r="P1048" s="447"/>
    </row>
    <row r="1049" spans="16:16" s="497" customFormat="1" ht="15">
      <c r="P1049" s="447"/>
    </row>
    <row r="1050" spans="16:16" s="497" customFormat="1" ht="15">
      <c r="P1050" s="447"/>
    </row>
    <row r="1051" spans="16:16" s="497" customFormat="1" ht="15">
      <c r="P1051" s="447"/>
    </row>
    <row r="1052" spans="16:16" s="497" customFormat="1" ht="15">
      <c r="P1052" s="447"/>
    </row>
    <row r="1053" spans="16:16" s="497" customFormat="1" ht="15">
      <c r="P1053" s="447"/>
    </row>
    <row r="1054" spans="16:16" s="497" customFormat="1" ht="15">
      <c r="P1054" s="447"/>
    </row>
    <row r="1055" spans="16:16" s="497" customFormat="1" ht="15">
      <c r="P1055" s="447"/>
    </row>
    <row r="1056" spans="16:16" s="497" customFormat="1" ht="15">
      <c r="P1056" s="447"/>
    </row>
    <row r="1057" spans="16:16" s="497" customFormat="1" ht="15">
      <c r="P1057" s="447"/>
    </row>
    <row r="1058" spans="16:16" s="497" customFormat="1" ht="15">
      <c r="P1058" s="447"/>
    </row>
    <row r="1059" spans="16:16" s="497" customFormat="1" ht="15">
      <c r="P1059" s="447"/>
    </row>
    <row r="1060" spans="16:16" s="497" customFormat="1" ht="15">
      <c r="P1060" s="447"/>
    </row>
    <row r="1061" spans="16:16" s="497" customFormat="1" ht="15">
      <c r="P1061" s="447"/>
    </row>
    <row r="1062" spans="16:16" s="497" customFormat="1" ht="15">
      <c r="P1062" s="447"/>
    </row>
    <row r="1063" spans="16:16" s="497" customFormat="1" ht="15">
      <c r="P1063" s="447"/>
    </row>
    <row r="1064" spans="16:16" s="497" customFormat="1" ht="15">
      <c r="P1064" s="447"/>
    </row>
    <row r="1065" spans="16:16" s="497" customFormat="1" ht="15">
      <c r="P1065" s="447"/>
    </row>
    <row r="1066" spans="16:16" s="497" customFormat="1" ht="15">
      <c r="P1066" s="447"/>
    </row>
    <row r="1067" spans="16:16" s="497" customFormat="1" ht="15">
      <c r="P1067" s="447"/>
    </row>
    <row r="1068" spans="16:16" s="497" customFormat="1" ht="15">
      <c r="P1068" s="447"/>
    </row>
    <row r="1069" spans="16:16" s="497" customFormat="1" ht="15">
      <c r="P1069" s="447"/>
    </row>
    <row r="1070" spans="16:16" s="497" customFormat="1" ht="15">
      <c r="P1070" s="447"/>
    </row>
    <row r="1071" spans="16:16" s="497" customFormat="1" ht="15">
      <c r="P1071" s="447"/>
    </row>
    <row r="1072" spans="16:16" s="497" customFormat="1" ht="15">
      <c r="P1072" s="447"/>
    </row>
    <row r="1073" spans="16:16" s="497" customFormat="1" ht="15">
      <c r="P1073" s="447"/>
    </row>
    <row r="1074" spans="16:16" s="497" customFormat="1" ht="15">
      <c r="P1074" s="447"/>
    </row>
    <row r="1075" spans="16:16" s="497" customFormat="1" ht="15">
      <c r="P1075" s="447"/>
    </row>
    <row r="1076" spans="16:16" s="497" customFormat="1" ht="15">
      <c r="P1076" s="447"/>
    </row>
    <row r="1077" spans="16:16" s="497" customFormat="1" ht="15">
      <c r="P1077" s="447"/>
    </row>
    <row r="1078" spans="16:16" s="497" customFormat="1" ht="15">
      <c r="P1078" s="447"/>
    </row>
    <row r="1079" spans="16:16" s="497" customFormat="1" ht="15">
      <c r="P1079" s="447"/>
    </row>
    <row r="1080" spans="16:16" s="497" customFormat="1" ht="15">
      <c r="P1080" s="447"/>
    </row>
    <row r="1081" spans="16:16" s="497" customFormat="1" ht="15">
      <c r="P1081" s="447"/>
    </row>
    <row r="1082" spans="16:16" s="497" customFormat="1" ht="15">
      <c r="P1082" s="447"/>
    </row>
    <row r="1083" spans="16:16" s="497" customFormat="1" ht="15">
      <c r="P1083" s="447"/>
    </row>
    <row r="1084" spans="16:16" s="497" customFormat="1" ht="15">
      <c r="P1084" s="447"/>
    </row>
    <row r="1085" spans="16:16" s="497" customFormat="1" ht="15">
      <c r="P1085" s="447"/>
    </row>
    <row r="1086" spans="16:16" s="497" customFormat="1" ht="15">
      <c r="P1086" s="447"/>
    </row>
    <row r="1087" spans="16:16" s="497" customFormat="1" ht="15">
      <c r="P1087" s="447"/>
    </row>
    <row r="1088" spans="16:16" s="497" customFormat="1" ht="15">
      <c r="P1088" s="447"/>
    </row>
    <row r="1089" spans="16:16" s="497" customFormat="1" ht="15">
      <c r="P1089" s="447"/>
    </row>
    <row r="1090" spans="16:16" s="497" customFormat="1" ht="15">
      <c r="P1090" s="447"/>
    </row>
    <row r="1091" spans="16:16" s="497" customFormat="1" ht="15">
      <c r="P1091" s="447"/>
    </row>
    <row r="1092" spans="16:16" s="497" customFormat="1" ht="15">
      <c r="P1092" s="447"/>
    </row>
    <row r="1093" spans="16:16" s="497" customFormat="1" ht="15">
      <c r="P1093" s="447"/>
    </row>
    <row r="1094" spans="16:16" s="497" customFormat="1" ht="15">
      <c r="P1094" s="447"/>
    </row>
    <row r="1095" spans="16:16" s="497" customFormat="1" ht="15">
      <c r="P1095" s="447"/>
    </row>
    <row r="1096" spans="16:16" s="497" customFormat="1" ht="15">
      <c r="P1096" s="447"/>
    </row>
    <row r="1097" spans="16:16" s="497" customFormat="1" ht="15">
      <c r="P1097" s="447"/>
    </row>
    <row r="1098" spans="16:16" s="497" customFormat="1" ht="15">
      <c r="P1098" s="447"/>
    </row>
    <row r="1099" spans="16:16" s="497" customFormat="1" ht="15">
      <c r="P1099" s="447"/>
    </row>
    <row r="1100" spans="16:16" s="497" customFormat="1" ht="15">
      <c r="P1100" s="447"/>
    </row>
    <row r="1101" spans="16:16" s="497" customFormat="1" ht="15">
      <c r="P1101" s="447"/>
    </row>
    <row r="1102" spans="16:16" s="497" customFormat="1" ht="15">
      <c r="P1102" s="447"/>
    </row>
    <row r="1103" spans="16:16" s="497" customFormat="1" ht="15">
      <c r="P1103" s="447"/>
    </row>
    <row r="1104" spans="16:16" s="497" customFormat="1" ht="15">
      <c r="P1104" s="447"/>
    </row>
    <row r="1105" spans="16:16" s="497" customFormat="1" ht="15">
      <c r="P1105" s="447"/>
    </row>
    <row r="1106" spans="16:16" s="497" customFormat="1" ht="15">
      <c r="P1106" s="447"/>
    </row>
    <row r="1107" spans="16:16" s="497" customFormat="1" ht="15">
      <c r="P1107" s="447"/>
    </row>
    <row r="1108" spans="16:16" s="497" customFormat="1" ht="15">
      <c r="P1108" s="447"/>
    </row>
    <row r="1109" spans="16:16" s="497" customFormat="1" ht="15">
      <c r="P1109" s="447"/>
    </row>
    <row r="1110" spans="16:16" s="497" customFormat="1" ht="15">
      <c r="P1110" s="447"/>
    </row>
    <row r="1111" spans="16:16" s="497" customFormat="1" ht="15">
      <c r="P1111" s="447"/>
    </row>
    <row r="1112" spans="16:16" s="497" customFormat="1" ht="15">
      <c r="P1112" s="447"/>
    </row>
    <row r="1113" spans="16:16" s="497" customFormat="1" ht="15">
      <c r="P1113" s="447"/>
    </row>
    <row r="1114" spans="16:16" s="497" customFormat="1" ht="15">
      <c r="P1114" s="447"/>
    </row>
    <row r="1115" spans="16:16" s="497" customFormat="1" ht="15">
      <c r="P1115" s="447"/>
    </row>
    <row r="1116" spans="16:16" s="497" customFormat="1" ht="15">
      <c r="P1116" s="447"/>
    </row>
    <row r="1117" spans="16:16" s="497" customFormat="1" ht="15">
      <c r="P1117" s="447"/>
    </row>
    <row r="1118" spans="16:16" s="497" customFormat="1" ht="15">
      <c r="P1118" s="447"/>
    </row>
    <row r="1119" spans="16:16" s="497" customFormat="1" ht="15">
      <c r="P1119" s="447"/>
    </row>
    <row r="1120" spans="16:16" s="497" customFormat="1" ht="15">
      <c r="P1120" s="447"/>
    </row>
    <row r="1121" spans="16:20" s="497" customFormat="1" ht="15">
      <c r="P1121" s="447"/>
    </row>
    <row r="1122" spans="16:20" s="497" customFormat="1" ht="15">
      <c r="P1122" s="447"/>
    </row>
    <row r="1123" spans="16:20" s="497" customFormat="1" ht="15">
      <c r="P1123" s="447"/>
    </row>
    <row r="1124" spans="16:20" s="497" customFormat="1" ht="15">
      <c r="P1124" s="447"/>
    </row>
    <row r="1125" spans="16:20" s="497" customFormat="1" ht="15">
      <c r="P1125" s="447"/>
    </row>
    <row r="1126" spans="16:20" s="497" customFormat="1" ht="15">
      <c r="P1126" s="447"/>
    </row>
    <row r="1127" spans="16:20" s="497" customFormat="1" ht="15">
      <c r="P1127" s="447"/>
    </row>
    <row r="1128" spans="16:20" s="497" customFormat="1" ht="15">
      <c r="P1128" s="447"/>
    </row>
    <row r="1129" spans="16:20" s="497" customFormat="1" ht="15">
      <c r="P1129" s="447"/>
      <c r="Q1129" s="473"/>
      <c r="R1129" s="473"/>
      <c r="S1129" s="473"/>
      <c r="T1129" s="473"/>
    </row>
    <row r="1130" spans="16:20" s="497" customFormat="1" ht="15">
      <c r="P1130" s="447"/>
      <c r="Q1130" s="473"/>
      <c r="R1130" s="473"/>
      <c r="S1130" s="473"/>
      <c r="T1130" s="473"/>
    </row>
    <row r="1131" spans="16:20" s="497" customFormat="1" ht="15">
      <c r="P1131" s="447"/>
      <c r="Q1131" s="473"/>
      <c r="R1131" s="473"/>
      <c r="S1131" s="473"/>
      <c r="T1131" s="473"/>
    </row>
    <row r="1132" spans="16:20" s="497" customFormat="1" ht="15">
      <c r="P1132" s="447"/>
      <c r="Q1132" s="473"/>
      <c r="R1132" s="473"/>
      <c r="S1132" s="473"/>
      <c r="T1132" s="473"/>
    </row>
    <row r="1133" spans="16:20" s="497" customFormat="1" ht="15">
      <c r="P1133" s="447"/>
      <c r="Q1133" s="473"/>
      <c r="R1133" s="473"/>
      <c r="S1133" s="473"/>
      <c r="T1133" s="473"/>
    </row>
    <row r="1134" spans="16:20" s="497" customFormat="1" ht="15">
      <c r="P1134" s="447"/>
      <c r="Q1134" s="473"/>
      <c r="R1134" s="473"/>
      <c r="S1134" s="473"/>
      <c r="T1134" s="473"/>
    </row>
    <row r="1135" spans="16:20" s="497" customFormat="1" ht="15">
      <c r="P1135" s="447"/>
      <c r="Q1135" s="473"/>
      <c r="R1135" s="473"/>
      <c r="S1135" s="473"/>
      <c r="T1135" s="473"/>
    </row>
    <row r="1136" spans="16:20" s="497" customFormat="1" ht="15">
      <c r="P1136" s="447"/>
      <c r="Q1136" s="473"/>
      <c r="R1136" s="473"/>
      <c r="S1136" s="473"/>
      <c r="T1136" s="473"/>
    </row>
    <row r="1137" spans="16:20" s="497" customFormat="1" ht="15">
      <c r="P1137" s="447"/>
      <c r="Q1137" s="473"/>
      <c r="R1137" s="473"/>
      <c r="S1137" s="473"/>
      <c r="T1137" s="473"/>
    </row>
    <row r="1138" spans="16:20" s="497" customFormat="1" ht="15">
      <c r="P1138" s="447"/>
      <c r="Q1138" s="473"/>
      <c r="R1138" s="473"/>
      <c r="S1138" s="473"/>
      <c r="T1138" s="473"/>
    </row>
    <row r="1139" spans="16:20" s="497" customFormat="1" ht="15">
      <c r="P1139" s="447"/>
      <c r="Q1139" s="473"/>
      <c r="R1139" s="473"/>
      <c r="S1139" s="473"/>
      <c r="T1139" s="473"/>
    </row>
    <row r="1140" spans="16:20" s="497" customFormat="1" ht="15">
      <c r="P1140" s="447"/>
      <c r="Q1140" s="473"/>
      <c r="R1140" s="473"/>
      <c r="S1140" s="473"/>
      <c r="T1140" s="473"/>
    </row>
    <row r="1141" spans="16:20" s="497" customFormat="1" ht="15">
      <c r="P1141" s="447"/>
      <c r="Q1141" s="473"/>
      <c r="R1141" s="473"/>
      <c r="S1141" s="473"/>
      <c r="T1141" s="473"/>
    </row>
    <row r="1142" spans="16:20" s="497" customFormat="1" ht="15">
      <c r="P1142" s="447"/>
      <c r="Q1142" s="473"/>
      <c r="R1142" s="473"/>
      <c r="S1142" s="473"/>
      <c r="T1142" s="473"/>
    </row>
    <row r="1143" spans="16:20" s="497" customFormat="1" ht="15">
      <c r="P1143" s="447"/>
      <c r="Q1143" s="473"/>
      <c r="R1143" s="473"/>
      <c r="S1143" s="473"/>
      <c r="T1143" s="473"/>
    </row>
    <row r="1144" spans="16:20" s="497" customFormat="1" ht="15">
      <c r="P1144" s="447"/>
      <c r="Q1144" s="473"/>
      <c r="R1144" s="473"/>
      <c r="S1144" s="473"/>
      <c r="T1144" s="473"/>
    </row>
    <row r="1145" spans="16:20" s="497" customFormat="1" ht="15">
      <c r="P1145" s="447"/>
      <c r="Q1145" s="473"/>
      <c r="R1145" s="473"/>
      <c r="S1145" s="473"/>
      <c r="T1145" s="473"/>
    </row>
    <row r="1146" spans="16:20" s="497" customFormat="1" ht="15">
      <c r="P1146" s="447"/>
      <c r="Q1146" s="473"/>
      <c r="R1146" s="473"/>
      <c r="S1146" s="473"/>
      <c r="T1146" s="473"/>
    </row>
    <row r="1147" spans="16:20" s="497" customFormat="1" ht="15">
      <c r="P1147" s="447"/>
      <c r="Q1147" s="473"/>
      <c r="R1147" s="473"/>
      <c r="S1147" s="473"/>
      <c r="T1147" s="473"/>
    </row>
    <row r="1148" spans="16:20" s="497" customFormat="1" ht="15">
      <c r="P1148" s="447"/>
      <c r="Q1148" s="473"/>
      <c r="R1148" s="473"/>
      <c r="S1148" s="473"/>
      <c r="T1148" s="473"/>
    </row>
    <row r="1149" spans="16:20" s="497" customFormat="1" ht="15">
      <c r="P1149" s="447"/>
      <c r="Q1149" s="473"/>
      <c r="R1149" s="473"/>
      <c r="S1149" s="473"/>
      <c r="T1149" s="473"/>
    </row>
    <row r="1150" spans="16:20" s="497" customFormat="1" ht="15">
      <c r="P1150" s="447"/>
      <c r="Q1150" s="473"/>
      <c r="R1150" s="473"/>
      <c r="S1150" s="473"/>
      <c r="T1150" s="473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>
    <tabColor rgb="FF002060"/>
  </sheetPr>
  <dimension ref="A1:T1162"/>
  <sheetViews>
    <sheetView workbookViewId="0">
      <selection activeCell="V26" sqref="V26"/>
    </sheetView>
  </sheetViews>
  <sheetFormatPr defaultRowHeight="12.75"/>
  <cols>
    <col min="1" max="4" width="9.140625" style="443"/>
    <col min="5" max="6" width="5.140625" style="458" customWidth="1"/>
    <col min="7" max="7" width="6" style="458" customWidth="1"/>
    <col min="8" max="14" width="5.140625" style="458" customWidth="1"/>
    <col min="15" max="15" width="9.140625" style="443"/>
    <col min="16" max="16" width="9.140625" style="497"/>
    <col min="17" max="20" width="9.140625" style="473"/>
    <col min="21" max="16384" width="9.140625" style="497"/>
  </cols>
  <sheetData>
    <row r="1" spans="1:20" s="443" customFormat="1" ht="38.25">
      <c r="A1" s="495" t="s">
        <v>693</v>
      </c>
      <c r="E1" s="458"/>
      <c r="F1" s="458"/>
      <c r="G1" s="458"/>
      <c r="H1" s="458"/>
      <c r="I1" s="458"/>
      <c r="J1" s="458"/>
      <c r="K1" s="458"/>
      <c r="L1" s="458"/>
      <c r="M1" s="458"/>
      <c r="N1" s="458"/>
      <c r="Q1" s="496" t="s">
        <v>689</v>
      </c>
      <c r="R1" s="496" t="s">
        <v>524</v>
      </c>
      <c r="S1" s="496" t="s">
        <v>690</v>
      </c>
      <c r="T1" s="496" t="s">
        <v>74</v>
      </c>
    </row>
    <row r="2" spans="1:20" ht="15">
      <c r="B2" s="445" t="s">
        <v>421</v>
      </c>
      <c r="C2" s="445"/>
      <c r="D2" s="445"/>
      <c r="F2" s="446" t="s">
        <v>422</v>
      </c>
      <c r="G2" s="446" t="s">
        <v>423</v>
      </c>
      <c r="P2" s="447"/>
      <c r="Q2" s="447" t="s">
        <v>456</v>
      </c>
      <c r="R2" s="447" t="s">
        <v>457</v>
      </c>
      <c r="S2" s="447" t="s">
        <v>425</v>
      </c>
      <c r="T2" s="447" t="s">
        <v>460</v>
      </c>
    </row>
    <row r="3" spans="1:20" ht="15">
      <c r="B3" s="443" t="s">
        <v>426</v>
      </c>
      <c r="C3" s="448">
        <v>4</v>
      </c>
      <c r="D3" s="449" t="s">
        <v>427</v>
      </c>
      <c r="F3" s="446">
        <f>MIN(XX_value)</f>
        <v>0</v>
      </c>
      <c r="G3" s="446">
        <f>MAX(XX_value)</f>
        <v>100</v>
      </c>
      <c r="P3" s="447"/>
      <c r="Q3" s="450">
        <v>0</v>
      </c>
      <c r="R3" s="450">
        <v>0</v>
      </c>
      <c r="S3" s="450">
        <v>0</v>
      </c>
      <c r="T3" s="443">
        <v>1.5</v>
      </c>
    </row>
    <row r="4" spans="1:20" ht="15">
      <c r="B4" s="443" t="s">
        <v>430</v>
      </c>
      <c r="C4" s="448">
        <v>300</v>
      </c>
      <c r="D4" s="449" t="s">
        <v>427</v>
      </c>
      <c r="F4" s="446">
        <f>MIN(YY_value)</f>
        <v>0</v>
      </c>
      <c r="G4" s="446">
        <f>MAX(YY_value)</f>
        <v>100</v>
      </c>
      <c r="P4" s="447"/>
      <c r="Q4" s="450">
        <v>0</v>
      </c>
      <c r="R4" s="450">
        <v>0</v>
      </c>
      <c r="S4" s="450">
        <v>0.05</v>
      </c>
      <c r="T4" s="443">
        <v>1.5</v>
      </c>
    </row>
    <row r="5" spans="1:20" ht="15">
      <c r="B5" s="443" t="s">
        <v>390</v>
      </c>
      <c r="C5" s="448">
        <v>0.14508785881222142</v>
      </c>
      <c r="D5" s="449" t="s">
        <v>427</v>
      </c>
      <c r="F5" s="446">
        <f>MIN(ZZ_value)</f>
        <v>0</v>
      </c>
      <c r="G5" s="446">
        <f>MAX(ZZ_value)</f>
        <v>1</v>
      </c>
      <c r="P5" s="447"/>
      <c r="Q5" s="450">
        <v>0</v>
      </c>
      <c r="R5" s="450">
        <v>0</v>
      </c>
      <c r="S5" s="450">
        <v>0.1</v>
      </c>
      <c r="T5" s="443">
        <v>1.5</v>
      </c>
    </row>
    <row r="6" spans="1:20" ht="15">
      <c r="G6" s="446"/>
      <c r="P6" s="447"/>
      <c r="Q6" s="450">
        <v>0</v>
      </c>
      <c r="R6" s="450">
        <v>0</v>
      </c>
      <c r="S6" s="450">
        <v>0.15</v>
      </c>
      <c r="T6" s="443">
        <v>1.5</v>
      </c>
    </row>
    <row r="7" spans="1:20" ht="15">
      <c r="B7" s="445" t="s">
        <v>424</v>
      </c>
      <c r="C7" s="445"/>
      <c r="D7" s="445"/>
      <c r="P7" s="447"/>
      <c r="Q7" s="450">
        <v>0</v>
      </c>
      <c r="R7" s="450">
        <v>0</v>
      </c>
      <c r="S7" s="450">
        <v>0.2</v>
      </c>
      <c r="T7" s="443">
        <v>1.5</v>
      </c>
    </row>
    <row r="8" spans="1:20" ht="15">
      <c r="B8" s="443" t="s">
        <v>461</v>
      </c>
      <c r="C8" s="468">
        <f>SUMPRODUCT(D37:D44,D46:D53)</f>
        <v>3.0000000000000018</v>
      </c>
      <c r="D8" s="449" t="s">
        <v>427</v>
      </c>
      <c r="P8" s="447"/>
      <c r="Q8" s="450">
        <v>0</v>
      </c>
      <c r="R8" s="450">
        <v>0</v>
      </c>
      <c r="S8" s="450">
        <v>1</v>
      </c>
      <c r="T8" s="443">
        <v>1.5</v>
      </c>
    </row>
    <row r="9" spans="1:20" ht="15">
      <c r="P9" s="447"/>
      <c r="Q9" s="450">
        <v>0</v>
      </c>
      <c r="R9" s="450">
        <v>6.4</v>
      </c>
      <c r="S9" s="450">
        <v>0</v>
      </c>
      <c r="T9" s="443">
        <v>1.5</v>
      </c>
    </row>
    <row r="10" spans="1:20" ht="15">
      <c r="B10" s="445" t="s">
        <v>431</v>
      </c>
      <c r="C10" s="445"/>
      <c r="D10" s="445"/>
      <c r="F10" s="446"/>
      <c r="P10" s="447"/>
      <c r="Q10" s="450">
        <v>0</v>
      </c>
      <c r="R10" s="450">
        <v>6.4</v>
      </c>
      <c r="S10" s="450">
        <v>0.05</v>
      </c>
      <c r="T10" s="443">
        <v>1.5</v>
      </c>
    </row>
    <row r="11" spans="1:20" ht="15">
      <c r="B11" s="443" t="s">
        <v>433</v>
      </c>
      <c r="C11" s="450">
        <f>INDEX(XX_value,MATCH(XX,XX_value,1))</f>
        <v>4</v>
      </c>
      <c r="D11" s="449" t="s">
        <v>427</v>
      </c>
      <c r="F11" s="446"/>
      <c r="P11" s="447"/>
      <c r="Q11" s="450">
        <v>0</v>
      </c>
      <c r="R11" s="450">
        <v>6.4</v>
      </c>
      <c r="S11" s="450">
        <v>0.1</v>
      </c>
      <c r="T11" s="443">
        <v>1.5</v>
      </c>
    </row>
    <row r="12" spans="1:20" ht="15">
      <c r="B12" s="443" t="s">
        <v>434</v>
      </c>
      <c r="C12" s="450">
        <f>INDEX(XX_value,MATCH(XX,XX_value,1)+1)</f>
        <v>4.99</v>
      </c>
      <c r="D12" s="449" t="s">
        <v>427</v>
      </c>
      <c r="F12" s="446"/>
      <c r="P12" s="447"/>
      <c r="Q12" s="450">
        <v>0</v>
      </c>
      <c r="R12" s="450">
        <v>6.4</v>
      </c>
      <c r="S12" s="450">
        <v>0.15</v>
      </c>
      <c r="T12" s="443">
        <v>1.5</v>
      </c>
    </row>
    <row r="13" spans="1:20" ht="15">
      <c r="B13" s="443" t="s">
        <v>435</v>
      </c>
      <c r="C13" s="450">
        <f>INDEX(YY_value,MATCH(YY,YY_value,1))</f>
        <v>100</v>
      </c>
      <c r="D13" s="449" t="s">
        <v>427</v>
      </c>
      <c r="F13" s="446"/>
      <c r="P13" s="447"/>
      <c r="Q13" s="450">
        <v>0</v>
      </c>
      <c r="R13" s="450">
        <v>6.4</v>
      </c>
      <c r="S13" s="450">
        <v>0.2</v>
      </c>
      <c r="T13" s="443">
        <v>1.5</v>
      </c>
    </row>
    <row r="14" spans="1:20" ht="15">
      <c r="B14" s="443" t="s">
        <v>436</v>
      </c>
      <c r="C14" s="450">
        <f>INDEX(YY_value,MATCH(YY,YY_value,1)+1)</f>
        <v>0</v>
      </c>
      <c r="D14" s="449" t="s">
        <v>427</v>
      </c>
      <c r="F14" s="446"/>
      <c r="P14" s="447"/>
      <c r="Q14" s="450">
        <v>0</v>
      </c>
      <c r="R14" s="450">
        <v>6.4</v>
      </c>
      <c r="S14" s="450">
        <v>1</v>
      </c>
      <c r="T14" s="443">
        <v>1.5</v>
      </c>
    </row>
    <row r="15" spans="1:20" ht="15">
      <c r="B15" s="443" t="s">
        <v>462</v>
      </c>
      <c r="C15" s="450">
        <f>INDEX(ZZ_value,MATCH(ZZ,ZZ_value,1))</f>
        <v>0.1</v>
      </c>
      <c r="D15" s="449" t="s">
        <v>427</v>
      </c>
      <c r="P15" s="447"/>
      <c r="Q15" s="450">
        <v>0</v>
      </c>
      <c r="R15" s="450">
        <v>6.4009999999999998</v>
      </c>
      <c r="S15" s="450">
        <v>0</v>
      </c>
      <c r="T15" s="443">
        <v>1.5</v>
      </c>
    </row>
    <row r="16" spans="1:20" ht="15">
      <c r="B16" s="443" t="s">
        <v>463</v>
      </c>
      <c r="C16" s="450">
        <f>INDEX(ZZ_value,MATCH(ZZ,ZZ_value,1)+1)</f>
        <v>0.15</v>
      </c>
      <c r="D16" s="449" t="s">
        <v>427</v>
      </c>
      <c r="F16" s="446" t="s">
        <v>432</v>
      </c>
      <c r="P16" s="447"/>
      <c r="Q16" s="450">
        <v>0</v>
      </c>
      <c r="R16" s="450">
        <v>6.4009999999999998</v>
      </c>
      <c r="S16" s="450">
        <v>0.05</v>
      </c>
      <c r="T16" s="443">
        <v>1.5</v>
      </c>
    </row>
    <row r="17" spans="2:20" s="497" customFormat="1" ht="15">
      <c r="B17" s="443" t="s">
        <v>464</v>
      </c>
      <c r="C17" s="469">
        <f t="shared" ref="C17" si="0">INDEX(TT_value,F17,0)</f>
        <v>2</v>
      </c>
      <c r="D17" s="449" t="s">
        <v>427</v>
      </c>
      <c r="E17" s="458"/>
      <c r="F17" s="446">
        <f t="array" ref="F17">MATCH(1,(XX_value=xx_1)*(YY_value=yy_1)*(ZZ_value=zz_1),0)</f>
        <v>47</v>
      </c>
      <c r="G17" s="458"/>
      <c r="H17" s="458"/>
      <c r="I17" s="458"/>
      <c r="J17" s="458"/>
      <c r="K17" s="458"/>
      <c r="L17" s="458"/>
      <c r="M17" s="458"/>
      <c r="N17" s="458"/>
      <c r="O17" s="443"/>
      <c r="P17" s="447"/>
      <c r="Q17" s="450">
        <v>0</v>
      </c>
      <c r="R17" s="450">
        <v>6.4009999999999998</v>
      </c>
      <c r="S17" s="450">
        <v>0.1</v>
      </c>
      <c r="T17" s="443">
        <v>1.5</v>
      </c>
    </row>
    <row r="18" spans="2:20" s="497" customFormat="1" ht="15">
      <c r="B18" s="443" t="s">
        <v>465</v>
      </c>
      <c r="C18" s="469">
        <f t="shared" ref="C18" si="1">INDEX(TT_value,F18,0)</f>
        <v>2</v>
      </c>
      <c r="D18" s="449" t="s">
        <v>427</v>
      </c>
      <c r="E18" s="458"/>
      <c r="F18" s="446">
        <f t="array" ref="F18">MATCH(1,(XX_value=xx_2)*(YY_value=yy_1)*(ZZ_value=zz_1),0)</f>
        <v>71</v>
      </c>
      <c r="G18" s="458"/>
      <c r="H18" s="458"/>
      <c r="I18" s="458"/>
      <c r="J18" s="458"/>
      <c r="K18" s="458"/>
      <c r="L18" s="458"/>
      <c r="M18" s="458"/>
      <c r="N18" s="458"/>
      <c r="O18" s="443"/>
      <c r="P18" s="447"/>
      <c r="Q18" s="450">
        <v>0</v>
      </c>
      <c r="R18" s="450">
        <v>6.4009999999999998</v>
      </c>
      <c r="S18" s="450">
        <v>0.15</v>
      </c>
      <c r="T18" s="443">
        <v>1.5</v>
      </c>
    </row>
    <row r="19" spans="2:20" s="497" customFormat="1" ht="15">
      <c r="B19" s="443" t="s">
        <v>466</v>
      </c>
      <c r="C19" s="469">
        <f t="shared" ref="C19" si="2">INDEX(TT_value,F19,0)</f>
        <v>1.5</v>
      </c>
      <c r="D19" s="449" t="s">
        <v>427</v>
      </c>
      <c r="E19" s="458"/>
      <c r="F19" s="446">
        <f t="array" ref="F19">MATCH(1,(XX_value=xx_1)*(YY_value=yy_2)*(ZZ_value=zz_1),0)</f>
        <v>29</v>
      </c>
      <c r="G19" s="458"/>
      <c r="H19" s="458"/>
      <c r="I19" s="458"/>
      <c r="J19" s="458"/>
      <c r="K19" s="458"/>
      <c r="L19" s="458"/>
      <c r="M19" s="458"/>
      <c r="N19" s="458"/>
      <c r="O19" s="443"/>
      <c r="P19" s="447"/>
      <c r="Q19" s="450">
        <v>0</v>
      </c>
      <c r="R19" s="450">
        <v>6.4009999999999998</v>
      </c>
      <c r="S19" s="450">
        <v>0.2</v>
      </c>
      <c r="T19" s="443">
        <v>1.5</v>
      </c>
    </row>
    <row r="20" spans="2:20" s="497" customFormat="1" ht="15">
      <c r="B20" s="443" t="s">
        <v>467</v>
      </c>
      <c r="C20" s="469">
        <f t="shared" ref="C20" si="3">INDEX(TT_value,F20,0)</f>
        <v>1.5</v>
      </c>
      <c r="D20" s="449" t="s">
        <v>427</v>
      </c>
      <c r="E20" s="458"/>
      <c r="F20" s="446">
        <f t="array" ref="F20">MATCH(1,(XX_value=xx_2)*(YY_value=yy_2)*(ZZ_value=zz_1),0)</f>
        <v>53</v>
      </c>
      <c r="G20" s="458"/>
      <c r="H20" s="458"/>
      <c r="I20" s="458"/>
      <c r="J20" s="458"/>
      <c r="K20" s="458"/>
      <c r="L20" s="458"/>
      <c r="M20" s="458"/>
      <c r="N20" s="458"/>
      <c r="O20" s="443"/>
      <c r="P20" s="447"/>
      <c r="Q20" s="450">
        <v>0</v>
      </c>
      <c r="R20" s="450">
        <v>6.4009999999999998</v>
      </c>
      <c r="S20" s="450">
        <v>1</v>
      </c>
      <c r="T20" s="443">
        <v>1.5</v>
      </c>
    </row>
    <row r="21" spans="2:20" s="497" customFormat="1" ht="15">
      <c r="B21" s="443" t="s">
        <v>468</v>
      </c>
      <c r="C21" s="469">
        <f t="shared" ref="C21" si="4">INDEX(TT_value,F21,0)</f>
        <v>2</v>
      </c>
      <c r="D21" s="449" t="s">
        <v>427</v>
      </c>
      <c r="E21" s="458"/>
      <c r="F21" s="446">
        <f t="array" ref="F21">MATCH(1,(XX_value=xx_1)*(YY_value=yy_1)*(ZZ_value=zz_2),0)</f>
        <v>48</v>
      </c>
      <c r="G21" s="458"/>
      <c r="H21" s="458"/>
      <c r="I21" s="458"/>
      <c r="J21" s="458"/>
      <c r="K21" s="458"/>
      <c r="L21" s="458"/>
      <c r="M21" s="458"/>
      <c r="N21" s="458"/>
      <c r="O21" s="443"/>
      <c r="P21" s="447"/>
      <c r="Q21" s="450">
        <v>0</v>
      </c>
      <c r="R21" s="450">
        <v>100</v>
      </c>
      <c r="S21" s="450">
        <v>0</v>
      </c>
      <c r="T21" s="443">
        <v>1.5</v>
      </c>
    </row>
    <row r="22" spans="2:20" s="497" customFormat="1" ht="15">
      <c r="B22" s="443" t="s">
        <v>469</v>
      </c>
      <c r="C22" s="469">
        <f t="shared" ref="C22" si="5">INDEX(TT_value,F22,0)</f>
        <v>2</v>
      </c>
      <c r="D22" s="449" t="s">
        <v>427</v>
      </c>
      <c r="E22" s="458"/>
      <c r="F22" s="446">
        <f t="array" ref="F22">MATCH(1,(XX_value=xx_2)*(YY_value=yy_1)*(ZZ_value=zz_2),0)</f>
        <v>72</v>
      </c>
      <c r="G22" s="458"/>
      <c r="H22" s="458"/>
      <c r="I22" s="458"/>
      <c r="J22" s="458"/>
      <c r="K22" s="458"/>
      <c r="L22" s="458"/>
      <c r="M22" s="458"/>
      <c r="N22" s="458"/>
      <c r="O22" s="443"/>
      <c r="P22" s="447"/>
      <c r="Q22" s="450">
        <v>0</v>
      </c>
      <c r="R22" s="450">
        <v>100</v>
      </c>
      <c r="S22" s="450">
        <v>0.05</v>
      </c>
      <c r="T22" s="443">
        <v>1.5</v>
      </c>
    </row>
    <row r="23" spans="2:20" s="497" customFormat="1" ht="15">
      <c r="B23" s="443" t="s">
        <v>470</v>
      </c>
      <c r="C23" s="469">
        <f t="shared" ref="C23" si="6">INDEX(TT_value,F23,0)</f>
        <v>1.5</v>
      </c>
      <c r="D23" s="449" t="s">
        <v>427</v>
      </c>
      <c r="E23" s="458"/>
      <c r="F23" s="446">
        <f t="array" ref="F23">MATCH(1,(XX_value=xx_1)*(YY_value=yy_2)*(ZZ_value=zz_2),0)</f>
        <v>30</v>
      </c>
      <c r="G23" s="458"/>
      <c r="H23" s="458"/>
      <c r="I23" s="458"/>
      <c r="J23" s="458"/>
      <c r="K23" s="458"/>
      <c r="L23" s="458"/>
      <c r="M23" s="458"/>
      <c r="N23" s="458"/>
      <c r="O23" s="443"/>
      <c r="P23" s="447"/>
      <c r="Q23" s="450">
        <v>0</v>
      </c>
      <c r="R23" s="450">
        <v>100</v>
      </c>
      <c r="S23" s="450">
        <v>0.1</v>
      </c>
      <c r="T23" s="443">
        <v>1.5</v>
      </c>
    </row>
    <row r="24" spans="2:20" s="497" customFormat="1" ht="15">
      <c r="B24" s="443" t="s">
        <v>471</v>
      </c>
      <c r="C24" s="469">
        <f t="shared" ref="C24" si="7">INDEX(TT_value,F24,0)</f>
        <v>1.5</v>
      </c>
      <c r="D24" s="449" t="s">
        <v>427</v>
      </c>
      <c r="E24" s="458"/>
      <c r="F24" s="446">
        <f t="array" ref="F24">MATCH(1,(XX_value=xx_2)*(YY_value=yy_2)*(ZZ_value=zz_2),0)</f>
        <v>54</v>
      </c>
      <c r="G24" s="458"/>
      <c r="H24" s="458"/>
      <c r="I24" s="458"/>
      <c r="J24" s="458"/>
      <c r="K24" s="458"/>
      <c r="L24" s="458"/>
      <c r="M24" s="458"/>
      <c r="N24" s="458"/>
      <c r="O24" s="443"/>
      <c r="P24" s="447"/>
      <c r="Q24" s="450">
        <v>0</v>
      </c>
      <c r="R24" s="450">
        <v>100</v>
      </c>
      <c r="S24" s="450">
        <v>0.15</v>
      </c>
      <c r="T24" s="443">
        <v>1.5</v>
      </c>
    </row>
    <row r="25" spans="2:20" s="497" customFormat="1" ht="15">
      <c r="B25" s="443"/>
      <c r="C25" s="443"/>
      <c r="D25" s="449"/>
      <c r="E25" s="458"/>
      <c r="F25" s="458"/>
      <c r="G25" s="458"/>
      <c r="H25" s="458"/>
      <c r="I25" s="458"/>
      <c r="J25" s="458"/>
      <c r="K25" s="458"/>
      <c r="L25" s="458"/>
      <c r="M25" s="458"/>
      <c r="N25" s="458"/>
      <c r="O25" s="443"/>
      <c r="P25" s="447"/>
      <c r="Q25" s="450">
        <v>0</v>
      </c>
      <c r="R25" s="450">
        <v>100</v>
      </c>
      <c r="S25" s="450">
        <v>0.2</v>
      </c>
      <c r="T25" s="443">
        <v>1.5</v>
      </c>
    </row>
    <row r="26" spans="2:20" s="497" customFormat="1" ht="15">
      <c r="B26" s="445" t="s">
        <v>441</v>
      </c>
      <c r="C26" s="445"/>
      <c r="D26" s="445"/>
      <c r="E26" s="445"/>
      <c r="F26" s="445"/>
      <c r="G26" s="445"/>
      <c r="H26" s="445"/>
      <c r="I26" s="445"/>
      <c r="J26" s="445"/>
      <c r="K26" s="445"/>
      <c r="L26" s="445"/>
      <c r="M26" s="445"/>
      <c r="N26" s="445"/>
      <c r="O26" s="443"/>
      <c r="P26" s="447"/>
      <c r="Q26" s="450">
        <v>0</v>
      </c>
      <c r="R26" s="450">
        <v>100</v>
      </c>
      <c r="S26" s="450">
        <v>1</v>
      </c>
      <c r="T26" s="443">
        <v>1.5</v>
      </c>
    </row>
    <row r="27" spans="2:20" s="497" customFormat="1" ht="15">
      <c r="B27" s="443"/>
      <c r="C27" s="443"/>
      <c r="D27" s="443"/>
      <c r="E27" s="458"/>
      <c r="F27" s="458"/>
      <c r="G27" s="458"/>
      <c r="H27" s="458"/>
      <c r="I27" s="458"/>
      <c r="J27" s="458"/>
      <c r="K27" s="458"/>
      <c r="L27" s="458"/>
      <c r="M27" s="458"/>
      <c r="N27" s="458"/>
      <c r="O27" s="443"/>
      <c r="P27" s="447"/>
      <c r="Q27" s="450">
        <v>4</v>
      </c>
      <c r="R27" s="450">
        <v>0</v>
      </c>
      <c r="S27" s="450">
        <v>0</v>
      </c>
      <c r="T27" s="443">
        <v>1.5</v>
      </c>
    </row>
    <row r="28" spans="2:20" s="497" customFormat="1" ht="15">
      <c r="B28" s="453" t="s">
        <v>442</v>
      </c>
      <c r="C28" s="443"/>
      <c r="D28" s="443"/>
      <c r="E28" s="453">
        <v>1</v>
      </c>
      <c r="F28" s="458">
        <f>xx_1</f>
        <v>4</v>
      </c>
      <c r="G28" s="458">
        <f>yy_1</f>
        <v>100</v>
      </c>
      <c r="H28" s="458">
        <f>zz_1</f>
        <v>0.1</v>
      </c>
      <c r="I28" s="458">
        <f>F28*G28</f>
        <v>400</v>
      </c>
      <c r="J28" s="458">
        <f>F28*H28</f>
        <v>0.4</v>
      </c>
      <c r="K28" s="458">
        <f>G28*H28</f>
        <v>10</v>
      </c>
      <c r="L28" s="470">
        <f>F28*G28*H28</f>
        <v>40</v>
      </c>
      <c r="M28" s="471" t="s">
        <v>443</v>
      </c>
      <c r="N28" s="472">
        <f t="shared" ref="N28" si="8">f_111</f>
        <v>2</v>
      </c>
      <c r="O28" s="443"/>
      <c r="P28" s="447"/>
      <c r="Q28" s="450">
        <v>4</v>
      </c>
      <c r="R28" s="450">
        <v>0</v>
      </c>
      <c r="S28" s="450">
        <v>0.05</v>
      </c>
      <c r="T28" s="443">
        <v>1.5</v>
      </c>
    </row>
    <row r="29" spans="2:20" s="497" customFormat="1" ht="15">
      <c r="B29" s="453" t="s">
        <v>444</v>
      </c>
      <c r="C29" s="443"/>
      <c r="D29" s="443"/>
      <c r="E29" s="453">
        <v>1</v>
      </c>
      <c r="F29" s="458">
        <f>xx_2</f>
        <v>4.99</v>
      </c>
      <c r="G29" s="458">
        <f>yy_1</f>
        <v>100</v>
      </c>
      <c r="H29" s="458">
        <f>zz_1</f>
        <v>0.1</v>
      </c>
      <c r="I29" s="458">
        <f t="shared" ref="I29:I35" si="9">F29*G29</f>
        <v>499</v>
      </c>
      <c r="J29" s="458">
        <f t="shared" ref="J29:J35" si="10">F29*H29</f>
        <v>0.49900000000000005</v>
      </c>
      <c r="K29" s="458">
        <f t="shared" ref="K29:K35" si="11">G29*H29</f>
        <v>10</v>
      </c>
      <c r="L29" s="470">
        <f t="shared" ref="L29:L35" si="12">F29*G29*H29</f>
        <v>49.900000000000006</v>
      </c>
      <c r="M29" s="458"/>
      <c r="N29" s="472">
        <f>f_211</f>
        <v>2</v>
      </c>
      <c r="O29" s="443"/>
      <c r="P29" s="447"/>
      <c r="Q29" s="450">
        <v>4</v>
      </c>
      <c r="R29" s="450">
        <v>0</v>
      </c>
      <c r="S29" s="450">
        <v>0.1</v>
      </c>
      <c r="T29" s="443">
        <v>1.5</v>
      </c>
    </row>
    <row r="30" spans="2:20" s="497" customFormat="1" ht="15">
      <c r="B30" s="453" t="s">
        <v>445</v>
      </c>
      <c r="C30" s="443"/>
      <c r="D30" s="443"/>
      <c r="E30" s="453">
        <v>1</v>
      </c>
      <c r="F30" s="458">
        <f>xx_1</f>
        <v>4</v>
      </c>
      <c r="G30" s="458">
        <f>yy_2</f>
        <v>0</v>
      </c>
      <c r="H30" s="458">
        <f>zz_1</f>
        <v>0.1</v>
      </c>
      <c r="I30" s="458">
        <f t="shared" si="9"/>
        <v>0</v>
      </c>
      <c r="J30" s="458">
        <f t="shared" si="10"/>
        <v>0.4</v>
      </c>
      <c r="K30" s="458">
        <f t="shared" si="11"/>
        <v>0</v>
      </c>
      <c r="L30" s="470">
        <f t="shared" si="12"/>
        <v>0</v>
      </c>
      <c r="M30" s="458"/>
      <c r="N30" s="472">
        <f>f_121</f>
        <v>1.5</v>
      </c>
      <c r="O30" s="443"/>
      <c r="P30" s="447"/>
      <c r="Q30" s="450">
        <v>4</v>
      </c>
      <c r="R30" s="450">
        <v>0</v>
      </c>
      <c r="S30" s="450">
        <v>0.15</v>
      </c>
      <c r="T30" s="443">
        <v>1.5</v>
      </c>
    </row>
    <row r="31" spans="2:20" s="497" customFormat="1" ht="15">
      <c r="B31" s="453" t="s">
        <v>448</v>
      </c>
      <c r="C31" s="443" t="s">
        <v>446</v>
      </c>
      <c r="D31" s="443"/>
      <c r="E31" s="453">
        <v>1</v>
      </c>
      <c r="F31" s="458">
        <f>xx_2</f>
        <v>4.99</v>
      </c>
      <c r="G31" s="458">
        <f>yy_2</f>
        <v>0</v>
      </c>
      <c r="H31" s="458">
        <f>zz_1</f>
        <v>0.1</v>
      </c>
      <c r="I31" s="458">
        <f t="shared" si="9"/>
        <v>0</v>
      </c>
      <c r="J31" s="458">
        <f t="shared" si="10"/>
        <v>0.49900000000000005</v>
      </c>
      <c r="K31" s="458">
        <f t="shared" si="11"/>
        <v>0</v>
      </c>
      <c r="L31" s="470">
        <f t="shared" si="12"/>
        <v>0</v>
      </c>
      <c r="M31" s="458" t="s">
        <v>447</v>
      </c>
      <c r="N31" s="472">
        <f>f_221</f>
        <v>1.5</v>
      </c>
      <c r="O31" s="443"/>
      <c r="P31" s="447"/>
      <c r="Q31" s="450">
        <v>4</v>
      </c>
      <c r="R31" s="450">
        <v>0</v>
      </c>
      <c r="S31" s="450">
        <v>0.2</v>
      </c>
      <c r="T31" s="443">
        <v>1.5</v>
      </c>
    </row>
    <row r="32" spans="2:20" s="497" customFormat="1" ht="15">
      <c r="B32" s="453" t="s">
        <v>472</v>
      </c>
      <c r="C32" s="443"/>
      <c r="D32" s="443"/>
      <c r="E32" s="453">
        <v>1</v>
      </c>
      <c r="F32" s="458">
        <f>xx_1</f>
        <v>4</v>
      </c>
      <c r="G32" s="458">
        <f>yy_1</f>
        <v>100</v>
      </c>
      <c r="H32" s="458">
        <f>zz_2</f>
        <v>0.15</v>
      </c>
      <c r="I32" s="458">
        <f t="shared" si="9"/>
        <v>400</v>
      </c>
      <c r="J32" s="458">
        <f t="shared" si="10"/>
        <v>0.6</v>
      </c>
      <c r="K32" s="458">
        <f t="shared" si="11"/>
        <v>15</v>
      </c>
      <c r="L32" s="470">
        <f t="shared" si="12"/>
        <v>60</v>
      </c>
      <c r="M32" s="458"/>
      <c r="N32" s="472">
        <f>f_112</f>
        <v>2</v>
      </c>
      <c r="O32" s="443"/>
      <c r="P32" s="447"/>
      <c r="Q32" s="450">
        <v>4</v>
      </c>
      <c r="R32" s="450">
        <v>0</v>
      </c>
      <c r="S32" s="450">
        <v>1</v>
      </c>
      <c r="T32" s="443">
        <v>1.5</v>
      </c>
    </row>
    <row r="33" spans="2:20" s="497" customFormat="1" ht="15">
      <c r="B33" s="453" t="s">
        <v>473</v>
      </c>
      <c r="C33" s="443"/>
      <c r="D33" s="443"/>
      <c r="E33" s="453">
        <v>1</v>
      </c>
      <c r="F33" s="458">
        <f>xx_2</f>
        <v>4.99</v>
      </c>
      <c r="G33" s="458">
        <f>yy_1</f>
        <v>100</v>
      </c>
      <c r="H33" s="458">
        <f>zz_2</f>
        <v>0.15</v>
      </c>
      <c r="I33" s="458">
        <f t="shared" si="9"/>
        <v>499</v>
      </c>
      <c r="J33" s="458">
        <f t="shared" si="10"/>
        <v>0.74850000000000005</v>
      </c>
      <c r="K33" s="458">
        <f t="shared" si="11"/>
        <v>15</v>
      </c>
      <c r="L33" s="470">
        <f t="shared" si="12"/>
        <v>74.849999999999994</v>
      </c>
      <c r="M33" s="458"/>
      <c r="N33" s="472">
        <f>f_212</f>
        <v>2</v>
      </c>
      <c r="O33" s="443"/>
      <c r="P33" s="447"/>
      <c r="Q33" s="450">
        <v>4</v>
      </c>
      <c r="R33" s="450">
        <v>6.4</v>
      </c>
      <c r="S33" s="450">
        <v>0</v>
      </c>
      <c r="T33" s="443">
        <v>1.5</v>
      </c>
    </row>
    <row r="34" spans="2:20" s="497" customFormat="1" ht="15">
      <c r="B34" s="453" t="s">
        <v>474</v>
      </c>
      <c r="C34" s="443"/>
      <c r="D34" s="443"/>
      <c r="E34" s="453">
        <v>1</v>
      </c>
      <c r="F34" s="458">
        <f>xx_1</f>
        <v>4</v>
      </c>
      <c r="G34" s="458">
        <f>yy_2</f>
        <v>0</v>
      </c>
      <c r="H34" s="458">
        <f>zz_2</f>
        <v>0.15</v>
      </c>
      <c r="I34" s="458">
        <f t="shared" si="9"/>
        <v>0</v>
      </c>
      <c r="J34" s="458">
        <f t="shared" si="10"/>
        <v>0.6</v>
      </c>
      <c r="K34" s="458">
        <f t="shared" si="11"/>
        <v>0</v>
      </c>
      <c r="L34" s="470">
        <f t="shared" si="12"/>
        <v>0</v>
      </c>
      <c r="M34" s="458"/>
      <c r="N34" s="472">
        <f>f_122</f>
        <v>1.5</v>
      </c>
      <c r="O34" s="443"/>
      <c r="P34" s="447"/>
      <c r="Q34" s="450">
        <v>4</v>
      </c>
      <c r="R34" s="450">
        <v>6.4</v>
      </c>
      <c r="S34" s="450">
        <v>0.05</v>
      </c>
      <c r="T34" s="443">
        <v>1.5</v>
      </c>
    </row>
    <row r="35" spans="2:20" s="497" customFormat="1" ht="15">
      <c r="B35" s="453" t="s">
        <v>475</v>
      </c>
      <c r="C35" s="443"/>
      <c r="D35" s="443"/>
      <c r="E35" s="453">
        <v>1</v>
      </c>
      <c r="F35" s="458">
        <f>xx_2</f>
        <v>4.99</v>
      </c>
      <c r="G35" s="458">
        <f>yy_2</f>
        <v>0</v>
      </c>
      <c r="H35" s="458">
        <f>zz_2</f>
        <v>0.15</v>
      </c>
      <c r="I35" s="458">
        <f t="shared" si="9"/>
        <v>0</v>
      </c>
      <c r="J35" s="458">
        <f t="shared" si="10"/>
        <v>0.74850000000000005</v>
      </c>
      <c r="K35" s="458">
        <f t="shared" si="11"/>
        <v>0</v>
      </c>
      <c r="L35" s="470">
        <f t="shared" si="12"/>
        <v>0</v>
      </c>
      <c r="M35" s="458"/>
      <c r="N35" s="472">
        <f>f_222</f>
        <v>1.5</v>
      </c>
      <c r="O35" s="443"/>
      <c r="P35" s="447"/>
      <c r="Q35" s="450">
        <v>4</v>
      </c>
      <c r="R35" s="450">
        <v>6.4</v>
      </c>
      <c r="S35" s="450">
        <v>0.1</v>
      </c>
      <c r="T35" s="443">
        <v>1.5</v>
      </c>
    </row>
    <row r="36" spans="2:20" s="497" customFormat="1" ht="15">
      <c r="B36" s="443"/>
      <c r="C36" s="443"/>
      <c r="D36" s="443"/>
      <c r="E36" s="458"/>
      <c r="F36" s="458"/>
      <c r="G36" s="458"/>
      <c r="H36" s="458"/>
      <c r="I36" s="458"/>
      <c r="J36" s="458"/>
      <c r="K36" s="458"/>
      <c r="L36" s="458"/>
      <c r="M36" s="458"/>
      <c r="N36" s="458"/>
      <c r="O36" s="443"/>
      <c r="P36" s="447"/>
      <c r="Q36" s="450">
        <v>4</v>
      </c>
      <c r="R36" s="450">
        <v>6.4</v>
      </c>
      <c r="S36" s="450">
        <v>0.15</v>
      </c>
      <c r="T36" s="443">
        <v>1.5</v>
      </c>
    </row>
    <row r="37" spans="2:20" s="497" customFormat="1" ht="15">
      <c r="B37" s="453" t="s">
        <v>442</v>
      </c>
      <c r="C37" s="443"/>
      <c r="D37" s="453">
        <f t="array" ref="D37:D44">MMULT(MINVERSE(E28:L35),N28:N35)</f>
        <v>1.4999999999999964</v>
      </c>
      <c r="E37" s="458"/>
      <c r="F37" s="458"/>
      <c r="G37" s="458"/>
      <c r="H37" s="458"/>
      <c r="I37" s="458"/>
      <c r="J37" s="458"/>
      <c r="K37" s="458"/>
      <c r="L37" s="458"/>
      <c r="M37" s="458"/>
      <c r="N37" s="458"/>
      <c r="O37" s="443"/>
      <c r="P37" s="447"/>
      <c r="Q37" s="450">
        <v>4</v>
      </c>
      <c r="R37" s="450">
        <v>6.4</v>
      </c>
      <c r="S37" s="450">
        <v>0.2</v>
      </c>
      <c r="T37" s="443">
        <v>1.5</v>
      </c>
    </row>
    <row r="38" spans="2:20" s="497" customFormat="1" ht="15">
      <c r="B38" s="453" t="s">
        <v>444</v>
      </c>
      <c r="C38" s="443"/>
      <c r="D38" s="453">
        <v>0</v>
      </c>
      <c r="E38" s="458"/>
      <c r="F38" s="458"/>
      <c r="G38" s="458"/>
      <c r="H38" s="458"/>
      <c r="I38" s="458"/>
      <c r="J38" s="458"/>
      <c r="K38" s="458"/>
      <c r="L38" s="458"/>
      <c r="M38" s="458"/>
      <c r="N38" s="458"/>
      <c r="O38" s="443"/>
      <c r="P38" s="447"/>
      <c r="Q38" s="450">
        <v>4</v>
      </c>
      <c r="R38" s="450">
        <v>6.4</v>
      </c>
      <c r="S38" s="450">
        <v>1</v>
      </c>
      <c r="T38" s="443">
        <v>1.5</v>
      </c>
    </row>
    <row r="39" spans="2:20" s="497" customFormat="1" ht="15">
      <c r="B39" s="453" t="s">
        <v>445</v>
      </c>
      <c r="C39" s="443"/>
      <c r="D39" s="453">
        <v>5.0000000000000183E-3</v>
      </c>
      <c r="E39" s="458"/>
      <c r="F39" s="458"/>
      <c r="G39" s="458"/>
      <c r="H39" s="458"/>
      <c r="I39" s="458"/>
      <c r="J39" s="458"/>
      <c r="K39" s="458"/>
      <c r="L39" s="458"/>
      <c r="M39" s="458"/>
      <c r="N39" s="458"/>
      <c r="O39" s="443"/>
      <c r="P39" s="447"/>
      <c r="Q39" s="450">
        <v>4</v>
      </c>
      <c r="R39" s="450">
        <v>6.4009999999999998</v>
      </c>
      <c r="S39" s="450">
        <v>0</v>
      </c>
      <c r="T39" s="443">
        <v>2</v>
      </c>
    </row>
    <row r="40" spans="2:20" s="497" customFormat="1" ht="15">
      <c r="B40" s="453" t="s">
        <v>448</v>
      </c>
      <c r="C40" s="443" t="s">
        <v>446</v>
      </c>
      <c r="D40" s="453">
        <v>0</v>
      </c>
      <c r="E40" s="458"/>
      <c r="F40" s="458"/>
      <c r="G40" s="458"/>
      <c r="H40" s="458"/>
      <c r="I40" s="458"/>
      <c r="J40" s="458"/>
      <c r="K40" s="458"/>
      <c r="L40" s="458"/>
      <c r="M40" s="458"/>
      <c r="N40" s="458"/>
      <c r="O40" s="443"/>
      <c r="P40" s="447"/>
      <c r="Q40" s="450">
        <v>4</v>
      </c>
      <c r="R40" s="450">
        <v>6.4009999999999998</v>
      </c>
      <c r="S40" s="450">
        <v>0.05</v>
      </c>
      <c r="T40" s="443">
        <v>2</v>
      </c>
    </row>
    <row r="41" spans="2:20" s="497" customFormat="1" ht="15">
      <c r="B41" s="453" t="s">
        <v>472</v>
      </c>
      <c r="C41" s="443"/>
      <c r="D41" s="453">
        <v>0</v>
      </c>
      <c r="E41" s="458"/>
      <c r="F41" s="458"/>
      <c r="G41" s="458"/>
      <c r="H41" s="458"/>
      <c r="I41" s="458"/>
      <c r="J41" s="458"/>
      <c r="K41" s="458"/>
      <c r="L41" s="458"/>
      <c r="M41" s="458"/>
      <c r="N41" s="458"/>
      <c r="O41" s="443"/>
      <c r="P41" s="447"/>
      <c r="Q41" s="450">
        <v>4</v>
      </c>
      <c r="R41" s="450">
        <v>6.4009999999999998</v>
      </c>
      <c r="S41" s="450">
        <v>0.1</v>
      </c>
      <c r="T41" s="443">
        <v>2</v>
      </c>
    </row>
    <row r="42" spans="2:20" s="497" customFormat="1" ht="15">
      <c r="B42" s="453" t="s">
        <v>473</v>
      </c>
      <c r="C42" s="443"/>
      <c r="D42" s="453">
        <v>0</v>
      </c>
      <c r="E42" s="458"/>
      <c r="F42" s="458"/>
      <c r="G42" s="458"/>
      <c r="H42" s="458"/>
      <c r="I42" s="458"/>
      <c r="J42" s="458"/>
      <c r="K42" s="458"/>
      <c r="L42" s="458"/>
      <c r="M42" s="458"/>
      <c r="N42" s="458"/>
      <c r="O42" s="443"/>
      <c r="P42" s="447"/>
      <c r="Q42" s="450">
        <v>4</v>
      </c>
      <c r="R42" s="450">
        <v>6.4009999999999998</v>
      </c>
      <c r="S42" s="450">
        <v>0.15</v>
      </c>
      <c r="T42" s="443">
        <v>2</v>
      </c>
    </row>
    <row r="43" spans="2:20" s="497" customFormat="1" ht="15">
      <c r="B43" s="453" t="s">
        <v>474</v>
      </c>
      <c r="C43" s="443"/>
      <c r="D43" s="453">
        <v>0</v>
      </c>
      <c r="E43" s="458"/>
      <c r="F43" s="458"/>
      <c r="G43" s="458"/>
      <c r="H43" s="458"/>
      <c r="I43" s="458"/>
      <c r="J43" s="458"/>
      <c r="K43" s="458"/>
      <c r="L43" s="458"/>
      <c r="M43" s="458"/>
      <c r="N43" s="458"/>
      <c r="O43" s="443"/>
      <c r="P43" s="447"/>
      <c r="Q43" s="450">
        <v>4</v>
      </c>
      <c r="R43" s="450">
        <v>6.4009999999999998</v>
      </c>
      <c r="S43" s="450">
        <v>0.2</v>
      </c>
      <c r="T43" s="443">
        <v>1.5</v>
      </c>
    </row>
    <row r="44" spans="2:20" s="497" customFormat="1" ht="15">
      <c r="B44" s="453" t="s">
        <v>475</v>
      </c>
      <c r="C44" s="443"/>
      <c r="D44" s="453">
        <v>0</v>
      </c>
      <c r="E44" s="458"/>
      <c r="F44" s="458"/>
      <c r="G44" s="458"/>
      <c r="H44" s="458"/>
      <c r="I44" s="458"/>
      <c r="J44" s="458"/>
      <c r="K44" s="458"/>
      <c r="L44" s="458"/>
      <c r="M44" s="458"/>
      <c r="N44" s="458"/>
      <c r="O44" s="443"/>
      <c r="P44" s="447"/>
      <c r="Q44" s="450">
        <v>4</v>
      </c>
      <c r="R44" s="450">
        <v>6.4009999999999998</v>
      </c>
      <c r="S44" s="450">
        <v>1</v>
      </c>
      <c r="T44" s="443">
        <v>1.5</v>
      </c>
    </row>
    <row r="45" spans="2:20" s="497" customFormat="1" ht="15">
      <c r="B45" s="443"/>
      <c r="C45" s="443"/>
      <c r="D45" s="443"/>
      <c r="E45" s="458"/>
      <c r="F45" s="458"/>
      <c r="G45" s="458"/>
      <c r="H45" s="458"/>
      <c r="I45" s="458"/>
      <c r="J45" s="458"/>
      <c r="K45" s="458"/>
      <c r="L45" s="458"/>
      <c r="M45" s="458"/>
      <c r="N45" s="458"/>
      <c r="O45" s="443"/>
      <c r="P45" s="447"/>
      <c r="Q45" s="450">
        <v>4</v>
      </c>
      <c r="R45" s="450">
        <v>100</v>
      </c>
      <c r="S45" s="450">
        <v>0</v>
      </c>
      <c r="T45" s="443">
        <v>2</v>
      </c>
    </row>
    <row r="46" spans="2:20" s="497" customFormat="1" ht="15">
      <c r="B46" s="453">
        <v>1</v>
      </c>
      <c r="C46" s="443"/>
      <c r="D46" s="453">
        <v>1</v>
      </c>
      <c r="E46" s="458"/>
      <c r="F46" s="458"/>
      <c r="G46" s="458"/>
      <c r="H46" s="458"/>
      <c r="I46" s="458"/>
      <c r="J46" s="458"/>
      <c r="K46" s="458"/>
      <c r="L46" s="458"/>
      <c r="M46" s="458"/>
      <c r="N46" s="458"/>
      <c r="O46" s="443"/>
      <c r="P46" s="447"/>
      <c r="Q46" s="450">
        <v>4</v>
      </c>
      <c r="R46" s="450">
        <v>100</v>
      </c>
      <c r="S46" s="450">
        <v>0.05</v>
      </c>
      <c r="T46" s="443">
        <v>2</v>
      </c>
    </row>
    <row r="47" spans="2:20" s="497" customFormat="1" ht="15">
      <c r="B47" s="453" t="s">
        <v>426</v>
      </c>
      <c r="C47" s="443"/>
      <c r="D47" s="453">
        <f>C3</f>
        <v>4</v>
      </c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43"/>
      <c r="P47" s="447"/>
      <c r="Q47" s="450">
        <v>4</v>
      </c>
      <c r="R47" s="450">
        <v>100</v>
      </c>
      <c r="S47" s="450">
        <v>0.1</v>
      </c>
      <c r="T47" s="443">
        <v>2</v>
      </c>
    </row>
    <row r="48" spans="2:20" s="497" customFormat="1" ht="15">
      <c r="B48" s="453" t="s">
        <v>430</v>
      </c>
      <c r="C48" s="443"/>
      <c r="D48" s="453">
        <f>C4</f>
        <v>300</v>
      </c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43"/>
      <c r="P48" s="447"/>
      <c r="Q48" s="450">
        <v>4</v>
      </c>
      <c r="R48" s="450">
        <v>100</v>
      </c>
      <c r="S48" s="450">
        <v>0.15</v>
      </c>
      <c r="T48" s="443">
        <v>2</v>
      </c>
    </row>
    <row r="49" spans="2:20" s="497" customFormat="1" ht="15">
      <c r="B49" s="453" t="s">
        <v>390</v>
      </c>
      <c r="C49" s="443" t="s">
        <v>446</v>
      </c>
      <c r="D49" s="453">
        <f>C5</f>
        <v>0.14508785881222142</v>
      </c>
      <c r="E49" s="458"/>
      <c r="F49" s="458"/>
      <c r="G49" s="458"/>
      <c r="H49" s="458"/>
      <c r="I49" s="458"/>
      <c r="J49" s="458"/>
      <c r="K49" s="458"/>
      <c r="L49" s="458"/>
      <c r="M49" s="458"/>
      <c r="N49" s="458"/>
      <c r="O49" s="443"/>
      <c r="P49" s="447"/>
      <c r="Q49" s="450">
        <v>4</v>
      </c>
      <c r="R49" s="450">
        <v>100</v>
      </c>
      <c r="S49" s="450">
        <v>0.2</v>
      </c>
      <c r="T49" s="443">
        <v>1.5</v>
      </c>
    </row>
    <row r="50" spans="2:20" s="497" customFormat="1" ht="15">
      <c r="B50" s="453" t="s">
        <v>449</v>
      </c>
      <c r="C50" s="443"/>
      <c r="D50" s="453">
        <f>D47*D48</f>
        <v>1200</v>
      </c>
      <c r="E50" s="458"/>
      <c r="F50" s="458"/>
      <c r="G50" s="458"/>
      <c r="H50" s="458"/>
      <c r="I50" s="458"/>
      <c r="J50" s="458"/>
      <c r="K50" s="458"/>
      <c r="L50" s="458"/>
      <c r="M50" s="458"/>
      <c r="N50" s="458"/>
      <c r="O50" s="443"/>
      <c r="P50" s="447"/>
      <c r="Q50" s="450">
        <v>4</v>
      </c>
      <c r="R50" s="450">
        <v>100</v>
      </c>
      <c r="S50" s="450">
        <v>1</v>
      </c>
      <c r="T50" s="443">
        <v>1.5</v>
      </c>
    </row>
    <row r="51" spans="2:20" s="497" customFormat="1" ht="15">
      <c r="B51" s="453" t="s">
        <v>476</v>
      </c>
      <c r="C51" s="443"/>
      <c r="D51" s="453">
        <f>D47*D49</f>
        <v>0.58035143524888566</v>
      </c>
      <c r="E51" s="458"/>
      <c r="F51" s="458"/>
      <c r="G51" s="458"/>
      <c r="H51" s="458"/>
      <c r="I51" s="458"/>
      <c r="J51" s="458"/>
      <c r="K51" s="458"/>
      <c r="L51" s="458"/>
      <c r="M51" s="458"/>
      <c r="N51" s="458"/>
      <c r="O51" s="443"/>
      <c r="P51" s="447"/>
      <c r="Q51" s="450">
        <v>4.99</v>
      </c>
      <c r="R51" s="450">
        <v>0</v>
      </c>
      <c r="S51" s="450">
        <v>0</v>
      </c>
      <c r="T51" s="443">
        <v>1.5</v>
      </c>
    </row>
    <row r="52" spans="2:20" s="497" customFormat="1" ht="15">
      <c r="B52" s="453" t="s">
        <v>477</v>
      </c>
      <c r="C52" s="443"/>
      <c r="D52" s="453">
        <f>D48*D49</f>
        <v>43.526357643666422</v>
      </c>
      <c r="E52" s="458"/>
      <c r="F52" s="458"/>
      <c r="G52" s="458"/>
      <c r="H52" s="458"/>
      <c r="I52" s="458"/>
      <c r="J52" s="458"/>
      <c r="K52" s="458"/>
      <c r="L52" s="458"/>
      <c r="M52" s="458"/>
      <c r="N52" s="458"/>
      <c r="O52" s="443"/>
      <c r="P52" s="447"/>
      <c r="Q52" s="450">
        <v>4.99</v>
      </c>
      <c r="R52" s="450">
        <v>0</v>
      </c>
      <c r="S52" s="450">
        <v>0.05</v>
      </c>
      <c r="T52" s="443">
        <v>1.5</v>
      </c>
    </row>
    <row r="53" spans="2:20" s="497" customFormat="1" ht="15">
      <c r="B53" s="453" t="s">
        <v>478</v>
      </c>
      <c r="C53" s="443"/>
      <c r="D53" s="453">
        <f>D47*D48*D49</f>
        <v>174.10543057466569</v>
      </c>
      <c r="E53" s="458"/>
      <c r="F53" s="458"/>
      <c r="G53" s="458"/>
      <c r="H53" s="458"/>
      <c r="I53" s="458"/>
      <c r="J53" s="458"/>
      <c r="K53" s="458"/>
      <c r="L53" s="458"/>
      <c r="M53" s="458"/>
      <c r="N53" s="458"/>
      <c r="O53" s="443"/>
      <c r="P53" s="447"/>
      <c r="Q53" s="450">
        <v>4.99</v>
      </c>
      <c r="R53" s="450">
        <v>0</v>
      </c>
      <c r="S53" s="450">
        <v>0.1</v>
      </c>
      <c r="T53" s="443">
        <v>1.5</v>
      </c>
    </row>
    <row r="54" spans="2:20" s="497" customFormat="1" ht="15">
      <c r="B54" s="443"/>
      <c r="C54" s="443"/>
      <c r="D54" s="443"/>
      <c r="E54" s="458"/>
      <c r="F54" s="458"/>
      <c r="G54" s="458"/>
      <c r="H54" s="458"/>
      <c r="I54" s="458"/>
      <c r="J54" s="458"/>
      <c r="K54" s="458"/>
      <c r="L54" s="458"/>
      <c r="M54" s="458"/>
      <c r="N54" s="458"/>
      <c r="O54" s="443"/>
      <c r="P54" s="447"/>
      <c r="Q54" s="450">
        <v>4.99</v>
      </c>
      <c r="R54" s="450">
        <v>0</v>
      </c>
      <c r="S54" s="450">
        <v>0.15</v>
      </c>
      <c r="T54" s="443">
        <v>1.5</v>
      </c>
    </row>
    <row r="55" spans="2:20" s="497" customFormat="1" ht="15">
      <c r="B55" s="445" t="s">
        <v>450</v>
      </c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  <c r="N55" s="445"/>
      <c r="O55" s="443"/>
      <c r="P55" s="447"/>
      <c r="Q55" s="450">
        <v>4.99</v>
      </c>
      <c r="R55" s="450">
        <v>0</v>
      </c>
      <c r="S55" s="450">
        <v>0.2</v>
      </c>
      <c r="T55" s="443">
        <v>1.5</v>
      </c>
    </row>
    <row r="56" spans="2:20" s="497" customFormat="1" ht="15">
      <c r="B56" s="443"/>
      <c r="C56" s="443"/>
      <c r="D56" s="443"/>
      <c r="E56" s="458"/>
      <c r="F56" s="458"/>
      <c r="G56" s="458"/>
      <c r="H56" s="458"/>
      <c r="I56" s="458"/>
      <c r="J56" s="458"/>
      <c r="K56" s="458"/>
      <c r="L56" s="458"/>
      <c r="M56" s="458"/>
      <c r="N56" s="458"/>
      <c r="O56" s="443"/>
      <c r="P56" s="447"/>
      <c r="Q56" s="450">
        <v>4.99</v>
      </c>
      <c r="R56" s="450">
        <v>0</v>
      </c>
      <c r="S56" s="450">
        <v>1</v>
      </c>
      <c r="T56" s="443">
        <v>1.5</v>
      </c>
    </row>
    <row r="57" spans="2:20" s="497" customFormat="1" ht="15">
      <c r="B57" s="443"/>
      <c r="C57" s="443"/>
      <c r="D57" s="443"/>
      <c r="E57" s="458"/>
      <c r="F57" s="458"/>
      <c r="G57" s="458"/>
      <c r="H57" s="458"/>
      <c r="I57" s="458"/>
      <c r="J57" s="458"/>
      <c r="K57" s="458"/>
      <c r="L57" s="458"/>
      <c r="M57" s="458"/>
      <c r="N57" s="458"/>
      <c r="O57" s="443"/>
      <c r="P57" s="447"/>
      <c r="Q57" s="450">
        <v>4.99</v>
      </c>
      <c r="R57" s="450">
        <v>6.4</v>
      </c>
      <c r="S57" s="450">
        <v>0</v>
      </c>
      <c r="T57" s="443">
        <v>1.5</v>
      </c>
    </row>
    <row r="58" spans="2:20" s="497" customFormat="1" ht="15">
      <c r="B58" s="443"/>
      <c r="C58" s="443"/>
      <c r="D58" s="443"/>
      <c r="E58" s="458"/>
      <c r="F58" s="458"/>
      <c r="G58" s="458"/>
      <c r="H58" s="458"/>
      <c r="I58" s="458"/>
      <c r="J58" s="458"/>
      <c r="K58" s="458"/>
      <c r="L58" s="458"/>
      <c r="M58" s="458"/>
      <c r="N58" s="458"/>
      <c r="O58" s="443"/>
      <c r="P58" s="447"/>
      <c r="Q58" s="450">
        <v>4.99</v>
      </c>
      <c r="R58" s="450">
        <v>6.4</v>
      </c>
      <c r="S58" s="450">
        <v>0.05</v>
      </c>
      <c r="T58" s="443">
        <v>1.5</v>
      </c>
    </row>
    <row r="59" spans="2:20" s="497" customFormat="1" ht="15">
      <c r="B59" s="443"/>
      <c r="C59" s="443"/>
      <c r="D59" s="443"/>
      <c r="E59" s="458"/>
      <c r="F59" s="458"/>
      <c r="G59" s="458"/>
      <c r="H59" s="458"/>
      <c r="I59" s="458"/>
      <c r="J59" s="458"/>
      <c r="K59" s="458"/>
      <c r="L59" s="458"/>
      <c r="M59" s="458"/>
      <c r="N59" s="458"/>
      <c r="O59" s="443"/>
      <c r="P59" s="447"/>
      <c r="Q59" s="450">
        <v>4.99</v>
      </c>
      <c r="R59" s="450">
        <v>6.4</v>
      </c>
      <c r="S59" s="450">
        <v>0.1</v>
      </c>
      <c r="T59" s="443">
        <v>1.5</v>
      </c>
    </row>
    <row r="60" spans="2:20" s="497" customFormat="1" ht="15">
      <c r="B60" s="443"/>
      <c r="C60" s="443"/>
      <c r="D60" s="443"/>
      <c r="E60" s="458"/>
      <c r="F60" s="458"/>
      <c r="G60" s="458"/>
      <c r="H60" s="458"/>
      <c r="I60" s="458"/>
      <c r="J60" s="458"/>
      <c r="K60" s="458"/>
      <c r="L60" s="458"/>
      <c r="M60" s="458"/>
      <c r="N60" s="458"/>
      <c r="O60" s="443"/>
      <c r="P60" s="447"/>
      <c r="Q60" s="450">
        <v>4.99</v>
      </c>
      <c r="R60" s="450">
        <v>6.4</v>
      </c>
      <c r="S60" s="450">
        <v>0.15</v>
      </c>
      <c r="T60" s="443">
        <v>1.5</v>
      </c>
    </row>
    <row r="61" spans="2:20" s="497" customFormat="1" ht="15">
      <c r="B61" s="443"/>
      <c r="C61" s="443"/>
      <c r="D61" s="443"/>
      <c r="E61" s="458"/>
      <c r="F61" s="458"/>
      <c r="G61" s="458"/>
      <c r="H61" s="458"/>
      <c r="I61" s="458"/>
      <c r="J61" s="458"/>
      <c r="K61" s="458"/>
      <c r="L61" s="458"/>
      <c r="M61" s="458"/>
      <c r="N61" s="458"/>
      <c r="O61" s="443"/>
      <c r="P61" s="447"/>
      <c r="Q61" s="450">
        <v>4.99</v>
      </c>
      <c r="R61" s="450">
        <v>6.4</v>
      </c>
      <c r="S61" s="450">
        <v>0.2</v>
      </c>
      <c r="T61" s="443">
        <v>1.5</v>
      </c>
    </row>
    <row r="62" spans="2:20" s="497" customFormat="1" ht="15">
      <c r="B62" s="443"/>
      <c r="C62" s="443"/>
      <c r="D62" s="443"/>
      <c r="E62" s="458"/>
      <c r="F62" s="458"/>
      <c r="G62" s="458"/>
      <c r="H62" s="458"/>
      <c r="I62" s="458"/>
      <c r="J62" s="458"/>
      <c r="K62" s="458"/>
      <c r="L62" s="458"/>
      <c r="M62" s="458"/>
      <c r="N62" s="458"/>
      <c r="O62" s="443"/>
      <c r="P62" s="447"/>
      <c r="Q62" s="450">
        <v>4.99</v>
      </c>
      <c r="R62" s="450">
        <v>6.4</v>
      </c>
      <c r="S62" s="450">
        <v>1</v>
      </c>
      <c r="T62" s="443">
        <v>1.5</v>
      </c>
    </row>
    <row r="63" spans="2:20" s="497" customFormat="1" ht="15">
      <c r="B63" s="443"/>
      <c r="C63" s="443"/>
      <c r="D63" s="443"/>
      <c r="E63" s="458"/>
      <c r="F63" s="458"/>
      <c r="G63" s="458"/>
      <c r="H63" s="458"/>
      <c r="I63" s="458"/>
      <c r="J63" s="458"/>
      <c r="K63" s="458"/>
      <c r="L63" s="458"/>
      <c r="M63" s="458"/>
      <c r="N63" s="458"/>
      <c r="O63" s="443"/>
      <c r="P63" s="447"/>
      <c r="Q63" s="450">
        <v>4.99</v>
      </c>
      <c r="R63" s="450">
        <v>6.4009999999999998</v>
      </c>
      <c r="S63" s="450">
        <v>0</v>
      </c>
      <c r="T63" s="443">
        <v>2</v>
      </c>
    </row>
    <row r="64" spans="2:20" s="497" customFormat="1" ht="15">
      <c r="B64" s="443"/>
      <c r="C64" s="443"/>
      <c r="D64" s="443"/>
      <c r="E64" s="458"/>
      <c r="F64" s="458"/>
      <c r="G64" s="458"/>
      <c r="H64" s="458"/>
      <c r="I64" s="458"/>
      <c r="J64" s="458"/>
      <c r="K64" s="458"/>
      <c r="L64" s="458"/>
      <c r="M64" s="458"/>
      <c r="N64" s="458"/>
      <c r="O64" s="443"/>
      <c r="P64" s="447"/>
      <c r="Q64" s="450">
        <v>4.99</v>
      </c>
      <c r="R64" s="450">
        <v>6.4009999999999998</v>
      </c>
      <c r="S64" s="450">
        <v>0.05</v>
      </c>
      <c r="T64" s="443">
        <v>2</v>
      </c>
    </row>
    <row r="65" spans="16:20" s="497" customFormat="1" ht="15">
      <c r="P65" s="447"/>
      <c r="Q65" s="450">
        <v>4.99</v>
      </c>
      <c r="R65" s="450">
        <v>6.4009999999999998</v>
      </c>
      <c r="S65" s="450">
        <v>0.1</v>
      </c>
      <c r="T65" s="443">
        <v>2</v>
      </c>
    </row>
    <row r="66" spans="16:20" s="497" customFormat="1" ht="15">
      <c r="P66" s="447"/>
      <c r="Q66" s="450">
        <v>4.99</v>
      </c>
      <c r="R66" s="450">
        <v>6.4009999999999998</v>
      </c>
      <c r="S66" s="450">
        <v>0.15</v>
      </c>
      <c r="T66" s="443">
        <v>2</v>
      </c>
    </row>
    <row r="67" spans="16:20" s="497" customFormat="1" ht="15">
      <c r="P67" s="447"/>
      <c r="Q67" s="450">
        <v>4.99</v>
      </c>
      <c r="R67" s="450">
        <v>6.4009999999999998</v>
      </c>
      <c r="S67" s="450">
        <v>0.2</v>
      </c>
      <c r="T67" s="443">
        <v>1.5</v>
      </c>
    </row>
    <row r="68" spans="16:20" s="497" customFormat="1" ht="15">
      <c r="P68" s="447"/>
      <c r="Q68" s="450">
        <v>4.99</v>
      </c>
      <c r="R68" s="450">
        <v>6.4009999999999998</v>
      </c>
      <c r="S68" s="450">
        <v>1</v>
      </c>
      <c r="T68" s="443">
        <v>1.5</v>
      </c>
    </row>
    <row r="69" spans="16:20" s="497" customFormat="1" ht="15">
      <c r="P69" s="447"/>
      <c r="Q69" s="450">
        <v>4.99</v>
      </c>
      <c r="R69" s="450">
        <v>100</v>
      </c>
      <c r="S69" s="450">
        <v>0</v>
      </c>
      <c r="T69" s="443">
        <v>2</v>
      </c>
    </row>
    <row r="70" spans="16:20" s="497" customFormat="1" ht="15">
      <c r="P70" s="447"/>
      <c r="Q70" s="450">
        <v>4.99</v>
      </c>
      <c r="R70" s="450">
        <v>100</v>
      </c>
      <c r="S70" s="450">
        <v>0.05</v>
      </c>
      <c r="T70" s="443">
        <v>2</v>
      </c>
    </row>
    <row r="71" spans="16:20" s="497" customFormat="1" ht="15">
      <c r="P71" s="447"/>
      <c r="Q71" s="450">
        <v>4.99</v>
      </c>
      <c r="R71" s="450">
        <v>100</v>
      </c>
      <c r="S71" s="450">
        <v>0.1</v>
      </c>
      <c r="T71" s="443">
        <v>2</v>
      </c>
    </row>
    <row r="72" spans="16:20" s="497" customFormat="1" ht="15">
      <c r="P72" s="447"/>
      <c r="Q72" s="450">
        <v>4.99</v>
      </c>
      <c r="R72" s="450">
        <v>100</v>
      </c>
      <c r="S72" s="450">
        <v>0.15</v>
      </c>
      <c r="T72" s="443">
        <v>2</v>
      </c>
    </row>
    <row r="73" spans="16:20" s="497" customFormat="1" ht="15">
      <c r="P73" s="447"/>
      <c r="Q73" s="450">
        <v>4.99</v>
      </c>
      <c r="R73" s="450">
        <v>100</v>
      </c>
      <c r="S73" s="450">
        <v>0.2</v>
      </c>
      <c r="T73" s="443">
        <v>1.5</v>
      </c>
    </row>
    <row r="74" spans="16:20" s="497" customFormat="1" ht="15">
      <c r="P74" s="447"/>
      <c r="Q74" s="450">
        <v>4.99</v>
      </c>
      <c r="R74" s="450">
        <v>100</v>
      </c>
      <c r="S74" s="450">
        <v>1</v>
      </c>
      <c r="T74" s="443">
        <v>1.5</v>
      </c>
    </row>
    <row r="75" spans="16:20" s="497" customFormat="1" ht="15">
      <c r="P75" s="447"/>
      <c r="Q75" s="450">
        <v>5</v>
      </c>
      <c r="R75" s="450">
        <v>0</v>
      </c>
      <c r="S75" s="450">
        <v>0</v>
      </c>
      <c r="T75" s="443">
        <v>1.5</v>
      </c>
    </row>
    <row r="76" spans="16:20" s="497" customFormat="1" ht="15">
      <c r="P76" s="447"/>
      <c r="Q76" s="450">
        <v>5</v>
      </c>
      <c r="R76" s="450">
        <v>0</v>
      </c>
      <c r="S76" s="450">
        <v>0.05</v>
      </c>
      <c r="T76" s="443">
        <v>1.5</v>
      </c>
    </row>
    <row r="77" spans="16:20" s="497" customFormat="1" ht="15">
      <c r="P77" s="447"/>
      <c r="Q77" s="450">
        <v>5</v>
      </c>
      <c r="R77" s="450">
        <v>0</v>
      </c>
      <c r="S77" s="450">
        <v>0.1</v>
      </c>
      <c r="T77" s="443">
        <v>1.5</v>
      </c>
    </row>
    <row r="78" spans="16:20" s="497" customFormat="1" ht="15">
      <c r="P78" s="447"/>
      <c r="Q78" s="450">
        <v>5</v>
      </c>
      <c r="R78" s="450">
        <v>0</v>
      </c>
      <c r="S78" s="450">
        <v>0.15</v>
      </c>
      <c r="T78" s="443">
        <v>1.5</v>
      </c>
    </row>
    <row r="79" spans="16:20" s="497" customFormat="1" ht="15">
      <c r="P79" s="447"/>
      <c r="Q79" s="450">
        <v>5</v>
      </c>
      <c r="R79" s="450">
        <v>0</v>
      </c>
      <c r="S79" s="450">
        <v>0.2</v>
      </c>
      <c r="T79" s="443">
        <v>1.5</v>
      </c>
    </row>
    <row r="80" spans="16:20" s="497" customFormat="1" ht="15">
      <c r="P80" s="447"/>
      <c r="Q80" s="450">
        <v>5</v>
      </c>
      <c r="R80" s="450">
        <v>0</v>
      </c>
      <c r="S80" s="450">
        <v>1</v>
      </c>
      <c r="T80" s="443">
        <v>1.5</v>
      </c>
    </row>
    <row r="81" spans="16:20" s="497" customFormat="1" ht="15">
      <c r="P81" s="447"/>
      <c r="Q81" s="450">
        <v>5</v>
      </c>
      <c r="R81" s="450">
        <v>6.4</v>
      </c>
      <c r="S81" s="450">
        <v>0</v>
      </c>
      <c r="T81" s="443">
        <v>1.5</v>
      </c>
    </row>
    <row r="82" spans="16:20" s="497" customFormat="1" ht="15">
      <c r="P82" s="447"/>
      <c r="Q82" s="450">
        <v>5</v>
      </c>
      <c r="R82" s="450">
        <v>6.4</v>
      </c>
      <c r="S82" s="450">
        <v>0.05</v>
      </c>
      <c r="T82" s="443">
        <v>1.5</v>
      </c>
    </row>
    <row r="83" spans="16:20" s="497" customFormat="1" ht="15">
      <c r="P83" s="447"/>
      <c r="Q83" s="450">
        <v>5</v>
      </c>
      <c r="R83" s="450">
        <v>6.4</v>
      </c>
      <c r="S83" s="450">
        <v>0.1</v>
      </c>
      <c r="T83" s="443">
        <v>1.5</v>
      </c>
    </row>
    <row r="84" spans="16:20" s="497" customFormat="1" ht="15">
      <c r="P84" s="447"/>
      <c r="Q84" s="450">
        <v>5</v>
      </c>
      <c r="R84" s="450">
        <v>6.4</v>
      </c>
      <c r="S84" s="450">
        <v>0.15</v>
      </c>
      <c r="T84" s="443">
        <v>1.5</v>
      </c>
    </row>
    <row r="85" spans="16:20" s="497" customFormat="1" ht="15">
      <c r="P85" s="447"/>
      <c r="Q85" s="450">
        <v>5</v>
      </c>
      <c r="R85" s="450">
        <v>6.4</v>
      </c>
      <c r="S85" s="450">
        <v>0.2</v>
      </c>
      <c r="T85" s="443">
        <v>1.5</v>
      </c>
    </row>
    <row r="86" spans="16:20" s="497" customFormat="1" ht="15">
      <c r="P86" s="447"/>
      <c r="Q86" s="450">
        <v>5</v>
      </c>
      <c r="R86" s="450">
        <v>6.4</v>
      </c>
      <c r="S86" s="450">
        <v>1</v>
      </c>
      <c r="T86" s="443">
        <v>1.5</v>
      </c>
    </row>
    <row r="87" spans="16:20" s="497" customFormat="1" ht="15">
      <c r="P87" s="447"/>
      <c r="Q87" s="450">
        <v>5</v>
      </c>
      <c r="R87" s="450">
        <v>6.4009999999999998</v>
      </c>
      <c r="S87" s="450">
        <v>0</v>
      </c>
      <c r="T87" s="443">
        <v>5.5</v>
      </c>
    </row>
    <row r="88" spans="16:20" s="497" customFormat="1" ht="15">
      <c r="P88" s="447"/>
      <c r="Q88" s="450">
        <v>5</v>
      </c>
      <c r="R88" s="450">
        <v>6.4009999999999998</v>
      </c>
      <c r="S88" s="450">
        <v>0.05</v>
      </c>
      <c r="T88" s="443">
        <v>5.5</v>
      </c>
    </row>
    <row r="89" spans="16:20" s="497" customFormat="1" ht="15">
      <c r="P89" s="447"/>
      <c r="Q89" s="450">
        <v>5</v>
      </c>
      <c r="R89" s="450">
        <v>6.4009999999999998</v>
      </c>
      <c r="S89" s="450">
        <v>0.1</v>
      </c>
      <c r="T89" s="443">
        <v>4</v>
      </c>
    </row>
    <row r="90" spans="16:20" s="497" customFormat="1" ht="15">
      <c r="P90" s="447"/>
      <c r="Q90" s="450">
        <v>5</v>
      </c>
      <c r="R90" s="450">
        <v>6.4009999999999998</v>
      </c>
      <c r="S90" s="450">
        <v>0.15</v>
      </c>
      <c r="T90" s="443">
        <v>4</v>
      </c>
    </row>
    <row r="91" spans="16:20" s="497" customFormat="1" ht="15">
      <c r="P91" s="447"/>
      <c r="Q91" s="450">
        <v>5</v>
      </c>
      <c r="R91" s="450">
        <v>6.4009999999999998</v>
      </c>
      <c r="S91" s="450">
        <v>0.2</v>
      </c>
      <c r="T91" s="443">
        <v>3</v>
      </c>
    </row>
    <row r="92" spans="16:20" s="497" customFormat="1" ht="15">
      <c r="P92" s="447"/>
      <c r="Q92" s="450">
        <v>5</v>
      </c>
      <c r="R92" s="450">
        <v>6.4009999999999998</v>
      </c>
      <c r="S92" s="450">
        <v>1</v>
      </c>
      <c r="T92" s="443">
        <v>3</v>
      </c>
    </row>
    <row r="93" spans="16:20" s="497" customFormat="1" ht="15">
      <c r="P93" s="447"/>
      <c r="Q93" s="450">
        <v>5</v>
      </c>
      <c r="R93" s="450">
        <v>100</v>
      </c>
      <c r="S93" s="450">
        <v>0</v>
      </c>
      <c r="T93" s="443">
        <v>5.5</v>
      </c>
    </row>
    <row r="94" spans="16:20" s="497" customFormat="1" ht="15">
      <c r="P94" s="447"/>
      <c r="Q94" s="450">
        <v>5</v>
      </c>
      <c r="R94" s="450">
        <v>100</v>
      </c>
      <c r="S94" s="450">
        <v>0.05</v>
      </c>
      <c r="T94" s="443">
        <v>5.5</v>
      </c>
    </row>
    <row r="95" spans="16:20" s="497" customFormat="1" ht="15">
      <c r="P95" s="447"/>
      <c r="Q95" s="450">
        <v>5</v>
      </c>
      <c r="R95" s="450">
        <v>100</v>
      </c>
      <c r="S95" s="450">
        <v>0.1</v>
      </c>
      <c r="T95" s="443">
        <v>4</v>
      </c>
    </row>
    <row r="96" spans="16:20" s="497" customFormat="1" ht="15">
      <c r="P96" s="447"/>
      <c r="Q96" s="450">
        <v>5</v>
      </c>
      <c r="R96" s="450">
        <v>100</v>
      </c>
      <c r="S96" s="450">
        <v>0.15</v>
      </c>
      <c r="T96" s="443">
        <v>4</v>
      </c>
    </row>
    <row r="97" spans="16:20" s="497" customFormat="1" ht="15">
      <c r="P97" s="447"/>
      <c r="Q97" s="450">
        <v>5</v>
      </c>
      <c r="R97" s="450">
        <v>100</v>
      </c>
      <c r="S97" s="450">
        <v>0.2</v>
      </c>
      <c r="T97" s="443">
        <v>3</v>
      </c>
    </row>
    <row r="98" spans="16:20" s="497" customFormat="1" ht="15">
      <c r="P98" s="447"/>
      <c r="Q98" s="450">
        <v>5</v>
      </c>
      <c r="R98" s="450">
        <v>100</v>
      </c>
      <c r="S98" s="450">
        <v>1</v>
      </c>
      <c r="T98" s="443">
        <v>3</v>
      </c>
    </row>
    <row r="99" spans="16:20" s="497" customFormat="1" ht="15">
      <c r="P99" s="447"/>
      <c r="Q99" s="450">
        <v>5.99</v>
      </c>
      <c r="R99" s="450">
        <v>0</v>
      </c>
      <c r="S99" s="450">
        <v>0</v>
      </c>
      <c r="T99" s="443">
        <v>1.5</v>
      </c>
    </row>
    <row r="100" spans="16:20" s="497" customFormat="1" ht="15">
      <c r="P100" s="447"/>
      <c r="Q100" s="450">
        <v>5.99</v>
      </c>
      <c r="R100" s="450">
        <v>0</v>
      </c>
      <c r="S100" s="450">
        <v>0.05</v>
      </c>
      <c r="T100" s="443">
        <v>1.5</v>
      </c>
    </row>
    <row r="101" spans="16:20" s="497" customFormat="1" ht="15">
      <c r="P101" s="447"/>
      <c r="Q101" s="450">
        <v>5.99</v>
      </c>
      <c r="R101" s="450">
        <v>0</v>
      </c>
      <c r="S101" s="450">
        <v>0.1</v>
      </c>
      <c r="T101" s="443">
        <v>1.5</v>
      </c>
    </row>
    <row r="102" spans="16:20" s="497" customFormat="1" ht="15">
      <c r="P102" s="447"/>
      <c r="Q102" s="450">
        <v>5.99</v>
      </c>
      <c r="R102" s="450">
        <v>0</v>
      </c>
      <c r="S102" s="450">
        <v>0.15</v>
      </c>
      <c r="T102" s="443">
        <v>1.5</v>
      </c>
    </row>
    <row r="103" spans="16:20" s="497" customFormat="1" ht="15">
      <c r="P103" s="447"/>
      <c r="Q103" s="450">
        <v>5.99</v>
      </c>
      <c r="R103" s="450">
        <v>0</v>
      </c>
      <c r="S103" s="450">
        <v>0.2</v>
      </c>
      <c r="T103" s="443">
        <v>1.5</v>
      </c>
    </row>
    <row r="104" spans="16:20" s="497" customFormat="1" ht="15">
      <c r="P104" s="447"/>
      <c r="Q104" s="450">
        <v>5.99</v>
      </c>
      <c r="R104" s="450">
        <v>0</v>
      </c>
      <c r="S104" s="450">
        <v>1</v>
      </c>
      <c r="T104" s="443">
        <v>1.5</v>
      </c>
    </row>
    <row r="105" spans="16:20" s="497" customFormat="1" ht="15">
      <c r="P105" s="447"/>
      <c r="Q105" s="450">
        <v>5.99</v>
      </c>
      <c r="R105" s="450">
        <v>6.4</v>
      </c>
      <c r="S105" s="450">
        <v>0</v>
      </c>
      <c r="T105" s="443">
        <v>1.5</v>
      </c>
    </row>
    <row r="106" spans="16:20" s="497" customFormat="1" ht="15">
      <c r="P106" s="447"/>
      <c r="Q106" s="450">
        <v>5.99</v>
      </c>
      <c r="R106" s="450">
        <v>6.4</v>
      </c>
      <c r="S106" s="450">
        <v>0.05</v>
      </c>
      <c r="T106" s="443">
        <v>1.5</v>
      </c>
    </row>
    <row r="107" spans="16:20" s="497" customFormat="1" ht="15">
      <c r="P107" s="447"/>
      <c r="Q107" s="450">
        <v>5.99</v>
      </c>
      <c r="R107" s="450">
        <v>6.4</v>
      </c>
      <c r="S107" s="450">
        <v>0.1</v>
      </c>
      <c r="T107" s="443">
        <v>1.5</v>
      </c>
    </row>
    <row r="108" spans="16:20" s="497" customFormat="1" ht="15">
      <c r="P108" s="447"/>
      <c r="Q108" s="450">
        <v>5.99</v>
      </c>
      <c r="R108" s="450">
        <v>6.4</v>
      </c>
      <c r="S108" s="450">
        <v>0.15</v>
      </c>
      <c r="T108" s="443">
        <v>1.5</v>
      </c>
    </row>
    <row r="109" spans="16:20" s="497" customFormat="1" ht="15">
      <c r="P109" s="447"/>
      <c r="Q109" s="450">
        <v>5.99</v>
      </c>
      <c r="R109" s="450">
        <v>6.4</v>
      </c>
      <c r="S109" s="450">
        <v>0.2</v>
      </c>
      <c r="T109" s="443">
        <v>1.5</v>
      </c>
    </row>
    <row r="110" spans="16:20" s="497" customFormat="1" ht="15">
      <c r="P110" s="447"/>
      <c r="Q110" s="450">
        <v>5.99</v>
      </c>
      <c r="R110" s="450">
        <v>6.4</v>
      </c>
      <c r="S110" s="450">
        <v>1</v>
      </c>
      <c r="T110" s="443">
        <v>1.5</v>
      </c>
    </row>
    <row r="111" spans="16:20" s="497" customFormat="1" ht="15">
      <c r="P111" s="447"/>
      <c r="Q111" s="450">
        <v>5.99</v>
      </c>
      <c r="R111" s="450">
        <v>6.4009999999999998</v>
      </c>
      <c r="S111" s="450">
        <v>0</v>
      </c>
      <c r="T111" s="443">
        <v>5.5</v>
      </c>
    </row>
    <row r="112" spans="16:20" s="497" customFormat="1" ht="15">
      <c r="P112" s="447"/>
      <c r="Q112" s="450">
        <v>5.99</v>
      </c>
      <c r="R112" s="450">
        <v>6.4009999999999998</v>
      </c>
      <c r="S112" s="450">
        <v>0.05</v>
      </c>
      <c r="T112" s="443">
        <v>5.5</v>
      </c>
    </row>
    <row r="113" spans="16:20" s="497" customFormat="1" ht="15">
      <c r="P113" s="447"/>
      <c r="Q113" s="450">
        <v>5.99</v>
      </c>
      <c r="R113" s="450">
        <v>6.4009999999999998</v>
      </c>
      <c r="S113" s="450">
        <v>0.1</v>
      </c>
      <c r="T113" s="443">
        <v>4</v>
      </c>
    </row>
    <row r="114" spans="16:20" s="497" customFormat="1" ht="15">
      <c r="P114" s="447"/>
      <c r="Q114" s="450">
        <v>5.99</v>
      </c>
      <c r="R114" s="450">
        <v>6.4009999999999998</v>
      </c>
      <c r="S114" s="450">
        <v>0.15</v>
      </c>
      <c r="T114" s="443">
        <v>4</v>
      </c>
    </row>
    <row r="115" spans="16:20" s="497" customFormat="1" ht="15">
      <c r="P115" s="447"/>
      <c r="Q115" s="450">
        <v>5.99</v>
      </c>
      <c r="R115" s="450">
        <v>6.4009999999999998</v>
      </c>
      <c r="S115" s="450">
        <v>0.2</v>
      </c>
      <c r="T115" s="443">
        <v>3</v>
      </c>
    </row>
    <row r="116" spans="16:20" s="497" customFormat="1" ht="15">
      <c r="P116" s="447"/>
      <c r="Q116" s="450">
        <v>5.99</v>
      </c>
      <c r="R116" s="450">
        <v>6.4009999999999998</v>
      </c>
      <c r="S116" s="450">
        <v>1</v>
      </c>
      <c r="T116" s="443">
        <v>3</v>
      </c>
    </row>
    <row r="117" spans="16:20" s="497" customFormat="1" ht="15">
      <c r="P117" s="447"/>
      <c r="Q117" s="450">
        <v>5.99</v>
      </c>
      <c r="R117" s="450">
        <v>100</v>
      </c>
      <c r="S117" s="450">
        <v>0</v>
      </c>
      <c r="T117" s="443">
        <v>5.5</v>
      </c>
    </row>
    <row r="118" spans="16:20" s="497" customFormat="1" ht="15">
      <c r="P118" s="447"/>
      <c r="Q118" s="450">
        <v>5.99</v>
      </c>
      <c r="R118" s="450">
        <v>100</v>
      </c>
      <c r="S118" s="450">
        <v>0.05</v>
      </c>
      <c r="T118" s="443">
        <v>5.5</v>
      </c>
    </row>
    <row r="119" spans="16:20" s="497" customFormat="1" ht="15">
      <c r="P119" s="447"/>
      <c r="Q119" s="450">
        <v>5.99</v>
      </c>
      <c r="R119" s="450">
        <v>100</v>
      </c>
      <c r="S119" s="450">
        <v>0.1</v>
      </c>
      <c r="T119" s="443">
        <v>4</v>
      </c>
    </row>
    <row r="120" spans="16:20" s="497" customFormat="1" ht="15">
      <c r="P120" s="447"/>
      <c r="Q120" s="450">
        <v>5.99</v>
      </c>
      <c r="R120" s="450">
        <v>100</v>
      </c>
      <c r="S120" s="450">
        <v>0.15</v>
      </c>
      <c r="T120" s="443">
        <v>4</v>
      </c>
    </row>
    <row r="121" spans="16:20" s="497" customFormat="1" ht="15">
      <c r="P121" s="447"/>
      <c r="Q121" s="450">
        <v>5.99</v>
      </c>
      <c r="R121" s="450">
        <v>100</v>
      </c>
      <c r="S121" s="450">
        <v>0.2</v>
      </c>
      <c r="T121" s="443">
        <v>3</v>
      </c>
    </row>
    <row r="122" spans="16:20" s="497" customFormat="1" ht="15">
      <c r="P122" s="447"/>
      <c r="Q122" s="450">
        <v>5.99</v>
      </c>
      <c r="R122" s="450">
        <v>100</v>
      </c>
      <c r="S122" s="450">
        <v>1</v>
      </c>
      <c r="T122" s="443">
        <v>3</v>
      </c>
    </row>
    <row r="123" spans="16:20" s="497" customFormat="1" ht="15">
      <c r="P123" s="447"/>
      <c r="Q123" s="450">
        <v>6</v>
      </c>
      <c r="R123" s="450">
        <v>0</v>
      </c>
      <c r="S123" s="450">
        <v>0</v>
      </c>
      <c r="T123" s="443">
        <v>1.5</v>
      </c>
    </row>
    <row r="124" spans="16:20" s="497" customFormat="1" ht="15">
      <c r="P124" s="447"/>
      <c r="Q124" s="450">
        <v>6</v>
      </c>
      <c r="R124" s="450">
        <v>0</v>
      </c>
      <c r="S124" s="450">
        <v>0.05</v>
      </c>
      <c r="T124" s="443">
        <v>1.5</v>
      </c>
    </row>
    <row r="125" spans="16:20" s="497" customFormat="1" ht="15">
      <c r="P125" s="447"/>
      <c r="Q125" s="450">
        <v>6</v>
      </c>
      <c r="R125" s="450">
        <v>0</v>
      </c>
      <c r="S125" s="450">
        <v>0.1</v>
      </c>
      <c r="T125" s="443">
        <v>1.5</v>
      </c>
    </row>
    <row r="126" spans="16:20" s="497" customFormat="1" ht="15">
      <c r="P126" s="447"/>
      <c r="Q126" s="450">
        <v>6</v>
      </c>
      <c r="R126" s="450">
        <v>0</v>
      </c>
      <c r="S126" s="450">
        <v>0.15</v>
      </c>
      <c r="T126" s="443">
        <v>1.5</v>
      </c>
    </row>
    <row r="127" spans="16:20" s="497" customFormat="1" ht="15">
      <c r="P127" s="447"/>
      <c r="Q127" s="450">
        <v>6</v>
      </c>
      <c r="R127" s="450">
        <v>0</v>
      </c>
      <c r="S127" s="450">
        <v>0.2</v>
      </c>
      <c r="T127" s="443">
        <v>1.5</v>
      </c>
    </row>
    <row r="128" spans="16:20" s="497" customFormat="1" ht="15">
      <c r="P128" s="447"/>
      <c r="Q128" s="450">
        <v>6</v>
      </c>
      <c r="R128" s="450">
        <v>0</v>
      </c>
      <c r="S128" s="450">
        <v>1</v>
      </c>
      <c r="T128" s="443">
        <v>1.5</v>
      </c>
    </row>
    <row r="129" spans="16:20" s="497" customFormat="1" ht="15">
      <c r="P129" s="447"/>
      <c r="Q129" s="450">
        <v>6</v>
      </c>
      <c r="R129" s="450">
        <v>6.4</v>
      </c>
      <c r="S129" s="450">
        <v>0</v>
      </c>
      <c r="T129" s="443">
        <v>1.5</v>
      </c>
    </row>
    <row r="130" spans="16:20" s="497" customFormat="1" ht="15">
      <c r="P130" s="447"/>
      <c r="Q130" s="450">
        <v>6</v>
      </c>
      <c r="R130" s="450">
        <v>6.4</v>
      </c>
      <c r="S130" s="450">
        <v>0.05</v>
      </c>
      <c r="T130" s="443">
        <v>1.5</v>
      </c>
    </row>
    <row r="131" spans="16:20" s="497" customFormat="1" ht="15">
      <c r="P131" s="447"/>
      <c r="Q131" s="450">
        <v>6</v>
      </c>
      <c r="R131" s="450">
        <v>6.4</v>
      </c>
      <c r="S131" s="450">
        <v>0.1</v>
      </c>
      <c r="T131" s="443">
        <v>1.5</v>
      </c>
    </row>
    <row r="132" spans="16:20" s="497" customFormat="1" ht="15">
      <c r="P132" s="447"/>
      <c r="Q132" s="450">
        <v>6</v>
      </c>
      <c r="R132" s="450">
        <v>6.4</v>
      </c>
      <c r="S132" s="450">
        <v>0.15</v>
      </c>
      <c r="T132" s="443">
        <v>1.5</v>
      </c>
    </row>
    <row r="133" spans="16:20" s="497" customFormat="1" ht="15">
      <c r="P133" s="447"/>
      <c r="Q133" s="450">
        <v>6</v>
      </c>
      <c r="R133" s="450">
        <v>6.4</v>
      </c>
      <c r="S133" s="450">
        <v>0.2</v>
      </c>
      <c r="T133" s="443">
        <v>1.5</v>
      </c>
    </row>
    <row r="134" spans="16:20" s="497" customFormat="1" ht="15">
      <c r="P134" s="447"/>
      <c r="Q134" s="450">
        <v>6</v>
      </c>
      <c r="R134" s="450">
        <v>6.4</v>
      </c>
      <c r="S134" s="450">
        <v>1</v>
      </c>
      <c r="T134" s="443">
        <v>1.5</v>
      </c>
    </row>
    <row r="135" spans="16:20" s="497" customFormat="1" ht="15">
      <c r="P135" s="447"/>
      <c r="Q135" s="450">
        <v>6</v>
      </c>
      <c r="R135" s="450">
        <v>6.4009999999999998</v>
      </c>
      <c r="S135" s="450">
        <v>0</v>
      </c>
      <c r="T135" s="443">
        <v>7.5</v>
      </c>
    </row>
    <row r="136" spans="16:20" s="497" customFormat="1" ht="15">
      <c r="P136" s="447"/>
      <c r="Q136" s="450">
        <v>6</v>
      </c>
      <c r="R136" s="450">
        <v>6.4009999999999998</v>
      </c>
      <c r="S136" s="450">
        <v>0.05</v>
      </c>
      <c r="T136" s="443">
        <v>7.5</v>
      </c>
    </row>
    <row r="137" spans="16:20" s="497" customFormat="1" ht="15">
      <c r="P137" s="447"/>
      <c r="Q137" s="450">
        <v>6</v>
      </c>
      <c r="R137" s="450">
        <v>6.4009999999999998</v>
      </c>
      <c r="S137" s="450">
        <v>0.1</v>
      </c>
      <c r="T137" s="443">
        <v>6</v>
      </c>
    </row>
    <row r="138" spans="16:20" s="497" customFormat="1" ht="15">
      <c r="P138" s="447"/>
      <c r="Q138" s="450">
        <v>6</v>
      </c>
      <c r="R138" s="450">
        <v>6.4009999999999998</v>
      </c>
      <c r="S138" s="450">
        <v>0.15</v>
      </c>
      <c r="T138" s="443">
        <v>5.5</v>
      </c>
    </row>
    <row r="139" spans="16:20" s="497" customFormat="1" ht="15">
      <c r="P139" s="447"/>
      <c r="Q139" s="450">
        <v>6</v>
      </c>
      <c r="R139" s="450">
        <v>6.4009999999999998</v>
      </c>
      <c r="S139" s="450">
        <v>0.2</v>
      </c>
      <c r="T139" s="443">
        <v>4.5</v>
      </c>
    </row>
    <row r="140" spans="16:20" s="497" customFormat="1" ht="15">
      <c r="P140" s="447"/>
      <c r="Q140" s="450">
        <v>6</v>
      </c>
      <c r="R140" s="450">
        <v>6.4009999999999998</v>
      </c>
      <c r="S140" s="450">
        <v>1</v>
      </c>
      <c r="T140" s="443">
        <v>4.5</v>
      </c>
    </row>
    <row r="141" spans="16:20" s="497" customFormat="1" ht="15">
      <c r="P141" s="447"/>
      <c r="Q141" s="450">
        <v>6</v>
      </c>
      <c r="R141" s="450">
        <v>100</v>
      </c>
      <c r="S141" s="450">
        <v>0</v>
      </c>
      <c r="T141" s="443">
        <v>7.5</v>
      </c>
    </row>
    <row r="142" spans="16:20" s="497" customFormat="1" ht="15">
      <c r="P142" s="447"/>
      <c r="Q142" s="450">
        <v>6</v>
      </c>
      <c r="R142" s="450">
        <v>100</v>
      </c>
      <c r="S142" s="450">
        <v>0.05</v>
      </c>
      <c r="T142" s="443">
        <v>7.5</v>
      </c>
    </row>
    <row r="143" spans="16:20" s="497" customFormat="1" ht="15">
      <c r="P143" s="447"/>
      <c r="Q143" s="450">
        <v>6</v>
      </c>
      <c r="R143" s="450">
        <v>100</v>
      </c>
      <c r="S143" s="450">
        <v>0.1</v>
      </c>
      <c r="T143" s="443">
        <v>6</v>
      </c>
    </row>
    <row r="144" spans="16:20" s="497" customFormat="1" ht="15">
      <c r="P144" s="447"/>
      <c r="Q144" s="450">
        <v>6</v>
      </c>
      <c r="R144" s="450">
        <v>100</v>
      </c>
      <c r="S144" s="450">
        <v>0.15</v>
      </c>
      <c r="T144" s="443">
        <v>5.5</v>
      </c>
    </row>
    <row r="145" spans="16:20" s="497" customFormat="1" ht="15">
      <c r="P145" s="447"/>
      <c r="Q145" s="450">
        <v>6</v>
      </c>
      <c r="R145" s="450">
        <v>100</v>
      </c>
      <c r="S145" s="450">
        <v>0.2</v>
      </c>
      <c r="T145" s="443">
        <v>4.5</v>
      </c>
    </row>
    <row r="146" spans="16:20" s="497" customFormat="1" ht="15">
      <c r="P146" s="447"/>
      <c r="Q146" s="450">
        <v>6</v>
      </c>
      <c r="R146" s="450">
        <v>100</v>
      </c>
      <c r="S146" s="450">
        <v>1</v>
      </c>
      <c r="T146" s="443">
        <v>4.5</v>
      </c>
    </row>
    <row r="147" spans="16:20" s="497" customFormat="1" ht="15">
      <c r="P147" s="447"/>
      <c r="Q147" s="450">
        <v>100</v>
      </c>
      <c r="R147" s="450">
        <v>0</v>
      </c>
      <c r="S147" s="450">
        <v>0</v>
      </c>
      <c r="T147" s="443">
        <v>1.5</v>
      </c>
    </row>
    <row r="148" spans="16:20" s="497" customFormat="1" ht="15">
      <c r="P148" s="447"/>
      <c r="Q148" s="450">
        <v>100</v>
      </c>
      <c r="R148" s="450">
        <v>0</v>
      </c>
      <c r="S148" s="450">
        <v>0.05</v>
      </c>
      <c r="T148" s="443">
        <v>1.5</v>
      </c>
    </row>
    <row r="149" spans="16:20" s="497" customFormat="1" ht="15">
      <c r="P149" s="447"/>
      <c r="Q149" s="450">
        <v>100</v>
      </c>
      <c r="R149" s="450">
        <v>0</v>
      </c>
      <c r="S149" s="450">
        <v>0.1</v>
      </c>
      <c r="T149" s="443">
        <v>1.5</v>
      </c>
    </row>
    <row r="150" spans="16:20" s="497" customFormat="1" ht="15">
      <c r="P150" s="447"/>
      <c r="Q150" s="450">
        <v>100</v>
      </c>
      <c r="R150" s="450">
        <v>0</v>
      </c>
      <c r="S150" s="450">
        <v>0.15</v>
      </c>
      <c r="T150" s="443">
        <v>1.5</v>
      </c>
    </row>
    <row r="151" spans="16:20" s="497" customFormat="1" ht="15">
      <c r="P151" s="447"/>
      <c r="Q151" s="450">
        <v>100</v>
      </c>
      <c r="R151" s="450">
        <v>0</v>
      </c>
      <c r="S151" s="450">
        <v>0.2</v>
      </c>
      <c r="T151" s="443">
        <v>1.5</v>
      </c>
    </row>
    <row r="152" spans="16:20" s="497" customFormat="1" ht="15">
      <c r="P152" s="447"/>
      <c r="Q152" s="450">
        <v>100</v>
      </c>
      <c r="R152" s="450">
        <v>0</v>
      </c>
      <c r="S152" s="450">
        <v>1</v>
      </c>
      <c r="T152" s="443">
        <v>1.5</v>
      </c>
    </row>
    <row r="153" spans="16:20" s="497" customFormat="1" ht="15">
      <c r="P153" s="447"/>
      <c r="Q153" s="450">
        <v>100</v>
      </c>
      <c r="R153" s="450">
        <v>6.4</v>
      </c>
      <c r="S153" s="450">
        <v>0</v>
      </c>
      <c r="T153" s="443">
        <v>1.5</v>
      </c>
    </row>
    <row r="154" spans="16:20" s="497" customFormat="1" ht="15">
      <c r="P154" s="447"/>
      <c r="Q154" s="450">
        <v>100</v>
      </c>
      <c r="R154" s="450">
        <v>6.4</v>
      </c>
      <c r="S154" s="450">
        <v>0.05</v>
      </c>
      <c r="T154" s="443">
        <v>1.5</v>
      </c>
    </row>
    <row r="155" spans="16:20" s="497" customFormat="1" ht="15">
      <c r="P155" s="447"/>
      <c r="Q155" s="450">
        <v>100</v>
      </c>
      <c r="R155" s="450">
        <v>6.4</v>
      </c>
      <c r="S155" s="450">
        <v>0.1</v>
      </c>
      <c r="T155" s="443">
        <v>1.5</v>
      </c>
    </row>
    <row r="156" spans="16:20" s="497" customFormat="1" ht="15">
      <c r="P156" s="447"/>
      <c r="Q156" s="450">
        <v>100</v>
      </c>
      <c r="R156" s="450">
        <v>6.4</v>
      </c>
      <c r="S156" s="450">
        <v>0.15</v>
      </c>
      <c r="T156" s="443">
        <v>1.5</v>
      </c>
    </row>
    <row r="157" spans="16:20" s="497" customFormat="1" ht="15">
      <c r="P157" s="447"/>
      <c r="Q157" s="450">
        <v>100</v>
      </c>
      <c r="R157" s="450">
        <v>6.4</v>
      </c>
      <c r="S157" s="450">
        <v>0.2</v>
      </c>
      <c r="T157" s="443">
        <v>1.5</v>
      </c>
    </row>
    <row r="158" spans="16:20" s="497" customFormat="1" ht="15">
      <c r="P158" s="447"/>
      <c r="Q158" s="450">
        <v>100</v>
      </c>
      <c r="R158" s="450">
        <v>6.4</v>
      </c>
      <c r="S158" s="450">
        <v>1</v>
      </c>
      <c r="T158" s="443">
        <v>1.5</v>
      </c>
    </row>
    <row r="159" spans="16:20" s="497" customFormat="1" ht="15">
      <c r="P159" s="447"/>
      <c r="Q159" s="450">
        <v>100</v>
      </c>
      <c r="R159" s="450">
        <v>6.4009999999999998</v>
      </c>
      <c r="S159" s="450">
        <v>0</v>
      </c>
      <c r="T159" s="443">
        <v>7.5</v>
      </c>
    </row>
    <row r="160" spans="16:20" s="497" customFormat="1" ht="15">
      <c r="P160" s="447"/>
      <c r="Q160" s="450">
        <v>100</v>
      </c>
      <c r="R160" s="450">
        <v>6.4009999999999998</v>
      </c>
      <c r="S160" s="450">
        <v>0.05</v>
      </c>
      <c r="T160" s="443">
        <v>7.5</v>
      </c>
    </row>
    <row r="161" spans="16:20" s="497" customFormat="1" ht="15">
      <c r="P161" s="447"/>
      <c r="Q161" s="450">
        <v>100</v>
      </c>
      <c r="R161" s="450">
        <v>6.4009999999999998</v>
      </c>
      <c r="S161" s="450">
        <v>0.1</v>
      </c>
      <c r="T161" s="443">
        <v>6</v>
      </c>
    </row>
    <row r="162" spans="16:20" s="497" customFormat="1" ht="15">
      <c r="P162" s="447"/>
      <c r="Q162" s="450">
        <v>100</v>
      </c>
      <c r="R162" s="450">
        <v>6.4009999999999998</v>
      </c>
      <c r="S162" s="450">
        <v>0.15</v>
      </c>
      <c r="T162" s="443">
        <v>5.5</v>
      </c>
    </row>
    <row r="163" spans="16:20" s="497" customFormat="1" ht="15">
      <c r="P163" s="447"/>
      <c r="Q163" s="450">
        <v>100</v>
      </c>
      <c r="R163" s="450">
        <v>6.4009999999999998</v>
      </c>
      <c r="S163" s="450">
        <v>0.2</v>
      </c>
      <c r="T163" s="443">
        <v>4.5</v>
      </c>
    </row>
    <row r="164" spans="16:20" s="497" customFormat="1" ht="15">
      <c r="P164" s="447"/>
      <c r="Q164" s="450">
        <v>100</v>
      </c>
      <c r="R164" s="450">
        <v>6.4009999999999998</v>
      </c>
      <c r="S164" s="450">
        <v>1</v>
      </c>
      <c r="T164" s="443">
        <v>4.5</v>
      </c>
    </row>
    <row r="165" spans="16:20" s="497" customFormat="1" ht="15">
      <c r="P165" s="447"/>
      <c r="Q165" s="450">
        <v>100</v>
      </c>
      <c r="R165" s="450">
        <v>100</v>
      </c>
      <c r="S165" s="450">
        <v>0</v>
      </c>
      <c r="T165" s="443">
        <v>7.5</v>
      </c>
    </row>
    <row r="166" spans="16:20" s="497" customFormat="1" ht="15">
      <c r="P166" s="447"/>
      <c r="Q166" s="450">
        <v>100</v>
      </c>
      <c r="R166" s="450">
        <v>100</v>
      </c>
      <c r="S166" s="450">
        <v>0.05</v>
      </c>
      <c r="T166" s="443">
        <v>7.5</v>
      </c>
    </row>
    <row r="167" spans="16:20" s="497" customFormat="1" ht="15">
      <c r="P167" s="447"/>
      <c r="Q167" s="450">
        <v>100</v>
      </c>
      <c r="R167" s="450">
        <v>100</v>
      </c>
      <c r="S167" s="450">
        <v>0.1</v>
      </c>
      <c r="T167" s="443">
        <v>6</v>
      </c>
    </row>
    <row r="168" spans="16:20" s="497" customFormat="1" ht="15">
      <c r="P168" s="447"/>
      <c r="Q168" s="450">
        <v>100</v>
      </c>
      <c r="R168" s="450">
        <v>100</v>
      </c>
      <c r="S168" s="450">
        <v>0.15</v>
      </c>
      <c r="T168" s="443">
        <v>5.5</v>
      </c>
    </row>
    <row r="169" spans="16:20" s="497" customFormat="1" ht="15">
      <c r="P169" s="447"/>
      <c r="Q169" s="450">
        <v>100</v>
      </c>
      <c r="R169" s="450">
        <v>100</v>
      </c>
      <c r="S169" s="450">
        <v>0.2</v>
      </c>
      <c r="T169" s="443">
        <v>4.5</v>
      </c>
    </row>
    <row r="170" spans="16:20" s="497" customFormat="1" ht="15">
      <c r="P170" s="447"/>
      <c r="Q170" s="450">
        <v>100</v>
      </c>
      <c r="R170" s="450">
        <v>100</v>
      </c>
      <c r="S170" s="450">
        <v>1</v>
      </c>
      <c r="T170" s="443">
        <v>4.5</v>
      </c>
    </row>
    <row r="171" spans="16:20" s="497" customFormat="1" ht="15">
      <c r="P171" s="447"/>
      <c r="Q171" s="450"/>
      <c r="R171" s="450"/>
      <c r="S171" s="450"/>
      <c r="T171" s="443"/>
    </row>
    <row r="172" spans="16:20" s="497" customFormat="1" ht="15">
      <c r="P172" s="447"/>
      <c r="Q172" s="450"/>
      <c r="R172" s="450"/>
      <c r="S172" s="450"/>
      <c r="T172" s="443"/>
    </row>
    <row r="173" spans="16:20" s="497" customFormat="1" ht="15">
      <c r="P173" s="447"/>
      <c r="Q173" s="450"/>
      <c r="R173" s="450"/>
      <c r="S173" s="450"/>
      <c r="T173" s="443"/>
    </row>
    <row r="174" spans="16:20" s="497" customFormat="1" ht="15">
      <c r="P174" s="447"/>
      <c r="Q174" s="450"/>
      <c r="R174" s="450"/>
      <c r="S174" s="450"/>
      <c r="T174" s="443"/>
    </row>
    <row r="175" spans="16:20" s="497" customFormat="1" ht="15">
      <c r="P175" s="447"/>
      <c r="Q175" s="450"/>
      <c r="R175" s="450"/>
      <c r="S175" s="450"/>
      <c r="T175" s="443"/>
    </row>
    <row r="176" spans="16:20" s="497" customFormat="1" ht="15">
      <c r="P176" s="447"/>
      <c r="Q176" s="450"/>
      <c r="R176" s="450"/>
      <c r="S176" s="450"/>
      <c r="T176" s="443"/>
    </row>
    <row r="177" spans="16:20" s="497" customFormat="1" ht="15">
      <c r="P177" s="447"/>
      <c r="Q177" s="450"/>
      <c r="R177" s="450"/>
      <c r="S177" s="450"/>
      <c r="T177" s="443"/>
    </row>
    <row r="178" spans="16:20" s="497" customFormat="1" ht="15">
      <c r="P178" s="447"/>
      <c r="Q178" s="450"/>
      <c r="R178" s="450"/>
      <c r="S178" s="450"/>
      <c r="T178" s="443"/>
    </row>
    <row r="179" spans="16:20" s="497" customFormat="1" ht="15">
      <c r="P179" s="447"/>
      <c r="Q179" s="450"/>
      <c r="R179" s="450"/>
      <c r="S179" s="450"/>
      <c r="T179" s="443"/>
    </row>
    <row r="180" spans="16:20" s="497" customFormat="1" ht="15">
      <c r="P180" s="447"/>
      <c r="Q180" s="450"/>
      <c r="R180" s="450"/>
      <c r="S180" s="450"/>
      <c r="T180" s="443"/>
    </row>
    <row r="181" spans="16:20" s="497" customFormat="1" ht="15">
      <c r="P181" s="447"/>
      <c r="Q181" s="450"/>
      <c r="R181" s="450"/>
      <c r="S181" s="450"/>
      <c r="T181" s="443"/>
    </row>
    <row r="182" spans="16:20" s="497" customFormat="1" ht="15">
      <c r="P182" s="447"/>
      <c r="Q182" s="450"/>
      <c r="R182" s="450"/>
      <c r="S182" s="450"/>
      <c r="T182" s="443"/>
    </row>
    <row r="183" spans="16:20" s="497" customFormat="1" ht="15">
      <c r="P183" s="447"/>
      <c r="Q183" s="450"/>
      <c r="R183" s="450"/>
      <c r="S183" s="450"/>
      <c r="T183" s="443"/>
    </row>
    <row r="184" spans="16:20" s="497" customFormat="1" ht="15">
      <c r="P184" s="447"/>
      <c r="Q184" s="450"/>
      <c r="R184" s="450"/>
      <c r="S184" s="450"/>
      <c r="T184" s="443"/>
    </row>
    <row r="185" spans="16:20" s="497" customFormat="1" ht="15">
      <c r="P185" s="447"/>
      <c r="Q185" s="450"/>
      <c r="R185" s="450"/>
      <c r="S185" s="450"/>
      <c r="T185" s="443"/>
    </row>
    <row r="186" spans="16:20" s="497" customFormat="1" ht="15">
      <c r="P186" s="447"/>
      <c r="Q186" s="450"/>
      <c r="R186" s="450"/>
      <c r="S186" s="450"/>
      <c r="T186" s="443"/>
    </row>
    <row r="187" spans="16:20" s="497" customFormat="1" ht="15">
      <c r="P187" s="447"/>
      <c r="Q187" s="450"/>
      <c r="R187" s="450"/>
      <c r="S187" s="450"/>
      <c r="T187" s="443"/>
    </row>
    <row r="188" spans="16:20" s="497" customFormat="1" ht="15">
      <c r="P188" s="447"/>
      <c r="Q188" s="450"/>
      <c r="R188" s="450"/>
      <c r="S188" s="450"/>
      <c r="T188" s="443"/>
    </row>
    <row r="189" spans="16:20" s="497" customFormat="1" ht="15">
      <c r="P189" s="447"/>
      <c r="Q189" s="450"/>
      <c r="R189" s="450"/>
      <c r="S189" s="450"/>
      <c r="T189" s="443"/>
    </row>
    <row r="190" spans="16:20" s="497" customFormat="1" ht="15">
      <c r="P190" s="447"/>
      <c r="Q190" s="450"/>
      <c r="R190" s="450"/>
      <c r="S190" s="450"/>
      <c r="T190" s="443"/>
    </row>
    <row r="191" spans="16:20" s="497" customFormat="1" ht="15">
      <c r="P191" s="447"/>
      <c r="Q191" s="450"/>
      <c r="R191" s="450"/>
      <c r="S191" s="450"/>
      <c r="T191" s="443"/>
    </row>
    <row r="192" spans="16:20" s="497" customFormat="1" ht="15">
      <c r="P192" s="447"/>
      <c r="Q192" s="450"/>
      <c r="R192" s="450"/>
      <c r="S192" s="450"/>
      <c r="T192" s="443"/>
    </row>
    <row r="193" spans="16:20" s="497" customFormat="1" ht="15">
      <c r="P193" s="447"/>
      <c r="Q193" s="450"/>
      <c r="R193" s="450"/>
      <c r="S193" s="450"/>
      <c r="T193" s="443"/>
    </row>
    <row r="194" spans="16:20" s="497" customFormat="1" ht="15">
      <c r="P194" s="447"/>
      <c r="Q194" s="450"/>
      <c r="R194" s="450"/>
      <c r="S194" s="450"/>
      <c r="T194" s="443"/>
    </row>
    <row r="195" spans="16:20" s="497" customFormat="1" ht="15">
      <c r="P195" s="447"/>
      <c r="Q195" s="450"/>
      <c r="R195" s="450"/>
      <c r="S195" s="450"/>
      <c r="T195" s="443"/>
    </row>
    <row r="196" spans="16:20" s="497" customFormat="1" ht="15">
      <c r="P196" s="447"/>
      <c r="Q196" s="450"/>
      <c r="R196" s="450"/>
      <c r="S196" s="450"/>
      <c r="T196" s="443"/>
    </row>
    <row r="197" spans="16:20" s="497" customFormat="1" ht="15">
      <c r="P197" s="447"/>
      <c r="Q197" s="450"/>
      <c r="R197" s="450"/>
      <c r="S197" s="450"/>
      <c r="T197" s="443"/>
    </row>
    <row r="198" spans="16:20" s="497" customFormat="1" ht="15">
      <c r="P198" s="447"/>
      <c r="Q198" s="450"/>
      <c r="R198" s="450"/>
      <c r="S198" s="450"/>
      <c r="T198" s="443"/>
    </row>
    <row r="199" spans="16:20" s="497" customFormat="1" ht="15">
      <c r="P199" s="447"/>
      <c r="Q199" s="450"/>
      <c r="R199" s="450"/>
      <c r="S199" s="450"/>
      <c r="T199" s="443"/>
    </row>
    <row r="200" spans="16:20" s="497" customFormat="1" ht="15">
      <c r="P200" s="447"/>
      <c r="Q200" s="450"/>
      <c r="R200" s="450"/>
      <c r="S200" s="450"/>
      <c r="T200" s="443"/>
    </row>
    <row r="201" spans="16:20" s="497" customFormat="1" ht="15">
      <c r="P201" s="447"/>
      <c r="Q201" s="450"/>
      <c r="R201" s="450"/>
      <c r="S201" s="450"/>
      <c r="T201" s="443"/>
    </row>
    <row r="202" spans="16:20" s="497" customFormat="1" ht="15">
      <c r="P202" s="447"/>
      <c r="Q202" s="450"/>
      <c r="R202" s="450"/>
      <c r="S202" s="450"/>
      <c r="T202" s="443"/>
    </row>
    <row r="203" spans="16:20" s="497" customFormat="1" ht="15">
      <c r="P203" s="447"/>
      <c r="Q203" s="450"/>
      <c r="R203" s="450"/>
      <c r="S203" s="450"/>
      <c r="T203" s="443"/>
    </row>
    <row r="204" spans="16:20" s="497" customFormat="1" ht="15">
      <c r="P204" s="447"/>
      <c r="Q204" s="450"/>
      <c r="R204" s="450"/>
      <c r="S204" s="450"/>
      <c r="T204" s="443"/>
    </row>
    <row r="205" spans="16:20" s="497" customFormat="1" ht="15">
      <c r="P205" s="447"/>
      <c r="Q205" s="450"/>
      <c r="R205" s="450"/>
      <c r="S205" s="450"/>
      <c r="T205" s="443"/>
    </row>
    <row r="206" spans="16:20" s="497" customFormat="1" ht="15">
      <c r="P206" s="447"/>
      <c r="Q206" s="450"/>
      <c r="R206" s="450"/>
      <c r="S206" s="450"/>
      <c r="T206" s="443"/>
    </row>
    <row r="207" spans="16:20" s="497" customFormat="1" ht="15">
      <c r="P207" s="447"/>
      <c r="Q207" s="450"/>
      <c r="R207" s="450"/>
      <c r="S207" s="450"/>
      <c r="T207" s="443"/>
    </row>
    <row r="208" spans="16:20" s="497" customFormat="1" ht="15">
      <c r="P208" s="447"/>
      <c r="Q208" s="450"/>
      <c r="R208" s="450"/>
      <c r="S208" s="450"/>
      <c r="T208" s="443"/>
    </row>
    <row r="209" spans="16:20" s="497" customFormat="1" ht="15">
      <c r="P209" s="447"/>
      <c r="Q209" s="450"/>
      <c r="R209" s="450"/>
      <c r="S209" s="450"/>
      <c r="T209" s="443"/>
    </row>
    <row r="210" spans="16:20" s="497" customFormat="1" ht="15">
      <c r="P210" s="447"/>
      <c r="Q210" s="450"/>
      <c r="R210" s="450"/>
      <c r="S210" s="450"/>
      <c r="T210" s="443"/>
    </row>
    <row r="211" spans="16:20" s="497" customFormat="1" ht="15">
      <c r="P211" s="447"/>
      <c r="Q211" s="450"/>
      <c r="R211" s="450"/>
      <c r="S211" s="450"/>
      <c r="T211" s="443"/>
    </row>
    <row r="212" spans="16:20" s="497" customFormat="1" ht="15">
      <c r="P212" s="447"/>
      <c r="Q212" s="450"/>
      <c r="R212" s="450"/>
      <c r="S212" s="450"/>
      <c r="T212" s="443"/>
    </row>
    <row r="213" spans="16:20" s="497" customFormat="1" ht="15">
      <c r="P213" s="447"/>
      <c r="Q213" s="450"/>
      <c r="R213" s="450"/>
      <c r="S213" s="450"/>
      <c r="T213" s="443"/>
    </row>
    <row r="214" spans="16:20" s="497" customFormat="1" ht="15">
      <c r="P214" s="447"/>
      <c r="Q214" s="450"/>
      <c r="R214" s="450"/>
      <c r="S214" s="450"/>
      <c r="T214" s="443"/>
    </row>
    <row r="215" spans="16:20" s="497" customFormat="1" ht="15">
      <c r="P215" s="447"/>
      <c r="Q215" s="450"/>
      <c r="R215" s="450"/>
      <c r="S215" s="450"/>
      <c r="T215" s="443"/>
    </row>
    <row r="216" spans="16:20" s="497" customFormat="1" ht="15">
      <c r="P216" s="447"/>
      <c r="Q216" s="450"/>
      <c r="R216" s="450"/>
      <c r="S216" s="450"/>
      <c r="T216" s="443"/>
    </row>
    <row r="217" spans="16:20" s="497" customFormat="1" ht="15">
      <c r="P217" s="447"/>
      <c r="Q217" s="450"/>
      <c r="R217" s="450"/>
      <c r="S217" s="450"/>
      <c r="T217" s="443"/>
    </row>
    <row r="218" spans="16:20" s="497" customFormat="1" ht="15">
      <c r="P218" s="447"/>
      <c r="Q218" s="450"/>
      <c r="R218" s="450"/>
      <c r="S218" s="450"/>
      <c r="T218" s="443"/>
    </row>
    <row r="219" spans="16:20" s="497" customFormat="1" ht="15">
      <c r="P219" s="447"/>
      <c r="Q219" s="450"/>
      <c r="R219" s="450"/>
      <c r="S219" s="450"/>
      <c r="T219" s="443"/>
    </row>
    <row r="220" spans="16:20" s="497" customFormat="1" ht="15">
      <c r="P220" s="447"/>
      <c r="Q220" s="450"/>
      <c r="R220" s="450"/>
      <c r="S220" s="450"/>
      <c r="T220" s="443"/>
    </row>
    <row r="221" spans="16:20" s="497" customFormat="1" ht="15">
      <c r="P221" s="447"/>
      <c r="Q221" s="450"/>
      <c r="R221" s="450"/>
      <c r="S221" s="450"/>
      <c r="T221" s="443"/>
    </row>
    <row r="222" spans="16:20" s="497" customFormat="1" ht="15">
      <c r="P222" s="447"/>
      <c r="Q222" s="450"/>
      <c r="R222" s="450"/>
      <c r="S222" s="450"/>
      <c r="T222" s="443"/>
    </row>
    <row r="223" spans="16:20" s="497" customFormat="1" ht="15">
      <c r="P223" s="447"/>
      <c r="Q223" s="450"/>
      <c r="R223" s="450"/>
      <c r="S223" s="450"/>
      <c r="T223" s="443"/>
    </row>
    <row r="224" spans="16:20" s="497" customFormat="1" ht="15">
      <c r="P224" s="447"/>
      <c r="Q224" s="450"/>
      <c r="R224" s="450"/>
      <c r="S224" s="450"/>
      <c r="T224" s="443"/>
    </row>
    <row r="225" spans="16:20" s="497" customFormat="1" ht="15">
      <c r="P225" s="447"/>
      <c r="Q225" s="450"/>
      <c r="R225" s="450"/>
      <c r="S225" s="450"/>
      <c r="T225" s="443"/>
    </row>
    <row r="226" spans="16:20" s="497" customFormat="1" ht="15">
      <c r="P226" s="447"/>
      <c r="Q226" s="450"/>
      <c r="R226" s="450"/>
      <c r="S226" s="450"/>
      <c r="T226" s="443"/>
    </row>
    <row r="227" spans="16:20" s="497" customFormat="1" ht="15">
      <c r="P227" s="447"/>
      <c r="Q227" s="450"/>
      <c r="R227" s="450"/>
      <c r="S227" s="450"/>
      <c r="T227" s="443"/>
    </row>
    <row r="228" spans="16:20" s="497" customFormat="1" ht="15">
      <c r="P228" s="447"/>
      <c r="Q228" s="450"/>
      <c r="R228" s="450"/>
      <c r="S228" s="450"/>
      <c r="T228" s="443"/>
    </row>
    <row r="229" spans="16:20" s="497" customFormat="1" ht="15">
      <c r="P229" s="447"/>
      <c r="Q229" s="450"/>
      <c r="R229" s="450"/>
      <c r="S229" s="450"/>
      <c r="T229" s="443"/>
    </row>
    <row r="230" spans="16:20" s="497" customFormat="1" ht="15">
      <c r="P230" s="447"/>
      <c r="Q230" s="450"/>
      <c r="R230" s="450"/>
      <c r="S230" s="450"/>
      <c r="T230" s="443"/>
    </row>
    <row r="231" spans="16:20" s="497" customFormat="1" ht="15">
      <c r="P231" s="447"/>
      <c r="Q231" s="450"/>
      <c r="R231" s="450"/>
      <c r="S231" s="450"/>
      <c r="T231" s="443"/>
    </row>
    <row r="232" spans="16:20" s="497" customFormat="1" ht="15">
      <c r="P232" s="447"/>
      <c r="Q232" s="450"/>
      <c r="R232" s="450"/>
      <c r="S232" s="450"/>
      <c r="T232" s="443"/>
    </row>
    <row r="233" spans="16:20" s="497" customFormat="1" ht="15">
      <c r="P233" s="447"/>
      <c r="Q233" s="450"/>
      <c r="R233" s="450"/>
      <c r="S233" s="450"/>
      <c r="T233" s="443"/>
    </row>
    <row r="234" spans="16:20" s="497" customFormat="1" ht="15">
      <c r="P234" s="447"/>
      <c r="Q234" s="450"/>
      <c r="R234" s="450"/>
      <c r="S234" s="450"/>
      <c r="T234" s="443"/>
    </row>
    <row r="235" spans="16:20" s="497" customFormat="1" ht="15">
      <c r="P235" s="447"/>
      <c r="Q235" s="450"/>
      <c r="R235" s="450"/>
      <c r="S235" s="450"/>
      <c r="T235" s="443"/>
    </row>
    <row r="236" spans="16:20" s="497" customFormat="1" ht="15">
      <c r="P236" s="447"/>
      <c r="Q236" s="450"/>
      <c r="R236" s="450"/>
      <c r="S236" s="450"/>
      <c r="T236" s="443"/>
    </row>
    <row r="237" spans="16:20" s="497" customFormat="1" ht="15">
      <c r="P237" s="447"/>
      <c r="Q237" s="450"/>
      <c r="R237" s="450"/>
      <c r="S237" s="450"/>
      <c r="T237" s="443"/>
    </row>
    <row r="238" spans="16:20" s="497" customFormat="1" ht="15">
      <c r="P238" s="447"/>
      <c r="Q238" s="450"/>
      <c r="R238" s="450"/>
      <c r="S238" s="450"/>
      <c r="T238" s="443"/>
    </row>
    <row r="239" spans="16:20" s="497" customFormat="1" ht="15">
      <c r="P239" s="447"/>
      <c r="Q239" s="450"/>
      <c r="R239" s="450"/>
      <c r="S239" s="450"/>
      <c r="T239" s="443"/>
    </row>
    <row r="240" spans="16:20" s="497" customFormat="1" ht="15">
      <c r="P240" s="447"/>
      <c r="Q240" s="450"/>
      <c r="R240" s="450"/>
      <c r="S240" s="450"/>
      <c r="T240" s="443"/>
    </row>
    <row r="241" spans="16:20" s="497" customFormat="1" ht="15">
      <c r="P241" s="447"/>
      <c r="Q241" s="450"/>
      <c r="R241" s="450"/>
      <c r="S241" s="450"/>
      <c r="T241" s="443"/>
    </row>
    <row r="242" spans="16:20" s="497" customFormat="1" ht="15">
      <c r="P242" s="447"/>
      <c r="Q242" s="450"/>
      <c r="R242" s="450"/>
      <c r="S242" s="450"/>
      <c r="T242" s="443"/>
    </row>
    <row r="243" spans="16:20" s="497" customFormat="1" ht="15">
      <c r="P243" s="447"/>
      <c r="Q243" s="450"/>
      <c r="R243" s="450"/>
      <c r="S243" s="450"/>
      <c r="T243" s="443"/>
    </row>
    <row r="244" spans="16:20" s="497" customFormat="1" ht="15">
      <c r="P244" s="447"/>
      <c r="Q244" s="450"/>
      <c r="R244" s="450"/>
      <c r="S244" s="450"/>
      <c r="T244" s="443"/>
    </row>
    <row r="245" spans="16:20" s="497" customFormat="1" ht="15">
      <c r="P245" s="447"/>
      <c r="Q245" s="450"/>
      <c r="R245" s="450"/>
      <c r="S245" s="450"/>
      <c r="T245" s="443"/>
    </row>
    <row r="246" spans="16:20" s="497" customFormat="1" ht="15">
      <c r="P246" s="447"/>
      <c r="Q246" s="450"/>
      <c r="R246" s="450"/>
      <c r="S246" s="450"/>
      <c r="T246" s="443"/>
    </row>
    <row r="247" spans="16:20" s="497" customFormat="1" ht="15">
      <c r="P247" s="447"/>
      <c r="Q247" s="450"/>
      <c r="R247" s="450"/>
      <c r="S247" s="450"/>
      <c r="T247" s="443"/>
    </row>
    <row r="248" spans="16:20" s="497" customFormat="1" ht="15">
      <c r="P248" s="447"/>
      <c r="Q248" s="450"/>
      <c r="R248" s="450"/>
      <c r="S248" s="450"/>
      <c r="T248" s="443"/>
    </row>
    <row r="249" spans="16:20" s="497" customFormat="1" ht="15">
      <c r="P249" s="447"/>
      <c r="Q249" s="450"/>
      <c r="R249" s="450"/>
      <c r="S249" s="450"/>
      <c r="T249" s="443"/>
    </row>
    <row r="250" spans="16:20" s="497" customFormat="1" ht="15">
      <c r="P250" s="447"/>
      <c r="Q250" s="450"/>
      <c r="R250" s="450"/>
      <c r="S250" s="450"/>
      <c r="T250" s="443"/>
    </row>
    <row r="251" spans="16:20" s="497" customFormat="1" ht="15">
      <c r="P251" s="447"/>
      <c r="Q251" s="450"/>
      <c r="R251" s="450"/>
      <c r="S251" s="450"/>
      <c r="T251" s="443"/>
    </row>
    <row r="252" spans="16:20" s="497" customFormat="1" ht="15">
      <c r="P252" s="447"/>
      <c r="Q252" s="450"/>
      <c r="R252" s="450"/>
      <c r="S252" s="450"/>
      <c r="T252" s="443"/>
    </row>
    <row r="253" spans="16:20" s="497" customFormat="1" ht="15">
      <c r="P253" s="447"/>
      <c r="Q253" s="450"/>
      <c r="R253" s="450"/>
      <c r="S253" s="450"/>
      <c r="T253" s="443"/>
    </row>
    <row r="254" spans="16:20" s="497" customFormat="1" ht="15">
      <c r="P254" s="447"/>
      <c r="Q254" s="450"/>
      <c r="R254" s="450"/>
      <c r="S254" s="450"/>
      <c r="T254" s="443"/>
    </row>
    <row r="255" spans="16:20" s="497" customFormat="1" ht="15">
      <c r="P255" s="447"/>
      <c r="Q255" s="450"/>
      <c r="R255" s="450"/>
      <c r="S255" s="450"/>
      <c r="T255" s="443"/>
    </row>
    <row r="256" spans="16:20" s="497" customFormat="1" ht="15">
      <c r="P256" s="447"/>
      <c r="Q256" s="450"/>
      <c r="R256" s="450"/>
      <c r="S256" s="450"/>
      <c r="T256" s="443"/>
    </row>
    <row r="257" spans="16:20" s="497" customFormat="1" ht="15">
      <c r="P257" s="447"/>
      <c r="Q257" s="450"/>
      <c r="R257" s="450"/>
      <c r="S257" s="450"/>
      <c r="T257" s="443"/>
    </row>
    <row r="258" spans="16:20" s="497" customFormat="1" ht="15">
      <c r="P258" s="447"/>
      <c r="Q258" s="450"/>
      <c r="R258" s="450"/>
      <c r="S258" s="450"/>
      <c r="T258" s="443"/>
    </row>
    <row r="259" spans="16:20" s="497" customFormat="1" ht="15">
      <c r="P259" s="447"/>
      <c r="Q259" s="450"/>
      <c r="R259" s="450"/>
      <c r="S259" s="450"/>
      <c r="T259" s="443"/>
    </row>
    <row r="260" spans="16:20" s="497" customFormat="1" ht="15">
      <c r="P260" s="447"/>
      <c r="Q260" s="450"/>
      <c r="R260" s="450"/>
      <c r="S260" s="450"/>
      <c r="T260" s="443"/>
    </row>
    <row r="261" spans="16:20" s="497" customFormat="1" ht="15">
      <c r="P261" s="447"/>
      <c r="Q261" s="450"/>
      <c r="R261" s="450"/>
      <c r="S261" s="450"/>
      <c r="T261" s="443"/>
    </row>
    <row r="262" spans="16:20" s="497" customFormat="1" ht="15">
      <c r="P262" s="447"/>
      <c r="Q262" s="450"/>
      <c r="R262" s="450"/>
      <c r="S262" s="450"/>
      <c r="T262" s="443"/>
    </row>
    <row r="263" spans="16:20" s="497" customFormat="1" ht="15">
      <c r="P263" s="447"/>
      <c r="Q263" s="450"/>
      <c r="R263" s="450"/>
      <c r="S263" s="450"/>
      <c r="T263" s="443"/>
    </row>
    <row r="264" spans="16:20" s="497" customFormat="1" ht="15">
      <c r="P264" s="447"/>
      <c r="Q264" s="450"/>
      <c r="R264" s="450"/>
      <c r="S264" s="450"/>
      <c r="T264" s="443"/>
    </row>
    <row r="265" spans="16:20" s="497" customFormat="1" ht="15">
      <c r="P265" s="447"/>
      <c r="Q265" s="450"/>
      <c r="R265" s="450"/>
      <c r="S265" s="450"/>
      <c r="T265" s="443"/>
    </row>
    <row r="266" spans="16:20" s="497" customFormat="1" ht="15">
      <c r="P266" s="447"/>
      <c r="Q266" s="450"/>
      <c r="R266" s="450"/>
      <c r="S266" s="450"/>
      <c r="T266" s="443"/>
    </row>
    <row r="267" spans="16:20" s="497" customFormat="1" ht="15">
      <c r="P267" s="447"/>
      <c r="Q267" s="450"/>
      <c r="R267" s="450"/>
      <c r="S267" s="450"/>
      <c r="T267" s="443"/>
    </row>
    <row r="268" spans="16:20" s="497" customFormat="1" ht="15">
      <c r="P268" s="447"/>
      <c r="Q268" s="450"/>
      <c r="R268" s="450"/>
      <c r="S268" s="450"/>
      <c r="T268" s="443"/>
    </row>
    <row r="269" spans="16:20" s="497" customFormat="1" ht="15">
      <c r="P269" s="447"/>
      <c r="Q269" s="450"/>
      <c r="R269" s="450"/>
      <c r="S269" s="450"/>
      <c r="T269" s="443"/>
    </row>
    <row r="270" spans="16:20" s="497" customFormat="1" ht="15">
      <c r="P270" s="447"/>
      <c r="Q270" s="450"/>
      <c r="R270" s="450"/>
      <c r="S270" s="450"/>
      <c r="T270" s="443"/>
    </row>
    <row r="271" spans="16:20" s="497" customFormat="1" ht="15">
      <c r="P271" s="447"/>
      <c r="Q271" s="450"/>
      <c r="R271" s="450"/>
      <c r="S271" s="450"/>
      <c r="T271" s="443"/>
    </row>
    <row r="272" spans="16:20" s="497" customFormat="1" ht="15">
      <c r="P272" s="447"/>
      <c r="Q272" s="450"/>
      <c r="R272" s="450"/>
      <c r="S272" s="450"/>
      <c r="T272" s="443"/>
    </row>
    <row r="273" spans="16:20" s="497" customFormat="1" ht="15">
      <c r="P273" s="447"/>
      <c r="Q273" s="450"/>
      <c r="R273" s="450"/>
      <c r="S273" s="450"/>
      <c r="T273" s="443"/>
    </row>
    <row r="274" spans="16:20" s="497" customFormat="1" ht="15">
      <c r="P274" s="447"/>
      <c r="Q274" s="450"/>
      <c r="R274" s="450"/>
      <c r="S274" s="450"/>
      <c r="T274" s="443"/>
    </row>
    <row r="275" spans="16:20" s="497" customFormat="1" ht="15">
      <c r="P275" s="447"/>
      <c r="Q275" s="450"/>
      <c r="R275" s="450"/>
      <c r="S275" s="450"/>
      <c r="T275" s="443"/>
    </row>
    <row r="276" spans="16:20" s="497" customFormat="1" ht="15">
      <c r="P276" s="447"/>
      <c r="Q276" s="450"/>
      <c r="R276" s="450"/>
      <c r="S276" s="450"/>
      <c r="T276" s="443"/>
    </row>
    <row r="277" spans="16:20" s="497" customFormat="1" ht="15">
      <c r="P277" s="447"/>
      <c r="Q277" s="450"/>
      <c r="R277" s="450"/>
      <c r="S277" s="450"/>
      <c r="T277" s="443"/>
    </row>
    <row r="278" spans="16:20" s="497" customFormat="1" ht="15">
      <c r="P278" s="447"/>
      <c r="Q278" s="450"/>
      <c r="R278" s="450"/>
      <c r="S278" s="450"/>
      <c r="T278" s="443"/>
    </row>
    <row r="279" spans="16:20" s="497" customFormat="1" ht="15">
      <c r="P279" s="447"/>
      <c r="Q279" s="450"/>
      <c r="R279" s="450"/>
      <c r="S279" s="450"/>
      <c r="T279" s="443"/>
    </row>
    <row r="280" spans="16:20" s="497" customFormat="1" ht="15">
      <c r="P280" s="447"/>
      <c r="Q280" s="450"/>
      <c r="R280" s="450"/>
      <c r="S280" s="450"/>
      <c r="T280" s="443"/>
    </row>
    <row r="281" spans="16:20" s="497" customFormat="1" ht="15">
      <c r="P281" s="447"/>
      <c r="Q281" s="450"/>
      <c r="R281" s="450"/>
      <c r="S281" s="450"/>
      <c r="T281" s="443"/>
    </row>
    <row r="282" spans="16:20" s="497" customFormat="1" ht="15">
      <c r="P282" s="447"/>
      <c r="Q282" s="450"/>
      <c r="R282" s="450"/>
      <c r="S282" s="450"/>
      <c r="T282" s="443"/>
    </row>
    <row r="283" spans="16:20" s="497" customFormat="1" ht="15">
      <c r="P283" s="447"/>
      <c r="Q283" s="450"/>
      <c r="R283" s="450"/>
      <c r="S283" s="450"/>
      <c r="T283" s="443"/>
    </row>
    <row r="284" spans="16:20" s="497" customFormat="1" ht="15">
      <c r="P284" s="447"/>
      <c r="Q284" s="450"/>
      <c r="R284" s="450"/>
      <c r="S284" s="450"/>
      <c r="T284" s="443"/>
    </row>
    <row r="285" spans="16:20" s="497" customFormat="1" ht="15">
      <c r="P285" s="447"/>
      <c r="Q285" s="450"/>
      <c r="R285" s="450"/>
      <c r="S285" s="450"/>
      <c r="T285" s="443"/>
    </row>
    <row r="286" spans="16:20" s="497" customFormat="1" ht="15">
      <c r="P286" s="447"/>
      <c r="Q286" s="450"/>
      <c r="R286" s="450"/>
      <c r="S286" s="450"/>
      <c r="T286" s="443"/>
    </row>
    <row r="287" spans="16:20" s="497" customFormat="1" ht="15">
      <c r="P287" s="447"/>
      <c r="Q287" s="450"/>
      <c r="R287" s="450"/>
      <c r="S287" s="450"/>
      <c r="T287" s="443"/>
    </row>
    <row r="288" spans="16:20" s="497" customFormat="1" ht="15">
      <c r="P288" s="447"/>
      <c r="Q288" s="450"/>
      <c r="R288" s="450"/>
      <c r="S288" s="450"/>
      <c r="T288" s="443"/>
    </row>
    <row r="289" spans="16:20" s="497" customFormat="1" ht="15">
      <c r="P289" s="447"/>
      <c r="Q289" s="450"/>
      <c r="R289" s="450"/>
      <c r="S289" s="450"/>
      <c r="T289" s="443"/>
    </row>
    <row r="290" spans="16:20" s="497" customFormat="1" ht="15">
      <c r="P290" s="447"/>
      <c r="Q290" s="474"/>
      <c r="R290" s="474"/>
      <c r="S290" s="474"/>
      <c r="T290" s="474"/>
    </row>
    <row r="291" spans="16:20" s="497" customFormat="1" ht="15">
      <c r="P291" s="447"/>
      <c r="Q291" s="474"/>
      <c r="R291" s="474"/>
      <c r="S291" s="474"/>
      <c r="T291" s="474"/>
    </row>
    <row r="292" spans="16:20" s="497" customFormat="1" ht="15">
      <c r="P292" s="447"/>
      <c r="Q292" s="474"/>
      <c r="R292" s="474"/>
      <c r="S292" s="474"/>
      <c r="T292" s="474"/>
    </row>
    <row r="293" spans="16:20" s="497" customFormat="1" ht="15">
      <c r="P293" s="447"/>
      <c r="Q293" s="474"/>
      <c r="R293" s="474"/>
      <c r="S293" s="474"/>
      <c r="T293" s="474"/>
    </row>
    <row r="294" spans="16:20" s="497" customFormat="1" ht="15">
      <c r="P294" s="447"/>
      <c r="Q294" s="474"/>
      <c r="R294" s="474"/>
      <c r="S294" s="474"/>
      <c r="T294" s="474"/>
    </row>
    <row r="295" spans="16:20" s="497" customFormat="1" ht="15">
      <c r="P295" s="447"/>
      <c r="Q295" s="474"/>
      <c r="R295" s="474"/>
      <c r="S295" s="474"/>
      <c r="T295" s="474"/>
    </row>
    <row r="296" spans="16:20" s="497" customFormat="1" ht="15">
      <c r="P296" s="447"/>
      <c r="Q296" s="474"/>
      <c r="R296" s="474"/>
      <c r="S296" s="474"/>
      <c r="T296" s="474"/>
    </row>
    <row r="297" spans="16:20" s="497" customFormat="1" ht="15">
      <c r="P297" s="447"/>
      <c r="Q297" s="474"/>
      <c r="R297" s="474"/>
      <c r="S297" s="474"/>
      <c r="T297" s="474"/>
    </row>
    <row r="298" spans="16:20" s="497" customFormat="1" ht="15">
      <c r="P298" s="447"/>
      <c r="Q298" s="474"/>
      <c r="R298" s="474"/>
      <c r="S298" s="474"/>
      <c r="T298" s="474"/>
    </row>
    <row r="299" spans="16:20" s="497" customFormat="1" ht="15">
      <c r="P299" s="447"/>
      <c r="Q299" s="474"/>
      <c r="R299" s="474"/>
      <c r="S299" s="474"/>
      <c r="T299" s="474"/>
    </row>
    <row r="300" spans="16:20" s="497" customFormat="1" ht="15">
      <c r="P300" s="447"/>
      <c r="Q300" s="474"/>
      <c r="R300" s="474"/>
      <c r="S300" s="474"/>
      <c r="T300" s="474"/>
    </row>
    <row r="301" spans="16:20" s="497" customFormat="1" ht="15">
      <c r="P301" s="447"/>
      <c r="Q301" s="474"/>
      <c r="R301" s="474"/>
      <c r="S301" s="474"/>
      <c r="T301" s="474"/>
    </row>
    <row r="302" spans="16:20" s="497" customFormat="1" ht="15">
      <c r="P302" s="447"/>
      <c r="Q302" s="474"/>
      <c r="R302" s="474"/>
      <c r="S302" s="474"/>
      <c r="T302" s="474"/>
    </row>
    <row r="303" spans="16:20" s="497" customFormat="1" ht="15">
      <c r="P303" s="447"/>
      <c r="Q303" s="474"/>
      <c r="R303" s="474"/>
      <c r="S303" s="474"/>
      <c r="T303" s="474"/>
    </row>
    <row r="304" spans="16:20" s="497" customFormat="1" ht="15">
      <c r="P304" s="447"/>
      <c r="Q304" s="474"/>
      <c r="R304" s="474"/>
      <c r="S304" s="474"/>
      <c r="T304" s="474"/>
    </row>
    <row r="305" spans="16:20" s="497" customFormat="1" ht="15">
      <c r="P305" s="447"/>
      <c r="Q305" s="474"/>
      <c r="R305" s="474"/>
      <c r="S305" s="474"/>
      <c r="T305" s="474"/>
    </row>
    <row r="306" spans="16:20" s="497" customFormat="1" ht="15">
      <c r="P306" s="447"/>
      <c r="Q306" s="474"/>
      <c r="R306" s="474"/>
      <c r="S306" s="474"/>
      <c r="T306" s="474"/>
    </row>
    <row r="307" spans="16:20" s="497" customFormat="1" ht="15">
      <c r="P307" s="447"/>
      <c r="Q307" s="474"/>
      <c r="R307" s="474"/>
      <c r="S307" s="474"/>
      <c r="T307" s="474"/>
    </row>
    <row r="308" spans="16:20" s="497" customFormat="1" ht="15">
      <c r="P308" s="447"/>
      <c r="Q308" s="474"/>
      <c r="R308" s="474"/>
      <c r="S308" s="474"/>
      <c r="T308" s="474"/>
    </row>
    <row r="309" spans="16:20" s="497" customFormat="1" ht="15">
      <c r="P309" s="447"/>
      <c r="Q309" s="474"/>
      <c r="R309" s="474"/>
      <c r="S309" s="474"/>
      <c r="T309" s="474"/>
    </row>
    <row r="310" spans="16:20" s="497" customFormat="1" ht="15">
      <c r="P310" s="447"/>
      <c r="Q310" s="474"/>
      <c r="R310" s="474"/>
      <c r="S310" s="474"/>
      <c r="T310" s="474"/>
    </row>
    <row r="311" spans="16:20" s="497" customFormat="1" ht="15">
      <c r="P311" s="447"/>
      <c r="Q311" s="474"/>
      <c r="R311" s="474"/>
      <c r="S311" s="474"/>
      <c r="T311" s="474"/>
    </row>
    <row r="312" spans="16:20" s="497" customFormat="1" ht="15">
      <c r="P312" s="447"/>
      <c r="Q312" s="474"/>
      <c r="R312" s="474"/>
      <c r="S312" s="474"/>
      <c r="T312" s="474"/>
    </row>
    <row r="313" spans="16:20" s="497" customFormat="1" ht="15">
      <c r="P313" s="447"/>
      <c r="Q313" s="474"/>
      <c r="R313" s="474"/>
      <c r="S313" s="474"/>
      <c r="T313" s="474"/>
    </row>
    <row r="314" spans="16:20" s="497" customFormat="1" ht="15">
      <c r="P314" s="447"/>
      <c r="Q314" s="474"/>
      <c r="R314" s="474"/>
      <c r="S314" s="474"/>
      <c r="T314" s="474"/>
    </row>
    <row r="315" spans="16:20" s="497" customFormat="1" ht="15">
      <c r="P315" s="447"/>
      <c r="Q315" s="474"/>
      <c r="R315" s="474"/>
      <c r="S315" s="474"/>
      <c r="T315" s="474"/>
    </row>
    <row r="316" spans="16:20" s="497" customFormat="1" ht="15">
      <c r="P316" s="447"/>
      <c r="Q316" s="474"/>
      <c r="R316" s="474"/>
      <c r="S316" s="474"/>
      <c r="T316" s="474"/>
    </row>
    <row r="317" spans="16:20" s="497" customFormat="1" ht="15">
      <c r="P317" s="447"/>
      <c r="Q317" s="474"/>
      <c r="R317" s="474"/>
      <c r="S317" s="474"/>
      <c r="T317" s="474"/>
    </row>
    <row r="318" spans="16:20" s="497" customFormat="1" ht="15">
      <c r="P318" s="447"/>
      <c r="Q318" s="474"/>
      <c r="R318" s="474"/>
      <c r="S318" s="474"/>
      <c r="T318" s="474"/>
    </row>
    <row r="319" spans="16:20" s="497" customFormat="1" ht="15">
      <c r="P319" s="447"/>
      <c r="Q319" s="474"/>
      <c r="R319" s="474"/>
      <c r="S319" s="474"/>
      <c r="T319" s="474"/>
    </row>
    <row r="320" spans="16:20" s="497" customFormat="1" ht="15">
      <c r="P320" s="447"/>
      <c r="Q320" s="474"/>
      <c r="R320" s="474"/>
      <c r="S320" s="474"/>
      <c r="T320" s="474"/>
    </row>
    <row r="321" spans="16:20" ht="15">
      <c r="P321" s="447"/>
      <c r="Q321" s="497"/>
      <c r="R321" s="497"/>
      <c r="S321" s="497"/>
      <c r="T321" s="497"/>
    </row>
    <row r="322" spans="16:20" ht="15">
      <c r="P322" s="447"/>
      <c r="Q322" s="497"/>
      <c r="R322" s="497"/>
      <c r="S322" s="497"/>
      <c r="T322" s="497"/>
    </row>
    <row r="323" spans="16:20" ht="15">
      <c r="P323" s="447"/>
      <c r="Q323" s="497"/>
      <c r="R323" s="497"/>
      <c r="S323" s="497"/>
      <c r="T323" s="497"/>
    </row>
    <row r="324" spans="16:20" ht="15">
      <c r="P324" s="447"/>
      <c r="Q324" s="497"/>
      <c r="R324" s="497"/>
      <c r="S324" s="497"/>
      <c r="T324" s="497"/>
    </row>
    <row r="325" spans="16:20" ht="15">
      <c r="P325" s="447"/>
      <c r="Q325" s="497"/>
      <c r="R325" s="497"/>
      <c r="S325" s="497"/>
      <c r="T325" s="497"/>
    </row>
    <row r="326" spans="16:20" ht="15">
      <c r="P326" s="447"/>
      <c r="Q326" s="497"/>
      <c r="R326" s="497"/>
      <c r="S326" s="497"/>
      <c r="T326" s="497"/>
    </row>
    <row r="327" spans="16:20" ht="15">
      <c r="P327" s="447"/>
      <c r="Q327" s="497"/>
      <c r="R327" s="497"/>
      <c r="S327" s="497"/>
      <c r="T327" s="497"/>
    </row>
    <row r="328" spans="16:20" ht="15">
      <c r="P328" s="447"/>
      <c r="Q328" s="497"/>
      <c r="R328" s="497"/>
      <c r="S328" s="497"/>
      <c r="T328" s="497"/>
    </row>
    <row r="329" spans="16:20" ht="15">
      <c r="P329" s="447"/>
      <c r="Q329" s="497"/>
      <c r="R329" s="497"/>
      <c r="S329" s="497"/>
      <c r="T329" s="497"/>
    </row>
    <row r="330" spans="16:20" ht="15">
      <c r="P330" s="447"/>
      <c r="Q330" s="497"/>
      <c r="R330" s="497"/>
      <c r="S330" s="497"/>
      <c r="T330" s="497"/>
    </row>
    <row r="331" spans="16:20" ht="15">
      <c r="P331" s="447"/>
      <c r="Q331" s="497"/>
      <c r="R331" s="497"/>
      <c r="S331" s="497"/>
      <c r="T331" s="497"/>
    </row>
    <row r="332" spans="16:20" ht="15">
      <c r="P332" s="447"/>
      <c r="Q332" s="497"/>
      <c r="R332" s="497"/>
      <c r="S332" s="497"/>
      <c r="T332" s="497"/>
    </row>
    <row r="333" spans="16:20" ht="15">
      <c r="P333" s="447"/>
      <c r="Q333" s="497"/>
      <c r="R333" s="497"/>
      <c r="S333" s="497"/>
      <c r="T333" s="497"/>
    </row>
    <row r="334" spans="16:20" ht="15">
      <c r="P334" s="447"/>
      <c r="Q334" s="497"/>
      <c r="R334" s="497"/>
      <c r="S334" s="497"/>
      <c r="T334" s="497"/>
    </row>
    <row r="335" spans="16:20" ht="15">
      <c r="P335" s="447"/>
      <c r="Q335" s="497"/>
      <c r="R335" s="497"/>
      <c r="S335" s="497"/>
      <c r="T335" s="497"/>
    </row>
    <row r="336" spans="16:20" ht="15">
      <c r="P336" s="447"/>
      <c r="Q336" s="497"/>
      <c r="R336" s="497"/>
      <c r="S336" s="497"/>
      <c r="T336" s="497"/>
    </row>
    <row r="337" spans="16:20" ht="15">
      <c r="P337" s="447"/>
      <c r="Q337" s="497"/>
      <c r="R337" s="497"/>
      <c r="S337" s="497"/>
      <c r="T337" s="497"/>
    </row>
    <row r="338" spans="16:20" ht="15">
      <c r="P338" s="447"/>
      <c r="Q338" s="497"/>
      <c r="R338" s="497"/>
      <c r="S338" s="497"/>
      <c r="T338" s="497"/>
    </row>
    <row r="339" spans="16:20" ht="15">
      <c r="P339" s="447"/>
      <c r="Q339" s="497"/>
      <c r="R339" s="497"/>
      <c r="S339" s="497"/>
      <c r="T339" s="497"/>
    </row>
    <row r="340" spans="16:20" ht="15">
      <c r="P340" s="447"/>
      <c r="Q340" s="497"/>
      <c r="R340" s="497"/>
      <c r="S340" s="497"/>
      <c r="T340" s="497"/>
    </row>
    <row r="341" spans="16:20" ht="15">
      <c r="P341" s="447"/>
      <c r="Q341" s="497"/>
      <c r="R341" s="497"/>
      <c r="S341" s="497"/>
      <c r="T341" s="497"/>
    </row>
    <row r="342" spans="16:20" ht="15">
      <c r="P342" s="447"/>
      <c r="Q342" s="497"/>
      <c r="R342" s="497"/>
      <c r="S342" s="497"/>
      <c r="T342" s="497"/>
    </row>
    <row r="343" spans="16:20" ht="15">
      <c r="P343" s="447"/>
      <c r="Q343" s="497"/>
      <c r="R343" s="497"/>
      <c r="S343" s="497"/>
      <c r="T343" s="497"/>
    </row>
    <row r="344" spans="16:20" ht="15">
      <c r="P344" s="447"/>
      <c r="Q344" s="497"/>
      <c r="R344" s="497"/>
      <c r="S344" s="497"/>
      <c r="T344" s="497"/>
    </row>
    <row r="345" spans="16:20" ht="15">
      <c r="P345" s="447"/>
      <c r="Q345" s="497"/>
      <c r="R345" s="497"/>
      <c r="S345" s="497"/>
      <c r="T345" s="497"/>
    </row>
    <row r="346" spans="16:20" ht="15">
      <c r="P346" s="447"/>
      <c r="Q346" s="497"/>
      <c r="R346" s="497"/>
      <c r="S346" s="497"/>
      <c r="T346" s="497"/>
    </row>
    <row r="347" spans="16:20" ht="15">
      <c r="P347" s="447"/>
      <c r="Q347" s="497"/>
      <c r="R347" s="497"/>
      <c r="S347" s="497"/>
      <c r="T347" s="497"/>
    </row>
    <row r="348" spans="16:20" ht="15">
      <c r="P348" s="447"/>
      <c r="Q348" s="497"/>
      <c r="R348" s="497"/>
      <c r="S348" s="497"/>
      <c r="T348" s="497"/>
    </row>
    <row r="349" spans="16:20" ht="15">
      <c r="P349" s="447"/>
      <c r="Q349" s="497"/>
      <c r="R349" s="497"/>
      <c r="S349" s="497"/>
      <c r="T349" s="497"/>
    </row>
    <row r="350" spans="16:20" ht="15">
      <c r="P350" s="447"/>
      <c r="Q350" s="497"/>
      <c r="R350" s="497"/>
      <c r="S350" s="497"/>
      <c r="T350" s="497"/>
    </row>
    <row r="351" spans="16:20" ht="15">
      <c r="P351" s="447"/>
      <c r="Q351" s="497"/>
      <c r="R351" s="497"/>
      <c r="S351" s="497"/>
      <c r="T351" s="497"/>
    </row>
    <row r="352" spans="16:20" ht="15">
      <c r="P352" s="447"/>
      <c r="Q352" s="497"/>
      <c r="R352" s="497"/>
      <c r="S352" s="497"/>
      <c r="T352" s="497"/>
    </row>
    <row r="353" spans="16:20" ht="15">
      <c r="P353" s="447"/>
      <c r="Q353" s="497"/>
      <c r="R353" s="497"/>
      <c r="S353" s="497"/>
      <c r="T353" s="497"/>
    </row>
    <row r="354" spans="16:20" ht="15">
      <c r="P354" s="447"/>
      <c r="Q354" s="497"/>
      <c r="R354" s="497"/>
      <c r="S354" s="497"/>
      <c r="T354" s="497"/>
    </row>
    <row r="355" spans="16:20" ht="15">
      <c r="P355" s="447"/>
      <c r="Q355" s="497"/>
      <c r="R355" s="497"/>
      <c r="S355" s="497"/>
      <c r="T355" s="497"/>
    </row>
    <row r="356" spans="16:20" ht="15">
      <c r="P356" s="447"/>
      <c r="Q356" s="497"/>
      <c r="R356" s="497"/>
      <c r="S356" s="497"/>
      <c r="T356" s="497"/>
    </row>
    <row r="357" spans="16:20" ht="15">
      <c r="P357" s="447"/>
      <c r="Q357" s="497"/>
      <c r="R357" s="497"/>
      <c r="S357" s="497"/>
      <c r="T357" s="497"/>
    </row>
    <row r="358" spans="16:20" ht="15">
      <c r="P358" s="447"/>
      <c r="Q358" s="497"/>
      <c r="R358" s="497"/>
      <c r="S358" s="497"/>
      <c r="T358" s="497"/>
    </row>
    <row r="359" spans="16:20" ht="15">
      <c r="P359" s="447"/>
      <c r="Q359" s="497"/>
      <c r="R359" s="497"/>
      <c r="S359" s="497"/>
      <c r="T359" s="497"/>
    </row>
    <row r="360" spans="16:20" ht="15">
      <c r="P360" s="447"/>
      <c r="Q360" s="497"/>
      <c r="R360" s="497"/>
      <c r="S360" s="497"/>
      <c r="T360" s="497"/>
    </row>
    <row r="361" spans="16:20" ht="15">
      <c r="P361" s="447"/>
      <c r="Q361" s="497"/>
      <c r="R361" s="497"/>
      <c r="S361" s="497"/>
      <c r="T361" s="497"/>
    </row>
    <row r="362" spans="16:20" ht="15">
      <c r="P362" s="447"/>
      <c r="Q362" s="497"/>
      <c r="R362" s="497"/>
      <c r="S362" s="497"/>
      <c r="T362" s="497"/>
    </row>
    <row r="363" spans="16:20" ht="15">
      <c r="P363" s="447"/>
      <c r="Q363" s="497"/>
      <c r="R363" s="497"/>
      <c r="S363" s="497"/>
      <c r="T363" s="497"/>
    </row>
    <row r="364" spans="16:20" ht="15">
      <c r="P364" s="447"/>
      <c r="Q364" s="497"/>
      <c r="R364" s="497"/>
      <c r="S364" s="497"/>
      <c r="T364" s="497"/>
    </row>
    <row r="365" spans="16:20" ht="15">
      <c r="P365" s="447"/>
      <c r="Q365" s="497"/>
      <c r="R365" s="497"/>
      <c r="S365" s="497"/>
      <c r="T365" s="497"/>
    </row>
    <row r="366" spans="16:20" ht="15">
      <c r="P366" s="447"/>
      <c r="Q366" s="497"/>
      <c r="R366" s="497"/>
      <c r="S366" s="497"/>
      <c r="T366" s="497"/>
    </row>
    <row r="367" spans="16:20" ht="15">
      <c r="P367" s="447"/>
      <c r="Q367" s="497"/>
      <c r="R367" s="497"/>
      <c r="S367" s="497"/>
      <c r="T367" s="497"/>
    </row>
    <row r="368" spans="16:20" ht="15">
      <c r="P368" s="447"/>
      <c r="Q368" s="497"/>
      <c r="R368" s="497"/>
      <c r="S368" s="497"/>
      <c r="T368" s="497"/>
    </row>
    <row r="369" spans="16:20" ht="15">
      <c r="P369" s="447"/>
      <c r="Q369" s="497"/>
      <c r="R369" s="497"/>
      <c r="S369" s="497"/>
      <c r="T369" s="497"/>
    </row>
    <row r="370" spans="16:20" ht="15">
      <c r="P370" s="447"/>
      <c r="Q370" s="497"/>
      <c r="R370" s="497"/>
      <c r="S370" s="497"/>
      <c r="T370" s="497"/>
    </row>
    <row r="371" spans="16:20" ht="15">
      <c r="P371" s="447"/>
      <c r="Q371" s="497"/>
      <c r="R371" s="497"/>
      <c r="S371" s="497"/>
      <c r="T371" s="497"/>
    </row>
    <row r="372" spans="16:20" ht="15">
      <c r="P372" s="447"/>
      <c r="Q372" s="497"/>
      <c r="R372" s="497"/>
      <c r="S372" s="497"/>
      <c r="T372" s="497"/>
    </row>
    <row r="373" spans="16:20" ht="15">
      <c r="P373" s="447"/>
      <c r="Q373" s="497"/>
      <c r="R373" s="497"/>
      <c r="S373" s="497"/>
      <c r="T373" s="497"/>
    </row>
    <row r="374" spans="16:20" ht="15">
      <c r="P374" s="447"/>
      <c r="Q374" s="497"/>
      <c r="R374" s="497"/>
      <c r="S374" s="497"/>
      <c r="T374" s="497"/>
    </row>
    <row r="375" spans="16:20" ht="15">
      <c r="P375" s="447"/>
      <c r="Q375" s="497"/>
      <c r="R375" s="497"/>
      <c r="S375" s="497"/>
      <c r="T375" s="497"/>
    </row>
    <row r="376" spans="16:20" ht="15">
      <c r="P376" s="447"/>
      <c r="Q376" s="497"/>
      <c r="R376" s="497"/>
      <c r="S376" s="497"/>
      <c r="T376" s="497"/>
    </row>
    <row r="377" spans="16:20" ht="15">
      <c r="P377" s="447"/>
      <c r="Q377" s="497"/>
      <c r="R377" s="497"/>
      <c r="S377" s="497"/>
      <c r="T377" s="497"/>
    </row>
    <row r="378" spans="16:20" ht="15">
      <c r="P378" s="447"/>
      <c r="Q378" s="497"/>
      <c r="R378" s="497"/>
      <c r="S378" s="497"/>
      <c r="T378" s="497"/>
    </row>
    <row r="379" spans="16:20" ht="15">
      <c r="P379" s="447"/>
      <c r="Q379" s="497"/>
      <c r="R379" s="497"/>
      <c r="S379" s="497"/>
      <c r="T379" s="497"/>
    </row>
    <row r="380" spans="16:20" ht="15">
      <c r="P380" s="447"/>
      <c r="Q380" s="497"/>
      <c r="R380" s="497"/>
      <c r="S380" s="497"/>
      <c r="T380" s="497"/>
    </row>
    <row r="381" spans="16:20" ht="15">
      <c r="P381" s="447"/>
      <c r="Q381" s="497"/>
      <c r="R381" s="497"/>
      <c r="S381" s="497"/>
      <c r="T381" s="497"/>
    </row>
    <row r="382" spans="16:20" ht="15">
      <c r="P382" s="447"/>
      <c r="Q382" s="497"/>
      <c r="R382" s="497"/>
      <c r="S382" s="497"/>
      <c r="T382" s="497"/>
    </row>
    <row r="383" spans="16:20" ht="15">
      <c r="P383" s="447"/>
      <c r="Q383" s="497"/>
      <c r="R383" s="497"/>
      <c r="S383" s="497"/>
      <c r="T383" s="497"/>
    </row>
    <row r="384" spans="16:20" ht="15">
      <c r="P384" s="447"/>
      <c r="Q384" s="497"/>
      <c r="R384" s="497"/>
      <c r="S384" s="497"/>
      <c r="T384" s="497"/>
    </row>
    <row r="385" spans="16:20" ht="15">
      <c r="P385" s="447"/>
      <c r="Q385" s="497"/>
      <c r="R385" s="497"/>
      <c r="S385" s="497"/>
      <c r="T385" s="497"/>
    </row>
    <row r="386" spans="16:20" ht="15">
      <c r="P386" s="447"/>
      <c r="Q386" s="497"/>
      <c r="R386" s="497"/>
      <c r="S386" s="497"/>
      <c r="T386" s="497"/>
    </row>
    <row r="387" spans="16:20" ht="15">
      <c r="P387" s="447"/>
      <c r="Q387" s="497"/>
      <c r="R387" s="497"/>
      <c r="S387" s="497"/>
      <c r="T387" s="497"/>
    </row>
    <row r="388" spans="16:20" ht="15">
      <c r="P388" s="447"/>
      <c r="Q388" s="497"/>
      <c r="R388" s="497"/>
      <c r="S388" s="497"/>
      <c r="T388" s="497"/>
    </row>
    <row r="389" spans="16:20" ht="15">
      <c r="P389" s="447"/>
      <c r="Q389" s="497"/>
      <c r="R389" s="497"/>
      <c r="S389" s="497"/>
      <c r="T389" s="497"/>
    </row>
    <row r="390" spans="16:20" ht="15">
      <c r="P390" s="447"/>
      <c r="Q390" s="497"/>
      <c r="R390" s="497"/>
      <c r="S390" s="497"/>
      <c r="T390" s="497"/>
    </row>
    <row r="391" spans="16:20" ht="15">
      <c r="P391" s="447"/>
      <c r="Q391" s="497"/>
      <c r="R391" s="497"/>
      <c r="S391" s="497"/>
      <c r="T391" s="497"/>
    </row>
    <row r="392" spans="16:20" ht="15">
      <c r="P392" s="447"/>
      <c r="Q392" s="497"/>
      <c r="R392" s="497"/>
      <c r="S392" s="497"/>
      <c r="T392" s="497"/>
    </row>
    <row r="393" spans="16:20" ht="15">
      <c r="P393" s="447"/>
      <c r="Q393" s="497"/>
      <c r="R393" s="497"/>
      <c r="S393" s="497"/>
      <c r="T393" s="497"/>
    </row>
    <row r="394" spans="16:20" ht="15">
      <c r="P394" s="447"/>
      <c r="Q394" s="497"/>
      <c r="R394" s="497"/>
      <c r="S394" s="497"/>
      <c r="T394" s="497"/>
    </row>
    <row r="395" spans="16:20" ht="15">
      <c r="P395" s="447"/>
      <c r="Q395" s="497"/>
      <c r="R395" s="497"/>
      <c r="S395" s="497"/>
      <c r="T395" s="497"/>
    </row>
    <row r="396" spans="16:20" ht="15">
      <c r="P396" s="447"/>
      <c r="Q396" s="497"/>
      <c r="R396" s="497"/>
      <c r="S396" s="497"/>
      <c r="T396" s="497"/>
    </row>
    <row r="397" spans="16:20" ht="15">
      <c r="P397" s="447"/>
      <c r="Q397" s="497"/>
      <c r="R397" s="497"/>
      <c r="S397" s="497"/>
      <c r="T397" s="497"/>
    </row>
    <row r="398" spans="16:20" ht="15">
      <c r="P398" s="447"/>
      <c r="Q398" s="497"/>
      <c r="R398" s="497"/>
      <c r="S398" s="497"/>
      <c r="T398" s="497"/>
    </row>
    <row r="399" spans="16:20" ht="15">
      <c r="P399" s="447"/>
      <c r="Q399" s="497"/>
      <c r="R399" s="497"/>
      <c r="S399" s="497"/>
      <c r="T399" s="497"/>
    </row>
    <row r="400" spans="16:20" ht="15">
      <c r="P400" s="447"/>
      <c r="Q400" s="497"/>
      <c r="R400" s="497"/>
      <c r="S400" s="497"/>
      <c r="T400" s="497"/>
    </row>
    <row r="401" spans="16:20" ht="15">
      <c r="P401" s="447"/>
      <c r="Q401" s="497"/>
      <c r="R401" s="497"/>
      <c r="S401" s="497"/>
      <c r="T401" s="497"/>
    </row>
    <row r="402" spans="16:20" ht="15">
      <c r="P402" s="447"/>
      <c r="Q402" s="497"/>
      <c r="R402" s="497"/>
      <c r="S402" s="497"/>
      <c r="T402" s="497"/>
    </row>
    <row r="403" spans="16:20" ht="15">
      <c r="P403" s="447"/>
      <c r="Q403" s="497"/>
      <c r="R403" s="497"/>
      <c r="S403" s="497"/>
      <c r="T403" s="497"/>
    </row>
    <row r="404" spans="16:20" ht="15">
      <c r="P404" s="447"/>
      <c r="Q404" s="497"/>
      <c r="R404" s="497"/>
      <c r="S404" s="497"/>
      <c r="T404" s="497"/>
    </row>
    <row r="405" spans="16:20" ht="15">
      <c r="P405" s="447"/>
      <c r="Q405" s="497"/>
      <c r="R405" s="497"/>
      <c r="S405" s="497"/>
      <c r="T405" s="497"/>
    </row>
    <row r="406" spans="16:20" ht="15">
      <c r="P406" s="447"/>
      <c r="Q406" s="497"/>
      <c r="R406" s="497"/>
      <c r="S406" s="497"/>
      <c r="T406" s="497"/>
    </row>
    <row r="407" spans="16:20" ht="15">
      <c r="P407" s="447"/>
      <c r="Q407" s="497"/>
      <c r="R407" s="497"/>
      <c r="S407" s="497"/>
      <c r="T407" s="497"/>
    </row>
    <row r="408" spans="16:20" ht="15">
      <c r="P408" s="447"/>
      <c r="Q408" s="497"/>
      <c r="R408" s="497"/>
      <c r="S408" s="497"/>
      <c r="T408" s="497"/>
    </row>
    <row r="409" spans="16:20" ht="15">
      <c r="P409" s="447"/>
      <c r="Q409" s="497"/>
      <c r="R409" s="497"/>
      <c r="S409" s="497"/>
      <c r="T409" s="497"/>
    </row>
    <row r="410" spans="16:20" ht="15">
      <c r="P410" s="447"/>
      <c r="Q410" s="497"/>
      <c r="R410" s="497"/>
      <c r="S410" s="497"/>
      <c r="T410" s="497"/>
    </row>
    <row r="411" spans="16:20" ht="15">
      <c r="P411" s="447"/>
      <c r="Q411" s="497"/>
      <c r="R411" s="497"/>
      <c r="S411" s="497"/>
      <c r="T411" s="497"/>
    </row>
    <row r="412" spans="16:20" ht="15">
      <c r="P412" s="447"/>
      <c r="Q412" s="497"/>
      <c r="R412" s="497"/>
      <c r="S412" s="497"/>
      <c r="T412" s="497"/>
    </row>
    <row r="413" spans="16:20" ht="15">
      <c r="P413" s="447"/>
      <c r="Q413" s="497"/>
      <c r="R413" s="497"/>
      <c r="S413" s="497"/>
      <c r="T413" s="497"/>
    </row>
    <row r="414" spans="16:20" ht="15">
      <c r="P414" s="447"/>
      <c r="Q414" s="497"/>
      <c r="R414" s="497"/>
      <c r="S414" s="497"/>
      <c r="T414" s="497"/>
    </row>
    <row r="415" spans="16:20" ht="15">
      <c r="P415" s="447"/>
      <c r="Q415" s="497"/>
      <c r="R415" s="497"/>
      <c r="S415" s="497"/>
      <c r="T415" s="497"/>
    </row>
    <row r="416" spans="16:20" ht="15">
      <c r="P416" s="447"/>
      <c r="Q416" s="497"/>
      <c r="R416" s="497"/>
      <c r="S416" s="497"/>
      <c r="T416" s="497"/>
    </row>
    <row r="417" spans="16:20" ht="15">
      <c r="P417" s="447"/>
      <c r="Q417" s="497"/>
      <c r="R417" s="497"/>
      <c r="S417" s="497"/>
      <c r="T417" s="497"/>
    </row>
    <row r="418" spans="16:20" ht="15">
      <c r="P418" s="447"/>
      <c r="Q418" s="497"/>
      <c r="R418" s="497"/>
      <c r="S418" s="497"/>
      <c r="T418" s="497"/>
    </row>
    <row r="419" spans="16:20" ht="15">
      <c r="P419" s="447"/>
      <c r="Q419" s="497"/>
      <c r="R419" s="497"/>
      <c r="S419" s="497"/>
      <c r="T419" s="497"/>
    </row>
    <row r="420" spans="16:20" ht="15">
      <c r="P420" s="447"/>
      <c r="Q420" s="497"/>
      <c r="R420" s="497"/>
      <c r="S420" s="497"/>
      <c r="T420" s="497"/>
    </row>
    <row r="421" spans="16:20" ht="15">
      <c r="P421" s="447"/>
      <c r="Q421" s="497"/>
      <c r="R421" s="497"/>
      <c r="S421" s="497"/>
      <c r="T421" s="497"/>
    </row>
    <row r="422" spans="16:20" ht="15">
      <c r="P422" s="447"/>
      <c r="Q422" s="497"/>
      <c r="R422" s="497"/>
      <c r="S422" s="497"/>
      <c r="T422" s="497"/>
    </row>
    <row r="423" spans="16:20" ht="15">
      <c r="P423" s="447"/>
      <c r="Q423" s="497"/>
      <c r="R423" s="497"/>
      <c r="S423" s="497"/>
      <c r="T423" s="497"/>
    </row>
    <row r="424" spans="16:20" ht="15">
      <c r="P424" s="447"/>
      <c r="Q424" s="497"/>
      <c r="R424" s="497"/>
      <c r="S424" s="497"/>
      <c r="T424" s="497"/>
    </row>
    <row r="425" spans="16:20" ht="15">
      <c r="P425" s="447"/>
      <c r="Q425" s="497"/>
      <c r="R425" s="497"/>
      <c r="S425" s="497"/>
      <c r="T425" s="497"/>
    </row>
    <row r="426" spans="16:20" ht="15">
      <c r="P426" s="447"/>
      <c r="Q426" s="497"/>
      <c r="R426" s="497"/>
      <c r="S426" s="497"/>
      <c r="T426" s="497"/>
    </row>
    <row r="427" spans="16:20" ht="15">
      <c r="P427" s="447"/>
      <c r="Q427" s="497"/>
      <c r="R427" s="497"/>
      <c r="S427" s="497"/>
      <c r="T427" s="497"/>
    </row>
    <row r="428" spans="16:20" ht="15">
      <c r="P428" s="447"/>
      <c r="Q428" s="497"/>
      <c r="R428" s="497"/>
      <c r="S428" s="497"/>
      <c r="T428" s="497"/>
    </row>
    <row r="429" spans="16:20" ht="15">
      <c r="P429" s="447"/>
      <c r="Q429" s="497"/>
      <c r="R429" s="497"/>
      <c r="S429" s="497"/>
      <c r="T429" s="497"/>
    </row>
    <row r="430" spans="16:20" ht="15">
      <c r="P430" s="447"/>
      <c r="Q430" s="497"/>
      <c r="R430" s="497"/>
      <c r="S430" s="497"/>
      <c r="T430" s="497"/>
    </row>
    <row r="431" spans="16:20" ht="15">
      <c r="P431" s="447"/>
      <c r="Q431" s="497"/>
      <c r="R431" s="497"/>
      <c r="S431" s="497"/>
      <c r="T431" s="497"/>
    </row>
    <row r="432" spans="16:20" ht="15">
      <c r="P432" s="447"/>
      <c r="Q432" s="497"/>
      <c r="R432" s="497"/>
      <c r="S432" s="497"/>
      <c r="T432" s="497"/>
    </row>
    <row r="433" spans="16:20" ht="15">
      <c r="P433" s="447"/>
      <c r="Q433" s="497"/>
      <c r="R433" s="497"/>
      <c r="S433" s="497"/>
      <c r="T433" s="497"/>
    </row>
    <row r="434" spans="16:20" ht="15">
      <c r="P434" s="447"/>
      <c r="Q434" s="497"/>
      <c r="R434" s="497"/>
      <c r="S434" s="497"/>
      <c r="T434" s="497"/>
    </row>
    <row r="435" spans="16:20" ht="15">
      <c r="P435" s="447"/>
      <c r="Q435" s="497"/>
      <c r="R435" s="497"/>
      <c r="S435" s="497"/>
      <c r="T435" s="497"/>
    </row>
    <row r="436" spans="16:20" ht="15">
      <c r="P436" s="447"/>
      <c r="Q436" s="497"/>
      <c r="R436" s="497"/>
      <c r="S436" s="497"/>
      <c r="T436" s="497"/>
    </row>
    <row r="437" spans="16:20" ht="15">
      <c r="P437" s="447"/>
      <c r="Q437" s="497"/>
      <c r="R437" s="497"/>
      <c r="S437" s="497"/>
      <c r="T437" s="497"/>
    </row>
    <row r="438" spans="16:20" ht="15">
      <c r="P438" s="447"/>
      <c r="Q438" s="497"/>
      <c r="R438" s="497"/>
      <c r="S438" s="497"/>
      <c r="T438" s="497"/>
    </row>
    <row r="439" spans="16:20" ht="15">
      <c r="P439" s="447"/>
      <c r="Q439" s="497"/>
      <c r="R439" s="497"/>
      <c r="S439" s="497"/>
      <c r="T439" s="497"/>
    </row>
    <row r="440" spans="16:20" ht="15">
      <c r="P440" s="447"/>
      <c r="Q440" s="497"/>
      <c r="R440" s="497"/>
      <c r="S440" s="497"/>
      <c r="T440" s="497"/>
    </row>
    <row r="441" spans="16:20" ht="15">
      <c r="P441" s="447"/>
      <c r="Q441" s="497"/>
      <c r="R441" s="497"/>
      <c r="S441" s="497"/>
      <c r="T441" s="497"/>
    </row>
    <row r="442" spans="16:20" ht="15">
      <c r="P442" s="447"/>
      <c r="Q442" s="497"/>
      <c r="R442" s="497"/>
      <c r="S442" s="497"/>
      <c r="T442" s="497"/>
    </row>
    <row r="443" spans="16:20" ht="15">
      <c r="P443" s="447"/>
      <c r="Q443" s="497"/>
      <c r="R443" s="497"/>
      <c r="S443" s="497"/>
      <c r="T443" s="497"/>
    </row>
    <row r="444" spans="16:20" ht="15">
      <c r="P444" s="447"/>
      <c r="Q444" s="497"/>
      <c r="R444" s="497"/>
      <c r="S444" s="497"/>
      <c r="T444" s="497"/>
    </row>
    <row r="445" spans="16:20" ht="15">
      <c r="P445" s="447"/>
      <c r="Q445" s="497"/>
      <c r="R445" s="497"/>
      <c r="S445" s="497"/>
      <c r="T445" s="497"/>
    </row>
    <row r="446" spans="16:20" ht="15">
      <c r="P446" s="447"/>
      <c r="Q446" s="497"/>
      <c r="R446" s="497"/>
      <c r="S446" s="497"/>
      <c r="T446" s="497"/>
    </row>
    <row r="447" spans="16:20" ht="15">
      <c r="P447" s="447"/>
      <c r="Q447" s="497"/>
      <c r="R447" s="497"/>
      <c r="S447" s="497"/>
      <c r="T447" s="497"/>
    </row>
    <row r="448" spans="16:20" ht="15">
      <c r="P448" s="447"/>
      <c r="Q448" s="497"/>
      <c r="R448" s="497"/>
      <c r="S448" s="497"/>
      <c r="T448" s="497"/>
    </row>
    <row r="449" spans="16:20" ht="15">
      <c r="P449" s="447"/>
      <c r="Q449" s="497"/>
      <c r="R449" s="497"/>
      <c r="S449" s="497"/>
      <c r="T449" s="497"/>
    </row>
    <row r="450" spans="16:20" ht="15">
      <c r="P450" s="447"/>
      <c r="Q450" s="497"/>
      <c r="R450" s="497"/>
      <c r="S450" s="497"/>
      <c r="T450" s="497"/>
    </row>
    <row r="451" spans="16:20" ht="15">
      <c r="P451" s="447"/>
      <c r="Q451" s="497"/>
      <c r="R451" s="497"/>
      <c r="S451" s="497"/>
      <c r="T451" s="497"/>
    </row>
    <row r="452" spans="16:20" ht="15">
      <c r="P452" s="447"/>
      <c r="Q452" s="497"/>
      <c r="R452" s="497"/>
      <c r="S452" s="497"/>
      <c r="T452" s="497"/>
    </row>
    <row r="453" spans="16:20" ht="15">
      <c r="P453" s="447"/>
      <c r="Q453" s="497"/>
      <c r="R453" s="497"/>
      <c r="S453" s="497"/>
      <c r="T453" s="497"/>
    </row>
    <row r="454" spans="16:20" ht="15">
      <c r="P454" s="447"/>
      <c r="Q454" s="497"/>
      <c r="R454" s="497"/>
      <c r="S454" s="497"/>
      <c r="T454" s="497"/>
    </row>
    <row r="455" spans="16:20" ht="15">
      <c r="P455" s="447"/>
      <c r="Q455" s="497"/>
      <c r="R455" s="497"/>
      <c r="S455" s="497"/>
      <c r="T455" s="497"/>
    </row>
    <row r="456" spans="16:20" ht="15">
      <c r="P456" s="447"/>
      <c r="Q456" s="497"/>
      <c r="R456" s="497"/>
      <c r="S456" s="497"/>
      <c r="T456" s="497"/>
    </row>
    <row r="457" spans="16:20" ht="15">
      <c r="P457" s="447"/>
      <c r="Q457" s="497"/>
      <c r="R457" s="497"/>
      <c r="S457" s="497"/>
      <c r="T457" s="497"/>
    </row>
    <row r="458" spans="16:20" ht="15">
      <c r="P458" s="447"/>
      <c r="Q458" s="497"/>
      <c r="R458" s="497"/>
      <c r="S458" s="497"/>
      <c r="T458" s="497"/>
    </row>
    <row r="459" spans="16:20" ht="15">
      <c r="P459" s="447"/>
      <c r="Q459" s="497"/>
      <c r="R459" s="497"/>
      <c r="S459" s="497"/>
      <c r="T459" s="497"/>
    </row>
    <row r="460" spans="16:20" ht="15">
      <c r="P460" s="447"/>
      <c r="Q460" s="497"/>
      <c r="R460" s="497"/>
      <c r="S460" s="497"/>
      <c r="T460" s="497"/>
    </row>
    <row r="461" spans="16:20" ht="15">
      <c r="P461" s="447"/>
      <c r="Q461" s="497"/>
      <c r="R461" s="497"/>
      <c r="S461" s="497"/>
      <c r="T461" s="497"/>
    </row>
    <row r="462" spans="16:20" ht="15">
      <c r="P462" s="447"/>
      <c r="Q462" s="497"/>
      <c r="R462" s="497"/>
      <c r="S462" s="497"/>
      <c r="T462" s="497"/>
    </row>
    <row r="463" spans="16:20" ht="15">
      <c r="P463" s="447"/>
      <c r="Q463" s="497"/>
      <c r="R463" s="497"/>
      <c r="S463" s="497"/>
      <c r="T463" s="497"/>
    </row>
    <row r="464" spans="16:20" ht="15">
      <c r="P464" s="447"/>
      <c r="Q464" s="497"/>
      <c r="R464" s="497"/>
      <c r="S464" s="497"/>
      <c r="T464" s="497"/>
    </row>
    <row r="465" spans="16:20" ht="15">
      <c r="P465" s="447"/>
      <c r="Q465" s="497"/>
      <c r="R465" s="497"/>
      <c r="S465" s="497"/>
      <c r="T465" s="497"/>
    </row>
    <row r="466" spans="16:20" ht="15">
      <c r="P466" s="447"/>
      <c r="Q466" s="497"/>
      <c r="R466" s="497"/>
      <c r="S466" s="497"/>
      <c r="T466" s="497"/>
    </row>
    <row r="467" spans="16:20" ht="15">
      <c r="P467" s="447"/>
      <c r="Q467" s="497"/>
      <c r="R467" s="497"/>
      <c r="S467" s="497"/>
      <c r="T467" s="497"/>
    </row>
    <row r="468" spans="16:20" ht="15">
      <c r="P468" s="447"/>
      <c r="Q468" s="497"/>
      <c r="R468" s="497"/>
      <c r="S468" s="497"/>
      <c r="T468" s="497"/>
    </row>
    <row r="469" spans="16:20" ht="15">
      <c r="P469" s="447"/>
      <c r="Q469" s="497"/>
      <c r="R469" s="497"/>
      <c r="S469" s="497"/>
      <c r="T469" s="497"/>
    </row>
    <row r="470" spans="16:20" ht="15">
      <c r="P470" s="447"/>
      <c r="Q470" s="497"/>
      <c r="R470" s="497"/>
      <c r="S470" s="497"/>
      <c r="T470" s="497"/>
    </row>
    <row r="471" spans="16:20" ht="15">
      <c r="P471" s="447"/>
      <c r="Q471" s="497"/>
      <c r="R471" s="497"/>
      <c r="S471" s="497"/>
      <c r="T471" s="497"/>
    </row>
    <row r="472" spans="16:20" ht="15">
      <c r="P472" s="447"/>
      <c r="Q472" s="497"/>
      <c r="R472" s="497"/>
      <c r="S472" s="497"/>
      <c r="T472" s="497"/>
    </row>
    <row r="473" spans="16:20" ht="15">
      <c r="P473" s="447"/>
      <c r="Q473" s="497"/>
      <c r="R473" s="497"/>
      <c r="S473" s="497"/>
      <c r="T473" s="497"/>
    </row>
    <row r="474" spans="16:20" ht="15">
      <c r="P474" s="447"/>
      <c r="Q474" s="497"/>
      <c r="R474" s="497"/>
      <c r="S474" s="497"/>
      <c r="T474" s="497"/>
    </row>
    <row r="475" spans="16:20" ht="15">
      <c r="P475" s="447"/>
      <c r="Q475" s="497"/>
      <c r="R475" s="497"/>
      <c r="S475" s="497"/>
      <c r="T475" s="497"/>
    </row>
    <row r="476" spans="16:20" ht="15">
      <c r="P476" s="447"/>
      <c r="Q476" s="497"/>
      <c r="R476" s="497"/>
      <c r="S476" s="497"/>
      <c r="T476" s="497"/>
    </row>
    <row r="477" spans="16:20" ht="15">
      <c r="P477" s="447"/>
      <c r="Q477" s="497"/>
      <c r="R477" s="497"/>
      <c r="S477" s="497"/>
      <c r="T477" s="497"/>
    </row>
    <row r="478" spans="16:20" ht="15">
      <c r="P478" s="447"/>
      <c r="Q478" s="497"/>
      <c r="R478" s="497"/>
      <c r="S478" s="497"/>
      <c r="T478" s="497"/>
    </row>
    <row r="479" spans="16:20" ht="15">
      <c r="P479" s="447"/>
      <c r="Q479" s="497"/>
      <c r="R479" s="497"/>
      <c r="S479" s="497"/>
      <c r="T479" s="497"/>
    </row>
    <row r="480" spans="16:20" ht="15">
      <c r="P480" s="447"/>
      <c r="Q480" s="497"/>
      <c r="R480" s="497"/>
      <c r="S480" s="497"/>
      <c r="T480" s="497"/>
    </row>
    <row r="481" spans="16:20" ht="15">
      <c r="P481" s="447"/>
      <c r="Q481" s="497"/>
      <c r="R481" s="497"/>
      <c r="S481" s="497"/>
      <c r="T481" s="497"/>
    </row>
    <row r="482" spans="16:20" ht="15">
      <c r="P482" s="447"/>
      <c r="Q482" s="497"/>
      <c r="R482" s="497"/>
      <c r="S482" s="497"/>
      <c r="T482" s="497"/>
    </row>
    <row r="483" spans="16:20" ht="15">
      <c r="P483" s="447"/>
      <c r="Q483" s="497"/>
      <c r="R483" s="497"/>
      <c r="S483" s="497"/>
      <c r="T483" s="497"/>
    </row>
    <row r="484" spans="16:20" ht="15">
      <c r="P484" s="447"/>
      <c r="Q484" s="497"/>
      <c r="R484" s="497"/>
      <c r="S484" s="497"/>
      <c r="T484" s="497"/>
    </row>
    <row r="485" spans="16:20" ht="15">
      <c r="P485" s="447"/>
      <c r="Q485" s="497"/>
      <c r="R485" s="497"/>
      <c r="S485" s="497"/>
      <c r="T485" s="497"/>
    </row>
    <row r="486" spans="16:20" ht="15">
      <c r="P486" s="447"/>
      <c r="Q486" s="497"/>
      <c r="R486" s="497"/>
      <c r="S486" s="497"/>
      <c r="T486" s="497"/>
    </row>
    <row r="487" spans="16:20" ht="15">
      <c r="P487" s="447"/>
      <c r="Q487" s="497"/>
      <c r="R487" s="497"/>
      <c r="S487" s="497"/>
      <c r="T487" s="497"/>
    </row>
    <row r="488" spans="16:20" ht="15">
      <c r="P488" s="447"/>
      <c r="Q488" s="497"/>
      <c r="R488" s="497"/>
      <c r="S488" s="497"/>
      <c r="T488" s="497"/>
    </row>
    <row r="489" spans="16:20" ht="15">
      <c r="P489" s="447"/>
      <c r="Q489" s="497"/>
      <c r="R489" s="497"/>
      <c r="S489" s="497"/>
      <c r="T489" s="497"/>
    </row>
    <row r="490" spans="16:20" ht="15">
      <c r="P490" s="447"/>
      <c r="Q490" s="497"/>
      <c r="R490" s="497"/>
      <c r="S490" s="497"/>
      <c r="T490" s="497"/>
    </row>
    <row r="491" spans="16:20" ht="15">
      <c r="P491" s="447"/>
      <c r="Q491" s="497"/>
      <c r="R491" s="497"/>
      <c r="S491" s="497"/>
      <c r="T491" s="497"/>
    </row>
    <row r="492" spans="16:20" ht="15">
      <c r="P492" s="447"/>
      <c r="Q492" s="497"/>
      <c r="R492" s="497"/>
      <c r="S492" s="497"/>
      <c r="T492" s="497"/>
    </row>
    <row r="493" spans="16:20" ht="15">
      <c r="P493" s="447"/>
      <c r="Q493" s="497"/>
      <c r="R493" s="497"/>
      <c r="S493" s="497"/>
      <c r="T493" s="497"/>
    </row>
    <row r="494" spans="16:20" ht="15">
      <c r="P494" s="447"/>
      <c r="Q494" s="497"/>
      <c r="R494" s="497"/>
      <c r="S494" s="497"/>
      <c r="T494" s="497"/>
    </row>
    <row r="495" spans="16:20" ht="15">
      <c r="P495" s="447"/>
      <c r="Q495" s="497"/>
      <c r="R495" s="497"/>
      <c r="S495" s="497"/>
      <c r="T495" s="497"/>
    </row>
    <row r="496" spans="16:20" ht="15">
      <c r="P496" s="447"/>
      <c r="Q496" s="497"/>
      <c r="R496" s="497"/>
      <c r="S496" s="497"/>
      <c r="T496" s="497"/>
    </row>
    <row r="497" spans="16:20" ht="15">
      <c r="P497" s="447"/>
      <c r="Q497" s="497"/>
      <c r="R497" s="497"/>
      <c r="S497" s="497"/>
      <c r="T497" s="497"/>
    </row>
    <row r="498" spans="16:20" ht="15">
      <c r="P498" s="447"/>
      <c r="Q498" s="497"/>
      <c r="R498" s="497"/>
      <c r="S498" s="497"/>
      <c r="T498" s="497"/>
    </row>
    <row r="499" spans="16:20" ht="15">
      <c r="P499" s="447"/>
      <c r="Q499" s="497"/>
      <c r="R499" s="497"/>
      <c r="S499" s="497"/>
      <c r="T499" s="497"/>
    </row>
    <row r="500" spans="16:20" ht="15">
      <c r="P500" s="447"/>
      <c r="Q500" s="497"/>
      <c r="R500" s="497"/>
      <c r="S500" s="497"/>
      <c r="T500" s="497"/>
    </row>
    <row r="501" spans="16:20" ht="15">
      <c r="P501" s="447"/>
      <c r="Q501" s="497"/>
      <c r="R501" s="497"/>
      <c r="S501" s="497"/>
      <c r="T501" s="497"/>
    </row>
    <row r="502" spans="16:20" ht="15">
      <c r="P502" s="447"/>
      <c r="Q502" s="497"/>
      <c r="R502" s="497"/>
      <c r="S502" s="497"/>
      <c r="T502" s="497"/>
    </row>
    <row r="503" spans="16:20" ht="15">
      <c r="P503" s="447"/>
      <c r="Q503" s="497"/>
      <c r="R503" s="497"/>
      <c r="S503" s="497"/>
      <c r="T503" s="497"/>
    </row>
    <row r="504" spans="16:20" ht="15">
      <c r="P504" s="447"/>
      <c r="Q504" s="497"/>
      <c r="R504" s="497"/>
      <c r="S504" s="497"/>
      <c r="T504" s="497"/>
    </row>
    <row r="505" spans="16:20" ht="15">
      <c r="P505" s="447"/>
      <c r="Q505" s="497"/>
      <c r="R505" s="497"/>
      <c r="S505" s="497"/>
      <c r="T505" s="497"/>
    </row>
    <row r="506" spans="16:20" ht="15">
      <c r="P506" s="447"/>
      <c r="Q506" s="497"/>
      <c r="R506" s="497"/>
      <c r="S506" s="497"/>
      <c r="T506" s="497"/>
    </row>
    <row r="507" spans="16:20" ht="15">
      <c r="P507" s="447"/>
      <c r="Q507" s="497"/>
      <c r="R507" s="497"/>
      <c r="S507" s="497"/>
      <c r="T507" s="497"/>
    </row>
    <row r="508" spans="16:20" ht="15">
      <c r="P508" s="447"/>
      <c r="Q508" s="497"/>
      <c r="R508" s="497"/>
      <c r="S508" s="497"/>
      <c r="T508" s="497"/>
    </row>
    <row r="509" spans="16:20" ht="15">
      <c r="P509" s="447"/>
      <c r="Q509" s="497"/>
      <c r="R509" s="497"/>
      <c r="S509" s="497"/>
      <c r="T509" s="497"/>
    </row>
    <row r="510" spans="16:20" ht="15">
      <c r="P510" s="447"/>
      <c r="Q510" s="497"/>
      <c r="R510" s="497"/>
      <c r="S510" s="497"/>
      <c r="T510" s="497"/>
    </row>
    <row r="511" spans="16:20" ht="15">
      <c r="P511" s="447"/>
      <c r="Q511" s="497"/>
      <c r="R511" s="497"/>
      <c r="S511" s="497"/>
      <c r="T511" s="497"/>
    </row>
    <row r="512" spans="16:20" ht="15">
      <c r="P512" s="447"/>
      <c r="Q512" s="497"/>
      <c r="R512" s="497"/>
      <c r="S512" s="497"/>
      <c r="T512" s="497"/>
    </row>
    <row r="513" spans="16:20" ht="15">
      <c r="P513" s="447"/>
      <c r="Q513" s="497"/>
      <c r="R513" s="497"/>
      <c r="S513" s="497"/>
      <c r="T513" s="497"/>
    </row>
    <row r="514" spans="16:20" ht="15">
      <c r="P514" s="447"/>
      <c r="Q514" s="497"/>
      <c r="R514" s="497"/>
      <c r="S514" s="497"/>
      <c r="T514" s="497"/>
    </row>
    <row r="515" spans="16:20" ht="15">
      <c r="P515" s="447"/>
      <c r="Q515" s="497"/>
      <c r="R515" s="497"/>
      <c r="S515" s="497"/>
      <c r="T515" s="497"/>
    </row>
    <row r="516" spans="16:20" ht="15">
      <c r="P516" s="447"/>
      <c r="Q516" s="497"/>
      <c r="R516" s="497"/>
      <c r="S516" s="497"/>
      <c r="T516" s="497"/>
    </row>
    <row r="517" spans="16:20" ht="15">
      <c r="P517" s="447"/>
      <c r="Q517" s="497"/>
      <c r="R517" s="497"/>
      <c r="S517" s="497"/>
      <c r="T517" s="497"/>
    </row>
    <row r="518" spans="16:20" ht="15">
      <c r="P518" s="447"/>
      <c r="Q518" s="497"/>
      <c r="R518" s="497"/>
      <c r="S518" s="497"/>
      <c r="T518" s="497"/>
    </row>
    <row r="519" spans="16:20" ht="15">
      <c r="P519" s="447"/>
      <c r="Q519" s="497"/>
      <c r="R519" s="497"/>
      <c r="S519" s="497"/>
      <c r="T519" s="497"/>
    </row>
    <row r="520" spans="16:20" ht="15">
      <c r="P520" s="447"/>
      <c r="Q520" s="497"/>
      <c r="R520" s="497"/>
      <c r="S520" s="497"/>
      <c r="T520" s="497"/>
    </row>
    <row r="521" spans="16:20" ht="15">
      <c r="P521" s="447"/>
      <c r="Q521" s="497"/>
      <c r="R521" s="497"/>
      <c r="S521" s="497"/>
      <c r="T521" s="497"/>
    </row>
    <row r="522" spans="16:20" ht="15">
      <c r="P522" s="447"/>
      <c r="Q522" s="497"/>
      <c r="R522" s="497"/>
      <c r="S522" s="497"/>
      <c r="T522" s="497"/>
    </row>
    <row r="523" spans="16:20" ht="15">
      <c r="P523" s="447"/>
      <c r="Q523" s="497"/>
      <c r="R523" s="497"/>
      <c r="S523" s="497"/>
      <c r="T523" s="497"/>
    </row>
    <row r="524" spans="16:20" ht="15">
      <c r="P524" s="447"/>
      <c r="Q524" s="497"/>
      <c r="R524" s="497"/>
      <c r="S524" s="497"/>
      <c r="T524" s="497"/>
    </row>
    <row r="525" spans="16:20" ht="15">
      <c r="P525" s="447"/>
      <c r="Q525" s="497"/>
      <c r="R525" s="497"/>
      <c r="S525" s="497"/>
      <c r="T525" s="497"/>
    </row>
    <row r="526" spans="16:20" ht="15">
      <c r="P526" s="447"/>
      <c r="Q526" s="497"/>
      <c r="R526" s="497"/>
      <c r="S526" s="497"/>
      <c r="T526" s="497"/>
    </row>
    <row r="527" spans="16:20" ht="15">
      <c r="P527" s="447"/>
      <c r="Q527" s="497"/>
      <c r="R527" s="497"/>
      <c r="S527" s="497"/>
      <c r="T527" s="497"/>
    </row>
    <row r="528" spans="16:20" ht="15">
      <c r="P528" s="447"/>
      <c r="Q528" s="497"/>
      <c r="R528" s="497"/>
      <c r="S528" s="497"/>
      <c r="T528" s="497"/>
    </row>
    <row r="529" spans="16:20" ht="15">
      <c r="P529" s="447"/>
      <c r="Q529" s="497"/>
      <c r="R529" s="497"/>
      <c r="S529" s="497"/>
      <c r="T529" s="497"/>
    </row>
    <row r="530" spans="16:20" ht="15">
      <c r="P530" s="447"/>
      <c r="Q530" s="497"/>
      <c r="R530" s="497"/>
      <c r="S530" s="497"/>
      <c r="T530" s="497"/>
    </row>
    <row r="531" spans="16:20" ht="15">
      <c r="P531" s="447"/>
      <c r="Q531" s="497"/>
      <c r="R531" s="497"/>
      <c r="S531" s="497"/>
      <c r="T531" s="497"/>
    </row>
    <row r="532" spans="16:20" ht="15">
      <c r="P532" s="447"/>
      <c r="Q532" s="497"/>
      <c r="R532" s="497"/>
      <c r="S532" s="497"/>
      <c r="T532" s="497"/>
    </row>
    <row r="533" spans="16:20" ht="15">
      <c r="P533" s="447"/>
      <c r="Q533" s="497"/>
      <c r="R533" s="497"/>
      <c r="S533" s="497"/>
      <c r="T533" s="497"/>
    </row>
    <row r="534" spans="16:20" ht="15">
      <c r="P534" s="447"/>
      <c r="Q534" s="497"/>
      <c r="R534" s="497"/>
      <c r="S534" s="497"/>
      <c r="T534" s="497"/>
    </row>
    <row r="535" spans="16:20" ht="15">
      <c r="P535" s="447"/>
      <c r="Q535" s="497"/>
      <c r="R535" s="497"/>
      <c r="S535" s="497"/>
      <c r="T535" s="497"/>
    </row>
    <row r="536" spans="16:20" ht="15">
      <c r="P536" s="447"/>
      <c r="Q536" s="497"/>
      <c r="R536" s="497"/>
      <c r="S536" s="497"/>
      <c r="T536" s="497"/>
    </row>
    <row r="537" spans="16:20" ht="15">
      <c r="P537" s="447"/>
      <c r="Q537" s="497"/>
      <c r="R537" s="497"/>
      <c r="S537" s="497"/>
      <c r="T537" s="497"/>
    </row>
    <row r="538" spans="16:20" ht="15">
      <c r="P538" s="447"/>
      <c r="Q538" s="497"/>
      <c r="R538" s="497"/>
      <c r="S538" s="497"/>
      <c r="T538" s="497"/>
    </row>
    <row r="539" spans="16:20" ht="15">
      <c r="P539" s="447"/>
      <c r="Q539" s="497"/>
      <c r="R539" s="497"/>
      <c r="S539" s="497"/>
      <c r="T539" s="497"/>
    </row>
    <row r="540" spans="16:20" ht="15">
      <c r="P540" s="447"/>
      <c r="Q540" s="497"/>
      <c r="R540" s="497"/>
      <c r="S540" s="497"/>
      <c r="T540" s="497"/>
    </row>
    <row r="541" spans="16:20" ht="15">
      <c r="P541" s="447"/>
      <c r="Q541" s="497"/>
      <c r="R541" s="497"/>
      <c r="S541" s="497"/>
      <c r="T541" s="497"/>
    </row>
    <row r="542" spans="16:20" ht="15">
      <c r="P542" s="447"/>
      <c r="Q542" s="497"/>
      <c r="R542" s="497"/>
      <c r="S542" s="497"/>
      <c r="T542" s="497"/>
    </row>
    <row r="543" spans="16:20" ht="15">
      <c r="P543" s="447"/>
      <c r="Q543" s="497"/>
      <c r="R543" s="497"/>
      <c r="S543" s="497"/>
      <c r="T543" s="497"/>
    </row>
    <row r="544" spans="16:20" ht="15">
      <c r="P544" s="447"/>
      <c r="Q544" s="497"/>
      <c r="R544" s="497"/>
      <c r="S544" s="497"/>
      <c r="T544" s="497"/>
    </row>
    <row r="545" spans="16:20" ht="15">
      <c r="P545" s="447"/>
      <c r="Q545" s="497"/>
      <c r="R545" s="497"/>
      <c r="S545" s="497"/>
      <c r="T545" s="497"/>
    </row>
    <row r="546" spans="16:20" ht="15">
      <c r="P546" s="447"/>
      <c r="Q546" s="497"/>
      <c r="R546" s="497"/>
      <c r="S546" s="497"/>
      <c r="T546" s="497"/>
    </row>
    <row r="547" spans="16:20" ht="15">
      <c r="P547" s="447"/>
      <c r="Q547" s="497"/>
      <c r="R547" s="497"/>
      <c r="S547" s="497"/>
      <c r="T547" s="497"/>
    </row>
    <row r="548" spans="16:20" ht="15">
      <c r="P548" s="447"/>
      <c r="Q548" s="497"/>
      <c r="R548" s="497"/>
      <c r="S548" s="497"/>
      <c r="T548" s="497"/>
    </row>
    <row r="549" spans="16:20" ht="15">
      <c r="P549" s="447"/>
      <c r="Q549" s="497"/>
      <c r="R549" s="497"/>
      <c r="S549" s="497"/>
      <c r="T549" s="497"/>
    </row>
    <row r="550" spans="16:20" ht="15">
      <c r="P550" s="447"/>
      <c r="Q550" s="497"/>
      <c r="R550" s="497"/>
      <c r="S550" s="497"/>
      <c r="T550" s="497"/>
    </row>
    <row r="551" spans="16:20" ht="15">
      <c r="P551" s="447"/>
      <c r="Q551" s="497"/>
      <c r="R551" s="497"/>
      <c r="S551" s="497"/>
      <c r="T551" s="497"/>
    </row>
    <row r="552" spans="16:20" ht="15">
      <c r="P552" s="447"/>
      <c r="Q552" s="497"/>
      <c r="R552" s="497"/>
      <c r="S552" s="497"/>
      <c r="T552" s="497"/>
    </row>
    <row r="553" spans="16:20" ht="15">
      <c r="P553" s="447"/>
      <c r="Q553" s="497"/>
      <c r="R553" s="497"/>
      <c r="S553" s="497"/>
      <c r="T553" s="497"/>
    </row>
    <row r="554" spans="16:20" ht="15">
      <c r="P554" s="447"/>
      <c r="Q554" s="497"/>
      <c r="R554" s="497"/>
      <c r="S554" s="497"/>
      <c r="T554" s="497"/>
    </row>
    <row r="555" spans="16:20" ht="15">
      <c r="P555" s="447"/>
      <c r="Q555" s="497"/>
      <c r="R555" s="497"/>
      <c r="S555" s="497"/>
      <c r="T555" s="497"/>
    </row>
    <row r="556" spans="16:20" ht="15">
      <c r="P556" s="447"/>
      <c r="Q556" s="497"/>
      <c r="R556" s="497"/>
      <c r="S556" s="497"/>
      <c r="T556" s="497"/>
    </row>
    <row r="557" spans="16:20" ht="15">
      <c r="P557" s="447"/>
      <c r="Q557" s="497"/>
      <c r="R557" s="497"/>
      <c r="S557" s="497"/>
      <c r="T557" s="497"/>
    </row>
    <row r="558" spans="16:20" ht="15">
      <c r="P558" s="447"/>
      <c r="Q558" s="497"/>
      <c r="R558" s="497"/>
      <c r="S558" s="497"/>
      <c r="T558" s="497"/>
    </row>
    <row r="559" spans="16:20" ht="15">
      <c r="P559" s="447"/>
      <c r="Q559" s="497"/>
      <c r="R559" s="497"/>
      <c r="S559" s="497"/>
      <c r="T559" s="497"/>
    </row>
    <row r="560" spans="16:20" ht="15">
      <c r="P560" s="447"/>
      <c r="Q560" s="497"/>
      <c r="R560" s="497"/>
      <c r="S560" s="497"/>
      <c r="T560" s="497"/>
    </row>
    <row r="561" spans="16:20" ht="15">
      <c r="P561" s="447"/>
      <c r="Q561" s="497"/>
      <c r="R561" s="497"/>
      <c r="S561" s="497"/>
      <c r="T561" s="497"/>
    </row>
    <row r="562" spans="16:20" ht="15">
      <c r="P562" s="447"/>
      <c r="Q562" s="497"/>
      <c r="R562" s="497"/>
      <c r="S562" s="497"/>
      <c r="T562" s="497"/>
    </row>
    <row r="563" spans="16:20" ht="15">
      <c r="P563" s="447"/>
      <c r="Q563" s="497"/>
      <c r="R563" s="497"/>
      <c r="S563" s="497"/>
      <c r="T563" s="497"/>
    </row>
    <row r="564" spans="16:20" ht="15">
      <c r="P564" s="447"/>
      <c r="Q564" s="497"/>
      <c r="R564" s="497"/>
      <c r="S564" s="497"/>
      <c r="T564" s="497"/>
    </row>
    <row r="565" spans="16:20" ht="15">
      <c r="P565" s="447"/>
      <c r="Q565" s="497"/>
      <c r="R565" s="497"/>
      <c r="S565" s="497"/>
      <c r="T565" s="497"/>
    </row>
    <row r="566" spans="16:20" ht="15">
      <c r="P566" s="447"/>
      <c r="Q566" s="497"/>
      <c r="R566" s="497"/>
      <c r="S566" s="497"/>
      <c r="T566" s="497"/>
    </row>
    <row r="567" spans="16:20" ht="15">
      <c r="P567" s="447"/>
      <c r="Q567" s="497"/>
      <c r="R567" s="497"/>
      <c r="S567" s="497"/>
      <c r="T567" s="497"/>
    </row>
    <row r="568" spans="16:20" ht="15">
      <c r="P568" s="447"/>
      <c r="Q568" s="497"/>
      <c r="R568" s="497"/>
      <c r="S568" s="497"/>
      <c r="T568" s="497"/>
    </row>
    <row r="569" spans="16:20" ht="15">
      <c r="P569" s="447"/>
      <c r="Q569" s="497"/>
      <c r="R569" s="497"/>
      <c r="S569" s="497"/>
      <c r="T569" s="497"/>
    </row>
    <row r="570" spans="16:20" ht="15">
      <c r="P570" s="447"/>
      <c r="Q570" s="497"/>
      <c r="R570" s="497"/>
      <c r="S570" s="497"/>
      <c r="T570" s="497"/>
    </row>
    <row r="571" spans="16:20" ht="15">
      <c r="P571" s="447"/>
      <c r="Q571" s="497"/>
      <c r="R571" s="497"/>
      <c r="S571" s="497"/>
      <c r="T571" s="497"/>
    </row>
    <row r="572" spans="16:20" ht="15">
      <c r="P572" s="447"/>
      <c r="Q572" s="497"/>
      <c r="R572" s="497"/>
      <c r="S572" s="497"/>
      <c r="T572" s="497"/>
    </row>
    <row r="573" spans="16:20" ht="15">
      <c r="P573" s="447"/>
      <c r="Q573" s="497"/>
      <c r="R573" s="497"/>
      <c r="S573" s="497"/>
      <c r="T573" s="497"/>
    </row>
    <row r="574" spans="16:20" ht="15">
      <c r="P574" s="447"/>
      <c r="Q574" s="497"/>
      <c r="R574" s="497"/>
      <c r="S574" s="497"/>
      <c r="T574" s="497"/>
    </row>
    <row r="575" spans="16:20" ht="15">
      <c r="P575" s="447"/>
      <c r="Q575" s="497"/>
      <c r="R575" s="497"/>
      <c r="S575" s="497"/>
      <c r="T575" s="497"/>
    </row>
    <row r="576" spans="16:20" ht="15">
      <c r="P576" s="447"/>
      <c r="Q576" s="497"/>
      <c r="R576" s="497"/>
      <c r="S576" s="497"/>
      <c r="T576" s="497"/>
    </row>
    <row r="577" spans="16:20" ht="15">
      <c r="P577" s="447"/>
      <c r="Q577" s="497"/>
      <c r="R577" s="497"/>
      <c r="S577" s="497"/>
      <c r="T577" s="497"/>
    </row>
    <row r="578" spans="16:20" ht="15">
      <c r="P578" s="447"/>
      <c r="Q578" s="497"/>
      <c r="R578" s="497"/>
      <c r="S578" s="497"/>
      <c r="T578" s="497"/>
    </row>
    <row r="579" spans="16:20" ht="15">
      <c r="P579" s="447"/>
      <c r="Q579" s="497"/>
      <c r="R579" s="497"/>
      <c r="S579" s="497"/>
      <c r="T579" s="497"/>
    </row>
    <row r="580" spans="16:20" ht="15">
      <c r="P580" s="447"/>
      <c r="Q580" s="497"/>
      <c r="R580" s="497"/>
      <c r="S580" s="497"/>
      <c r="T580" s="497"/>
    </row>
    <row r="581" spans="16:20" ht="15">
      <c r="P581" s="447"/>
      <c r="Q581" s="497"/>
      <c r="R581" s="497"/>
      <c r="S581" s="497"/>
      <c r="T581" s="497"/>
    </row>
    <row r="582" spans="16:20" ht="15">
      <c r="P582" s="447"/>
      <c r="Q582" s="497"/>
      <c r="R582" s="497"/>
      <c r="S582" s="497"/>
      <c r="T582" s="497"/>
    </row>
    <row r="583" spans="16:20" ht="15">
      <c r="P583" s="447"/>
      <c r="Q583" s="497"/>
      <c r="R583" s="497"/>
      <c r="S583" s="497"/>
      <c r="T583" s="497"/>
    </row>
    <row r="584" spans="16:20" ht="15">
      <c r="P584" s="447"/>
      <c r="Q584" s="497"/>
      <c r="R584" s="497"/>
      <c r="S584" s="497"/>
      <c r="T584" s="497"/>
    </row>
    <row r="585" spans="16:20" ht="15">
      <c r="P585" s="447"/>
      <c r="Q585" s="497"/>
      <c r="R585" s="497"/>
      <c r="S585" s="497"/>
      <c r="T585" s="497"/>
    </row>
    <row r="586" spans="16:20" ht="15">
      <c r="P586" s="447"/>
      <c r="Q586" s="497"/>
      <c r="R586" s="497"/>
      <c r="S586" s="497"/>
      <c r="T586" s="497"/>
    </row>
    <row r="587" spans="16:20" ht="15">
      <c r="P587" s="447"/>
      <c r="Q587" s="497"/>
      <c r="R587" s="497"/>
      <c r="S587" s="497"/>
      <c r="T587" s="497"/>
    </row>
    <row r="588" spans="16:20" ht="15">
      <c r="P588" s="447"/>
      <c r="Q588" s="497"/>
      <c r="R588" s="497"/>
      <c r="S588" s="497"/>
      <c r="T588" s="497"/>
    </row>
    <row r="589" spans="16:20" ht="15">
      <c r="P589" s="447"/>
      <c r="Q589" s="497"/>
      <c r="R589" s="497"/>
      <c r="S589" s="497"/>
      <c r="T589" s="497"/>
    </row>
    <row r="590" spans="16:20" ht="15">
      <c r="P590" s="447"/>
      <c r="Q590" s="497"/>
      <c r="R590" s="497"/>
      <c r="S590" s="497"/>
      <c r="T590" s="497"/>
    </row>
    <row r="591" spans="16:20" ht="15">
      <c r="P591" s="447"/>
      <c r="Q591" s="497"/>
      <c r="R591" s="497"/>
      <c r="S591" s="497"/>
      <c r="T591" s="497"/>
    </row>
    <row r="592" spans="16:20" ht="15">
      <c r="P592" s="447"/>
      <c r="Q592" s="497"/>
      <c r="R592" s="497"/>
      <c r="S592" s="497"/>
      <c r="T592" s="497"/>
    </row>
    <row r="593" spans="16:20" ht="15">
      <c r="P593" s="447"/>
      <c r="Q593" s="497"/>
      <c r="R593" s="497"/>
      <c r="S593" s="497"/>
      <c r="T593" s="497"/>
    </row>
    <row r="594" spans="16:20" ht="15">
      <c r="P594" s="447"/>
      <c r="Q594" s="497"/>
      <c r="R594" s="497"/>
      <c r="S594" s="497"/>
      <c r="T594" s="497"/>
    </row>
    <row r="595" spans="16:20" ht="15">
      <c r="P595" s="447"/>
      <c r="Q595" s="497"/>
      <c r="R595" s="497"/>
      <c r="S595" s="497"/>
      <c r="T595" s="497"/>
    </row>
    <row r="596" spans="16:20" ht="15">
      <c r="P596" s="447"/>
      <c r="Q596" s="497"/>
      <c r="R596" s="497"/>
      <c r="S596" s="497"/>
      <c r="T596" s="497"/>
    </row>
    <row r="597" spans="16:20" ht="15">
      <c r="P597" s="447"/>
      <c r="Q597" s="497"/>
      <c r="R597" s="497"/>
      <c r="S597" s="497"/>
      <c r="T597" s="497"/>
    </row>
    <row r="598" spans="16:20" ht="15">
      <c r="P598" s="447"/>
      <c r="Q598" s="497"/>
      <c r="R598" s="497"/>
      <c r="S598" s="497"/>
      <c r="T598" s="497"/>
    </row>
    <row r="599" spans="16:20" ht="15">
      <c r="P599" s="447"/>
      <c r="Q599" s="497"/>
      <c r="R599" s="497"/>
      <c r="S599" s="497"/>
      <c r="T599" s="497"/>
    </row>
    <row r="600" spans="16:20" ht="15">
      <c r="P600" s="447"/>
      <c r="Q600" s="497"/>
      <c r="R600" s="497"/>
      <c r="S600" s="497"/>
      <c r="T600" s="497"/>
    </row>
    <row r="601" spans="16:20" ht="15">
      <c r="P601" s="447"/>
      <c r="Q601" s="497"/>
      <c r="R601" s="497"/>
      <c r="S601" s="497"/>
      <c r="T601" s="497"/>
    </row>
    <row r="602" spans="16:20" ht="15">
      <c r="P602" s="447"/>
      <c r="Q602" s="497"/>
      <c r="R602" s="497"/>
      <c r="S602" s="497"/>
      <c r="T602" s="497"/>
    </row>
    <row r="603" spans="16:20" ht="15">
      <c r="P603" s="447"/>
      <c r="Q603" s="497"/>
      <c r="R603" s="497"/>
      <c r="S603" s="497"/>
      <c r="T603" s="497"/>
    </row>
    <row r="604" spans="16:20" ht="15">
      <c r="P604" s="447"/>
      <c r="Q604" s="497"/>
      <c r="R604" s="497"/>
      <c r="S604" s="497"/>
      <c r="T604" s="497"/>
    </row>
    <row r="605" spans="16:20" ht="15">
      <c r="P605" s="447"/>
      <c r="Q605" s="497"/>
      <c r="R605" s="497"/>
      <c r="S605" s="497"/>
      <c r="T605" s="497"/>
    </row>
    <row r="606" spans="16:20" ht="15">
      <c r="P606" s="447"/>
      <c r="Q606" s="497"/>
      <c r="R606" s="497"/>
      <c r="S606" s="497"/>
      <c r="T606" s="497"/>
    </row>
    <row r="607" spans="16:20" ht="15">
      <c r="P607" s="447"/>
      <c r="Q607" s="497"/>
      <c r="R607" s="497"/>
      <c r="S607" s="497"/>
      <c r="T607" s="497"/>
    </row>
    <row r="608" spans="16:20" ht="15">
      <c r="P608" s="447"/>
      <c r="Q608" s="497"/>
      <c r="R608" s="497"/>
      <c r="S608" s="497"/>
      <c r="T608" s="497"/>
    </row>
    <row r="609" spans="16:20" ht="15">
      <c r="P609" s="447"/>
      <c r="Q609" s="497"/>
      <c r="R609" s="497"/>
      <c r="S609" s="497"/>
      <c r="T609" s="497"/>
    </row>
    <row r="610" spans="16:20" ht="15">
      <c r="P610" s="447"/>
      <c r="Q610" s="497"/>
      <c r="R610" s="497"/>
      <c r="S610" s="497"/>
      <c r="T610" s="497"/>
    </row>
    <row r="611" spans="16:20" ht="15">
      <c r="P611" s="447"/>
      <c r="Q611" s="497"/>
      <c r="R611" s="497"/>
      <c r="S611" s="497"/>
      <c r="T611" s="497"/>
    </row>
    <row r="612" spans="16:20" ht="15">
      <c r="P612" s="447"/>
      <c r="Q612" s="497"/>
      <c r="R612" s="497"/>
      <c r="S612" s="497"/>
      <c r="T612" s="497"/>
    </row>
    <row r="613" spans="16:20" ht="15">
      <c r="P613" s="447"/>
      <c r="Q613" s="497"/>
      <c r="R613" s="497"/>
      <c r="S613" s="497"/>
      <c r="T613" s="497"/>
    </row>
    <row r="614" spans="16:20" ht="15">
      <c r="P614" s="447"/>
      <c r="Q614" s="497"/>
      <c r="R614" s="497"/>
      <c r="S614" s="497"/>
      <c r="T614" s="497"/>
    </row>
    <row r="615" spans="16:20" ht="15">
      <c r="P615" s="447"/>
      <c r="Q615" s="497"/>
      <c r="R615" s="497"/>
      <c r="S615" s="497"/>
      <c r="T615" s="497"/>
    </row>
    <row r="616" spans="16:20" ht="15">
      <c r="P616" s="447"/>
      <c r="Q616" s="497"/>
      <c r="R616" s="497"/>
      <c r="S616" s="497"/>
      <c r="T616" s="497"/>
    </row>
    <row r="617" spans="16:20" ht="15">
      <c r="P617" s="447"/>
      <c r="Q617" s="497"/>
      <c r="R617" s="497"/>
      <c r="S617" s="497"/>
      <c r="T617" s="497"/>
    </row>
    <row r="618" spans="16:20" ht="15">
      <c r="P618" s="447"/>
      <c r="Q618" s="497"/>
      <c r="R618" s="497"/>
      <c r="S618" s="497"/>
      <c r="T618" s="497"/>
    </row>
    <row r="619" spans="16:20" ht="15">
      <c r="P619" s="447"/>
      <c r="Q619" s="497"/>
      <c r="R619" s="497"/>
      <c r="S619" s="497"/>
      <c r="T619" s="497"/>
    </row>
    <row r="620" spans="16:20" ht="15">
      <c r="P620" s="447"/>
      <c r="Q620" s="497"/>
      <c r="R620" s="497"/>
      <c r="S620" s="497"/>
      <c r="T620" s="497"/>
    </row>
    <row r="621" spans="16:20" ht="15">
      <c r="P621" s="447"/>
      <c r="Q621" s="497"/>
      <c r="R621" s="497"/>
      <c r="S621" s="497"/>
      <c r="T621" s="497"/>
    </row>
    <row r="622" spans="16:20" ht="15">
      <c r="P622" s="447"/>
      <c r="Q622" s="497"/>
      <c r="R622" s="497"/>
      <c r="S622" s="497"/>
      <c r="T622" s="497"/>
    </row>
    <row r="623" spans="16:20" ht="15">
      <c r="P623" s="447"/>
      <c r="Q623" s="497"/>
      <c r="R623" s="497"/>
      <c r="S623" s="497"/>
      <c r="T623" s="497"/>
    </row>
    <row r="624" spans="16:20" ht="15">
      <c r="P624" s="447"/>
      <c r="Q624" s="497"/>
      <c r="R624" s="497"/>
      <c r="S624" s="497"/>
      <c r="T624" s="497"/>
    </row>
    <row r="625" spans="16:20" ht="15">
      <c r="P625" s="447"/>
      <c r="Q625" s="497"/>
      <c r="R625" s="497"/>
      <c r="S625" s="497"/>
      <c r="T625" s="497"/>
    </row>
    <row r="626" spans="16:20" ht="15">
      <c r="P626" s="447"/>
      <c r="Q626" s="497"/>
      <c r="R626" s="497"/>
      <c r="S626" s="497"/>
      <c r="T626" s="497"/>
    </row>
    <row r="627" spans="16:20" ht="15">
      <c r="P627" s="447"/>
      <c r="Q627" s="497"/>
      <c r="R627" s="497"/>
      <c r="S627" s="497"/>
      <c r="T627" s="497"/>
    </row>
    <row r="628" spans="16:20" ht="15">
      <c r="P628" s="447"/>
      <c r="Q628" s="497"/>
      <c r="R628" s="497"/>
      <c r="S628" s="497"/>
      <c r="T628" s="497"/>
    </row>
    <row r="629" spans="16:20" ht="15">
      <c r="P629" s="447"/>
      <c r="Q629" s="497"/>
      <c r="R629" s="497"/>
      <c r="S629" s="497"/>
      <c r="T629" s="497"/>
    </row>
    <row r="630" spans="16:20" ht="15">
      <c r="P630" s="447"/>
      <c r="Q630" s="497"/>
      <c r="R630" s="497"/>
      <c r="S630" s="497"/>
      <c r="T630" s="497"/>
    </row>
    <row r="631" spans="16:20" ht="15">
      <c r="P631" s="447"/>
      <c r="Q631" s="497"/>
      <c r="R631" s="497"/>
      <c r="S631" s="497"/>
      <c r="T631" s="497"/>
    </row>
    <row r="632" spans="16:20" ht="15">
      <c r="P632" s="447"/>
      <c r="Q632" s="497"/>
      <c r="R632" s="497"/>
      <c r="S632" s="497"/>
      <c r="T632" s="497"/>
    </row>
    <row r="633" spans="16:20" ht="15">
      <c r="P633" s="447"/>
      <c r="Q633" s="497"/>
      <c r="R633" s="497"/>
      <c r="S633" s="497"/>
      <c r="T633" s="497"/>
    </row>
    <row r="634" spans="16:20" ht="15">
      <c r="P634" s="447"/>
      <c r="Q634" s="497"/>
      <c r="R634" s="497"/>
      <c r="S634" s="497"/>
      <c r="T634" s="497"/>
    </row>
    <row r="635" spans="16:20" ht="15">
      <c r="P635" s="447"/>
      <c r="Q635" s="497"/>
      <c r="R635" s="497"/>
      <c r="S635" s="497"/>
      <c r="T635" s="497"/>
    </row>
    <row r="636" spans="16:20" ht="15">
      <c r="P636" s="447"/>
      <c r="Q636" s="497"/>
      <c r="R636" s="497"/>
      <c r="S636" s="497"/>
      <c r="T636" s="497"/>
    </row>
    <row r="637" spans="16:20" ht="15">
      <c r="P637" s="447"/>
      <c r="Q637" s="497"/>
      <c r="R637" s="497"/>
      <c r="S637" s="497"/>
      <c r="T637" s="497"/>
    </row>
    <row r="638" spans="16:20" ht="15">
      <c r="P638" s="447"/>
      <c r="Q638" s="497"/>
      <c r="R638" s="497"/>
      <c r="S638" s="497"/>
      <c r="T638" s="497"/>
    </row>
    <row r="639" spans="16:20" ht="15">
      <c r="P639" s="447"/>
      <c r="Q639" s="497"/>
      <c r="R639" s="497"/>
      <c r="S639" s="497"/>
      <c r="T639" s="497"/>
    </row>
    <row r="640" spans="16:20" ht="15">
      <c r="P640" s="447"/>
      <c r="Q640" s="497"/>
      <c r="R640" s="497"/>
      <c r="S640" s="497"/>
      <c r="T640" s="497"/>
    </row>
    <row r="641" spans="16:20" ht="15">
      <c r="P641" s="447"/>
      <c r="Q641" s="497"/>
      <c r="R641" s="497"/>
      <c r="S641" s="497"/>
      <c r="T641" s="497"/>
    </row>
    <row r="642" spans="16:20" ht="15">
      <c r="P642" s="447"/>
      <c r="Q642" s="497"/>
      <c r="R642" s="497"/>
      <c r="S642" s="497"/>
      <c r="T642" s="497"/>
    </row>
    <row r="643" spans="16:20" ht="15">
      <c r="P643" s="447"/>
      <c r="Q643" s="497"/>
      <c r="R643" s="497"/>
      <c r="S643" s="497"/>
      <c r="T643" s="497"/>
    </row>
    <row r="644" spans="16:20" ht="15">
      <c r="P644" s="447"/>
      <c r="Q644" s="497"/>
      <c r="R644" s="497"/>
      <c r="S644" s="497"/>
      <c r="T644" s="497"/>
    </row>
    <row r="645" spans="16:20" ht="15">
      <c r="P645" s="447"/>
      <c r="Q645" s="497"/>
      <c r="R645" s="497"/>
      <c r="S645" s="497"/>
      <c r="T645" s="497"/>
    </row>
    <row r="646" spans="16:20" ht="15">
      <c r="P646" s="447"/>
      <c r="Q646" s="497"/>
      <c r="R646" s="497"/>
      <c r="S646" s="497"/>
      <c r="T646" s="497"/>
    </row>
    <row r="647" spans="16:20" ht="15">
      <c r="P647" s="447"/>
      <c r="Q647" s="497"/>
      <c r="R647" s="497"/>
      <c r="S647" s="497"/>
      <c r="T647" s="497"/>
    </row>
    <row r="648" spans="16:20" ht="15">
      <c r="P648" s="447"/>
      <c r="Q648" s="497"/>
      <c r="R648" s="497"/>
      <c r="S648" s="497"/>
      <c r="T648" s="497"/>
    </row>
    <row r="649" spans="16:20" ht="15">
      <c r="P649" s="447"/>
      <c r="Q649" s="497"/>
      <c r="R649" s="497"/>
      <c r="S649" s="497"/>
      <c r="T649" s="497"/>
    </row>
    <row r="650" spans="16:20" ht="15">
      <c r="P650" s="447"/>
      <c r="Q650" s="497"/>
      <c r="R650" s="497"/>
      <c r="S650" s="497"/>
      <c r="T650" s="497"/>
    </row>
    <row r="651" spans="16:20" ht="15">
      <c r="P651" s="447"/>
      <c r="Q651" s="497"/>
      <c r="R651" s="497"/>
      <c r="S651" s="497"/>
      <c r="T651" s="497"/>
    </row>
    <row r="652" spans="16:20" ht="15">
      <c r="P652" s="447"/>
      <c r="Q652" s="497"/>
      <c r="R652" s="497"/>
      <c r="S652" s="497"/>
      <c r="T652" s="497"/>
    </row>
    <row r="653" spans="16:20" ht="15">
      <c r="P653" s="447"/>
      <c r="Q653" s="497"/>
      <c r="R653" s="497"/>
      <c r="S653" s="497"/>
      <c r="T653" s="497"/>
    </row>
    <row r="654" spans="16:20" ht="15">
      <c r="P654" s="447"/>
      <c r="Q654" s="497"/>
      <c r="R654" s="497"/>
      <c r="S654" s="497"/>
      <c r="T654" s="497"/>
    </row>
    <row r="655" spans="16:20" ht="15">
      <c r="P655" s="447"/>
      <c r="Q655" s="497"/>
      <c r="R655" s="497"/>
      <c r="S655" s="497"/>
      <c r="T655" s="497"/>
    </row>
    <row r="656" spans="16:20" ht="15">
      <c r="P656" s="447"/>
      <c r="Q656" s="497"/>
      <c r="R656" s="497"/>
      <c r="S656" s="497"/>
      <c r="T656" s="497"/>
    </row>
    <row r="657" spans="16:20" ht="15">
      <c r="P657" s="447"/>
      <c r="Q657" s="497"/>
      <c r="R657" s="497"/>
      <c r="S657" s="497"/>
      <c r="T657" s="497"/>
    </row>
    <row r="658" spans="16:20" ht="15">
      <c r="P658" s="447"/>
      <c r="Q658" s="497"/>
      <c r="R658" s="497"/>
      <c r="S658" s="497"/>
      <c r="T658" s="497"/>
    </row>
    <row r="659" spans="16:20" ht="15">
      <c r="P659" s="447"/>
      <c r="Q659" s="497"/>
      <c r="R659" s="497"/>
      <c r="S659" s="497"/>
      <c r="T659" s="497"/>
    </row>
    <row r="660" spans="16:20" ht="15">
      <c r="P660" s="447"/>
      <c r="Q660" s="497"/>
      <c r="R660" s="497"/>
      <c r="S660" s="497"/>
      <c r="T660" s="497"/>
    </row>
    <row r="661" spans="16:20" ht="15">
      <c r="P661" s="447"/>
      <c r="Q661" s="497"/>
      <c r="R661" s="497"/>
      <c r="S661" s="497"/>
      <c r="T661" s="497"/>
    </row>
    <row r="662" spans="16:20" ht="15">
      <c r="P662" s="447"/>
      <c r="Q662" s="497"/>
      <c r="R662" s="497"/>
      <c r="S662" s="497"/>
      <c r="T662" s="497"/>
    </row>
    <row r="663" spans="16:20" ht="15">
      <c r="P663" s="447"/>
      <c r="Q663" s="497"/>
      <c r="R663" s="497"/>
      <c r="S663" s="497"/>
      <c r="T663" s="497"/>
    </row>
    <row r="664" spans="16:20" ht="15">
      <c r="P664" s="447"/>
      <c r="Q664" s="497"/>
      <c r="R664" s="497"/>
      <c r="S664" s="497"/>
      <c r="T664" s="497"/>
    </row>
    <row r="665" spans="16:20" ht="15">
      <c r="P665" s="447"/>
      <c r="Q665" s="497"/>
      <c r="R665" s="497"/>
      <c r="S665" s="497"/>
      <c r="T665" s="497"/>
    </row>
    <row r="666" spans="16:20" ht="15">
      <c r="P666" s="447"/>
      <c r="Q666" s="497"/>
      <c r="R666" s="497"/>
      <c r="S666" s="497"/>
      <c r="T666" s="497"/>
    </row>
    <row r="667" spans="16:20" ht="15">
      <c r="P667" s="447"/>
      <c r="Q667" s="497"/>
      <c r="R667" s="497"/>
      <c r="S667" s="497"/>
      <c r="T667" s="497"/>
    </row>
    <row r="668" spans="16:20" ht="15">
      <c r="P668" s="447"/>
      <c r="Q668" s="497"/>
      <c r="R668" s="497"/>
      <c r="S668" s="497"/>
      <c r="T668" s="497"/>
    </row>
    <row r="669" spans="16:20" ht="15">
      <c r="P669" s="447"/>
      <c r="Q669" s="497"/>
      <c r="R669" s="497"/>
      <c r="S669" s="497"/>
      <c r="T669" s="497"/>
    </row>
    <row r="670" spans="16:20" ht="15">
      <c r="P670" s="447"/>
      <c r="Q670" s="497"/>
      <c r="R670" s="497"/>
      <c r="S670" s="497"/>
      <c r="T670" s="497"/>
    </row>
    <row r="671" spans="16:20" ht="15">
      <c r="P671" s="447"/>
      <c r="Q671" s="497"/>
      <c r="R671" s="497"/>
      <c r="S671" s="497"/>
      <c r="T671" s="497"/>
    </row>
    <row r="672" spans="16:20" ht="15">
      <c r="P672" s="447"/>
      <c r="Q672" s="497"/>
      <c r="R672" s="497"/>
      <c r="S672" s="497"/>
      <c r="T672" s="497"/>
    </row>
    <row r="673" spans="16:20" ht="15">
      <c r="P673" s="447"/>
      <c r="Q673" s="497"/>
      <c r="R673" s="497"/>
      <c r="S673" s="497"/>
      <c r="T673" s="497"/>
    </row>
    <row r="674" spans="16:20" ht="15">
      <c r="P674" s="447"/>
      <c r="Q674" s="497"/>
      <c r="R674" s="497"/>
      <c r="S674" s="497"/>
      <c r="T674" s="497"/>
    </row>
    <row r="675" spans="16:20" ht="15">
      <c r="P675" s="447"/>
      <c r="Q675" s="497"/>
      <c r="R675" s="497"/>
      <c r="S675" s="497"/>
      <c r="T675" s="497"/>
    </row>
    <row r="676" spans="16:20" ht="15">
      <c r="P676" s="447"/>
      <c r="Q676" s="497"/>
      <c r="R676" s="497"/>
      <c r="S676" s="497"/>
      <c r="T676" s="497"/>
    </row>
    <row r="677" spans="16:20" ht="15">
      <c r="P677" s="447"/>
      <c r="Q677" s="497"/>
      <c r="R677" s="497"/>
      <c r="S677" s="497"/>
      <c r="T677" s="497"/>
    </row>
    <row r="678" spans="16:20" ht="15">
      <c r="P678" s="447"/>
      <c r="Q678" s="497"/>
      <c r="R678" s="497"/>
      <c r="S678" s="497"/>
      <c r="T678" s="497"/>
    </row>
    <row r="679" spans="16:20" ht="15">
      <c r="P679" s="447"/>
      <c r="Q679" s="497"/>
      <c r="R679" s="497"/>
      <c r="S679" s="497"/>
      <c r="T679" s="497"/>
    </row>
    <row r="680" spans="16:20" ht="15">
      <c r="P680" s="447"/>
      <c r="Q680" s="497"/>
      <c r="R680" s="497"/>
      <c r="S680" s="497"/>
      <c r="T680" s="497"/>
    </row>
    <row r="681" spans="16:20" ht="15">
      <c r="P681" s="447"/>
      <c r="Q681" s="497"/>
      <c r="R681" s="497"/>
      <c r="S681" s="497"/>
      <c r="T681" s="497"/>
    </row>
    <row r="682" spans="16:20" ht="15">
      <c r="P682" s="447"/>
      <c r="Q682" s="497"/>
      <c r="R682" s="497"/>
      <c r="S682" s="497"/>
      <c r="T682" s="497"/>
    </row>
    <row r="683" spans="16:20" ht="15">
      <c r="P683" s="447"/>
      <c r="Q683" s="497"/>
      <c r="R683" s="497"/>
      <c r="S683" s="497"/>
      <c r="T683" s="497"/>
    </row>
    <row r="684" spans="16:20" ht="15">
      <c r="P684" s="447"/>
      <c r="Q684" s="497"/>
      <c r="R684" s="497"/>
      <c r="S684" s="497"/>
      <c r="T684" s="497"/>
    </row>
    <row r="685" spans="16:20" ht="15">
      <c r="P685" s="447"/>
      <c r="Q685" s="497"/>
      <c r="R685" s="497"/>
      <c r="S685" s="497"/>
      <c r="T685" s="497"/>
    </row>
    <row r="686" spans="16:20" ht="15">
      <c r="P686" s="447"/>
      <c r="Q686" s="497"/>
      <c r="R686" s="497"/>
      <c r="S686" s="497"/>
      <c r="T686" s="497"/>
    </row>
    <row r="687" spans="16:20" ht="15">
      <c r="P687" s="447"/>
      <c r="Q687" s="497"/>
      <c r="R687" s="497"/>
      <c r="S687" s="497"/>
      <c r="T687" s="497"/>
    </row>
    <row r="688" spans="16:20" ht="15">
      <c r="P688" s="447"/>
      <c r="Q688" s="497"/>
      <c r="R688" s="497"/>
      <c r="S688" s="497"/>
      <c r="T688" s="497"/>
    </row>
    <row r="689" spans="16:20" ht="15">
      <c r="P689" s="447"/>
      <c r="Q689" s="497"/>
      <c r="R689" s="497"/>
      <c r="S689" s="497"/>
      <c r="T689" s="497"/>
    </row>
    <row r="690" spans="16:20" ht="15">
      <c r="P690" s="447"/>
      <c r="Q690" s="497"/>
      <c r="R690" s="497"/>
      <c r="S690" s="497"/>
      <c r="T690" s="497"/>
    </row>
    <row r="691" spans="16:20" ht="15">
      <c r="P691" s="447"/>
      <c r="Q691" s="497"/>
      <c r="R691" s="497"/>
      <c r="S691" s="497"/>
      <c r="T691" s="497"/>
    </row>
    <row r="692" spans="16:20" ht="15">
      <c r="P692" s="447"/>
      <c r="Q692" s="497"/>
      <c r="R692" s="497"/>
      <c r="S692" s="497"/>
      <c r="T692" s="497"/>
    </row>
    <row r="693" spans="16:20" ht="15">
      <c r="P693" s="447"/>
      <c r="Q693" s="497"/>
      <c r="R693" s="497"/>
      <c r="S693" s="497"/>
      <c r="T693" s="497"/>
    </row>
    <row r="694" spans="16:20" ht="15">
      <c r="P694" s="447"/>
      <c r="Q694" s="497"/>
      <c r="R694" s="497"/>
      <c r="S694" s="497"/>
      <c r="T694" s="497"/>
    </row>
    <row r="695" spans="16:20" ht="15">
      <c r="P695" s="447"/>
      <c r="Q695" s="497"/>
      <c r="R695" s="497"/>
      <c r="S695" s="497"/>
      <c r="T695" s="497"/>
    </row>
    <row r="696" spans="16:20" ht="15">
      <c r="P696" s="447"/>
      <c r="Q696" s="497"/>
      <c r="R696" s="497"/>
      <c r="S696" s="497"/>
      <c r="T696" s="497"/>
    </row>
    <row r="697" spans="16:20" ht="15">
      <c r="P697" s="447"/>
      <c r="Q697" s="497"/>
      <c r="R697" s="497"/>
      <c r="S697" s="497"/>
      <c r="T697" s="497"/>
    </row>
    <row r="698" spans="16:20" ht="15">
      <c r="P698" s="447"/>
      <c r="Q698" s="497"/>
      <c r="R698" s="497"/>
      <c r="S698" s="497"/>
      <c r="T698" s="497"/>
    </row>
    <row r="699" spans="16:20" ht="15">
      <c r="P699" s="447"/>
      <c r="Q699" s="497"/>
      <c r="R699" s="497"/>
      <c r="S699" s="497"/>
      <c r="T699" s="497"/>
    </row>
    <row r="700" spans="16:20" ht="15">
      <c r="P700" s="447"/>
      <c r="Q700" s="497"/>
      <c r="R700" s="497"/>
      <c r="S700" s="497"/>
      <c r="T700" s="497"/>
    </row>
    <row r="701" spans="16:20" ht="15">
      <c r="P701" s="447"/>
      <c r="Q701" s="497"/>
      <c r="R701" s="497"/>
      <c r="S701" s="497"/>
      <c r="T701" s="497"/>
    </row>
    <row r="702" spans="16:20" ht="15">
      <c r="P702" s="447"/>
      <c r="Q702" s="497"/>
      <c r="R702" s="497"/>
      <c r="S702" s="497"/>
      <c r="T702" s="497"/>
    </row>
    <row r="703" spans="16:20" ht="15">
      <c r="P703" s="447"/>
      <c r="Q703" s="497"/>
      <c r="R703" s="497"/>
      <c r="S703" s="497"/>
      <c r="T703" s="497"/>
    </row>
    <row r="704" spans="16:20" ht="15">
      <c r="P704" s="447"/>
      <c r="Q704" s="497"/>
      <c r="R704" s="497"/>
      <c r="S704" s="497"/>
      <c r="T704" s="497"/>
    </row>
    <row r="705" spans="16:20" ht="15">
      <c r="P705" s="447"/>
      <c r="Q705" s="497"/>
      <c r="R705" s="497"/>
      <c r="S705" s="497"/>
      <c r="T705" s="497"/>
    </row>
    <row r="706" spans="16:20" ht="15">
      <c r="P706" s="447"/>
      <c r="Q706" s="497"/>
      <c r="R706" s="497"/>
      <c r="S706" s="497"/>
      <c r="T706" s="497"/>
    </row>
    <row r="707" spans="16:20" ht="15">
      <c r="P707" s="447"/>
      <c r="Q707" s="497"/>
      <c r="R707" s="497"/>
      <c r="S707" s="497"/>
      <c r="T707" s="497"/>
    </row>
    <row r="708" spans="16:20" ht="15">
      <c r="P708" s="447"/>
      <c r="Q708" s="497"/>
      <c r="R708" s="497"/>
      <c r="S708" s="497"/>
      <c r="T708" s="497"/>
    </row>
    <row r="709" spans="16:20" ht="15">
      <c r="P709" s="447"/>
      <c r="Q709" s="497"/>
      <c r="R709" s="497"/>
      <c r="S709" s="497"/>
      <c r="T709" s="497"/>
    </row>
    <row r="710" spans="16:20" ht="15">
      <c r="P710" s="447"/>
      <c r="Q710" s="497"/>
      <c r="R710" s="497"/>
      <c r="S710" s="497"/>
      <c r="T710" s="497"/>
    </row>
    <row r="711" spans="16:20" ht="15">
      <c r="P711" s="447"/>
      <c r="Q711" s="497"/>
      <c r="R711" s="497"/>
      <c r="S711" s="497"/>
      <c r="T711" s="497"/>
    </row>
    <row r="712" spans="16:20" ht="15">
      <c r="P712" s="447"/>
      <c r="Q712" s="497"/>
      <c r="R712" s="497"/>
      <c r="S712" s="497"/>
      <c r="T712" s="497"/>
    </row>
    <row r="713" spans="16:20" ht="15">
      <c r="P713" s="447"/>
      <c r="Q713" s="497"/>
      <c r="R713" s="497"/>
      <c r="S713" s="497"/>
      <c r="T713" s="497"/>
    </row>
    <row r="714" spans="16:20" ht="15">
      <c r="P714" s="447"/>
      <c r="Q714" s="497"/>
      <c r="R714" s="497"/>
      <c r="S714" s="497"/>
      <c r="T714" s="497"/>
    </row>
    <row r="715" spans="16:20" ht="15">
      <c r="P715" s="447"/>
      <c r="Q715" s="497"/>
      <c r="R715" s="497"/>
      <c r="S715" s="497"/>
      <c r="T715" s="497"/>
    </row>
    <row r="716" spans="16:20" ht="15">
      <c r="P716" s="447"/>
      <c r="Q716" s="497"/>
      <c r="R716" s="497"/>
      <c r="S716" s="497"/>
      <c r="T716" s="497"/>
    </row>
    <row r="717" spans="16:20" ht="15">
      <c r="P717" s="447"/>
      <c r="Q717" s="497"/>
      <c r="R717" s="497"/>
      <c r="S717" s="497"/>
      <c r="T717" s="497"/>
    </row>
    <row r="718" spans="16:20" ht="15">
      <c r="P718" s="447"/>
      <c r="Q718" s="497"/>
      <c r="R718" s="497"/>
      <c r="S718" s="497"/>
      <c r="T718" s="497"/>
    </row>
    <row r="719" spans="16:20" ht="15">
      <c r="P719" s="447"/>
      <c r="Q719" s="497"/>
      <c r="R719" s="497"/>
      <c r="S719" s="497"/>
      <c r="T719" s="497"/>
    </row>
    <row r="720" spans="16:20" ht="15">
      <c r="P720" s="447"/>
      <c r="Q720" s="497"/>
      <c r="R720" s="497"/>
      <c r="S720" s="497"/>
      <c r="T720" s="497"/>
    </row>
    <row r="721" spans="16:20" ht="15">
      <c r="P721" s="447"/>
      <c r="Q721" s="497"/>
      <c r="R721" s="497"/>
      <c r="S721" s="497"/>
      <c r="T721" s="497"/>
    </row>
    <row r="722" spans="16:20" ht="15">
      <c r="P722" s="447"/>
      <c r="Q722" s="497"/>
      <c r="R722" s="497"/>
      <c r="S722" s="497"/>
      <c r="T722" s="497"/>
    </row>
    <row r="723" spans="16:20" ht="15">
      <c r="P723" s="447"/>
      <c r="Q723" s="497"/>
      <c r="R723" s="497"/>
      <c r="S723" s="497"/>
      <c r="T723" s="497"/>
    </row>
    <row r="724" spans="16:20" ht="15">
      <c r="P724" s="447"/>
      <c r="Q724" s="497"/>
      <c r="R724" s="497"/>
      <c r="S724" s="497"/>
      <c r="T724" s="497"/>
    </row>
    <row r="725" spans="16:20" ht="15">
      <c r="P725" s="447"/>
      <c r="Q725" s="497"/>
      <c r="R725" s="497"/>
      <c r="S725" s="497"/>
      <c r="T725" s="497"/>
    </row>
    <row r="726" spans="16:20" ht="15">
      <c r="P726" s="447"/>
      <c r="Q726" s="497"/>
      <c r="R726" s="497"/>
      <c r="S726" s="497"/>
      <c r="T726" s="497"/>
    </row>
    <row r="727" spans="16:20" ht="15">
      <c r="P727" s="447"/>
      <c r="Q727" s="497"/>
      <c r="R727" s="497"/>
      <c r="S727" s="497"/>
      <c r="T727" s="497"/>
    </row>
    <row r="728" spans="16:20" ht="15">
      <c r="P728" s="447"/>
      <c r="Q728" s="497"/>
      <c r="R728" s="497"/>
      <c r="S728" s="497"/>
      <c r="T728" s="497"/>
    </row>
    <row r="729" spans="16:20" ht="15">
      <c r="P729" s="447"/>
      <c r="Q729" s="497"/>
      <c r="R729" s="497"/>
      <c r="S729" s="497"/>
      <c r="T729" s="497"/>
    </row>
    <row r="730" spans="16:20" ht="15">
      <c r="P730" s="447"/>
      <c r="Q730" s="497"/>
      <c r="R730" s="497"/>
      <c r="S730" s="497"/>
      <c r="T730" s="497"/>
    </row>
    <row r="731" spans="16:20" ht="15">
      <c r="P731" s="447"/>
      <c r="Q731" s="497"/>
      <c r="R731" s="497"/>
      <c r="S731" s="497"/>
      <c r="T731" s="497"/>
    </row>
    <row r="732" spans="16:20" ht="15">
      <c r="P732" s="447"/>
      <c r="Q732" s="497"/>
      <c r="R732" s="497"/>
      <c r="S732" s="497"/>
      <c r="T732" s="497"/>
    </row>
    <row r="733" spans="16:20" ht="15">
      <c r="P733" s="447"/>
      <c r="Q733" s="497"/>
      <c r="R733" s="497"/>
      <c r="S733" s="497"/>
      <c r="T733" s="497"/>
    </row>
    <row r="734" spans="16:20" ht="15">
      <c r="P734" s="447"/>
      <c r="Q734" s="497"/>
      <c r="R734" s="497"/>
      <c r="S734" s="497"/>
      <c r="T734" s="497"/>
    </row>
    <row r="735" spans="16:20" ht="15">
      <c r="P735" s="447"/>
      <c r="Q735" s="497"/>
      <c r="R735" s="497"/>
      <c r="S735" s="497"/>
      <c r="T735" s="497"/>
    </row>
    <row r="736" spans="16:20" ht="15">
      <c r="P736" s="447"/>
      <c r="Q736" s="497"/>
      <c r="R736" s="497"/>
      <c r="S736" s="497"/>
      <c r="T736" s="497"/>
    </row>
    <row r="737" spans="16:16" s="497" customFormat="1" ht="15">
      <c r="P737" s="447"/>
    </row>
    <row r="738" spans="16:16" s="497" customFormat="1" ht="15">
      <c r="P738" s="447"/>
    </row>
    <row r="739" spans="16:16" s="497" customFormat="1" ht="15">
      <c r="P739" s="447"/>
    </row>
    <row r="740" spans="16:16" s="497" customFormat="1" ht="15">
      <c r="P740" s="447"/>
    </row>
    <row r="741" spans="16:16" s="497" customFormat="1" ht="15">
      <c r="P741" s="447"/>
    </row>
    <row r="742" spans="16:16" s="497" customFormat="1" ht="15">
      <c r="P742" s="447"/>
    </row>
    <row r="743" spans="16:16" s="497" customFormat="1" ht="15">
      <c r="P743" s="447"/>
    </row>
    <row r="744" spans="16:16" s="497" customFormat="1" ht="15">
      <c r="P744" s="447"/>
    </row>
    <row r="745" spans="16:16" s="497" customFormat="1" ht="15">
      <c r="P745" s="447"/>
    </row>
    <row r="746" spans="16:16" s="497" customFormat="1" ht="15">
      <c r="P746" s="447"/>
    </row>
    <row r="747" spans="16:16" s="497" customFormat="1" ht="15">
      <c r="P747" s="447"/>
    </row>
    <row r="748" spans="16:16" s="497" customFormat="1" ht="15">
      <c r="P748" s="447"/>
    </row>
    <row r="749" spans="16:16" s="497" customFormat="1" ht="15">
      <c r="P749" s="447"/>
    </row>
    <row r="750" spans="16:16" s="497" customFormat="1" ht="15">
      <c r="P750" s="447"/>
    </row>
    <row r="751" spans="16:16" s="497" customFormat="1" ht="15">
      <c r="P751" s="447"/>
    </row>
    <row r="752" spans="16:16" s="497" customFormat="1" ht="15">
      <c r="P752" s="447"/>
    </row>
    <row r="753" spans="16:16" s="497" customFormat="1" ht="15">
      <c r="P753" s="447"/>
    </row>
    <row r="754" spans="16:16" s="497" customFormat="1" ht="15">
      <c r="P754" s="447"/>
    </row>
    <row r="755" spans="16:16" s="497" customFormat="1" ht="15">
      <c r="P755" s="447"/>
    </row>
    <row r="756" spans="16:16" s="497" customFormat="1" ht="15">
      <c r="P756" s="447"/>
    </row>
    <row r="757" spans="16:16" s="497" customFormat="1" ht="15">
      <c r="P757" s="447"/>
    </row>
    <row r="758" spans="16:16" s="497" customFormat="1" ht="15">
      <c r="P758" s="447"/>
    </row>
    <row r="759" spans="16:16" s="497" customFormat="1" ht="15">
      <c r="P759" s="447"/>
    </row>
    <row r="760" spans="16:16" s="497" customFormat="1" ht="15">
      <c r="P760" s="447"/>
    </row>
    <row r="761" spans="16:16" s="497" customFormat="1" ht="15">
      <c r="P761" s="447"/>
    </row>
    <row r="762" spans="16:16" s="497" customFormat="1" ht="15">
      <c r="P762" s="447"/>
    </row>
    <row r="763" spans="16:16" s="497" customFormat="1" ht="15">
      <c r="P763" s="447"/>
    </row>
    <row r="764" spans="16:16" s="497" customFormat="1" ht="15">
      <c r="P764" s="447"/>
    </row>
    <row r="765" spans="16:16" s="497" customFormat="1" ht="15">
      <c r="P765" s="447"/>
    </row>
    <row r="766" spans="16:16" s="497" customFormat="1" ht="15">
      <c r="P766" s="447"/>
    </row>
    <row r="767" spans="16:16" s="497" customFormat="1" ht="15">
      <c r="P767" s="447"/>
    </row>
    <row r="768" spans="16:16" s="497" customFormat="1" ht="15">
      <c r="P768" s="447"/>
    </row>
    <row r="769" spans="16:16" s="497" customFormat="1" ht="15">
      <c r="P769" s="447"/>
    </row>
    <row r="770" spans="16:16" s="497" customFormat="1" ht="15">
      <c r="P770" s="447"/>
    </row>
    <row r="771" spans="16:16" s="497" customFormat="1" ht="15">
      <c r="P771" s="447"/>
    </row>
    <row r="772" spans="16:16" s="497" customFormat="1" ht="15">
      <c r="P772" s="447"/>
    </row>
    <row r="773" spans="16:16" s="497" customFormat="1" ht="15">
      <c r="P773" s="447"/>
    </row>
    <row r="774" spans="16:16" s="497" customFormat="1" ht="15">
      <c r="P774" s="447"/>
    </row>
    <row r="775" spans="16:16" s="497" customFormat="1" ht="15">
      <c r="P775" s="447"/>
    </row>
    <row r="776" spans="16:16" s="497" customFormat="1" ht="15">
      <c r="P776" s="447"/>
    </row>
    <row r="777" spans="16:16" s="497" customFormat="1" ht="15">
      <c r="P777" s="447"/>
    </row>
    <row r="778" spans="16:16" s="497" customFormat="1" ht="15">
      <c r="P778" s="447"/>
    </row>
    <row r="779" spans="16:16" s="497" customFormat="1" ht="15">
      <c r="P779" s="447"/>
    </row>
    <row r="780" spans="16:16" s="497" customFormat="1" ht="15">
      <c r="P780" s="447"/>
    </row>
    <row r="781" spans="16:16" s="497" customFormat="1" ht="15">
      <c r="P781" s="447"/>
    </row>
    <row r="782" spans="16:16" s="497" customFormat="1" ht="15">
      <c r="P782" s="447"/>
    </row>
    <row r="783" spans="16:16" s="497" customFormat="1" ht="15">
      <c r="P783" s="447"/>
    </row>
    <row r="784" spans="16:16" s="497" customFormat="1" ht="15">
      <c r="P784" s="447"/>
    </row>
    <row r="785" spans="16:16" s="497" customFormat="1" ht="15">
      <c r="P785" s="447"/>
    </row>
    <row r="786" spans="16:16" s="497" customFormat="1" ht="15">
      <c r="P786" s="447"/>
    </row>
    <row r="787" spans="16:16" s="497" customFormat="1" ht="15">
      <c r="P787" s="447"/>
    </row>
    <row r="788" spans="16:16" s="497" customFormat="1" ht="15">
      <c r="P788" s="447"/>
    </row>
    <row r="789" spans="16:16" s="497" customFormat="1" ht="15">
      <c r="P789" s="447"/>
    </row>
    <row r="790" spans="16:16" s="497" customFormat="1" ht="15">
      <c r="P790" s="447"/>
    </row>
    <row r="791" spans="16:16" s="497" customFormat="1" ht="15">
      <c r="P791" s="447"/>
    </row>
    <row r="792" spans="16:16" s="497" customFormat="1" ht="15">
      <c r="P792" s="447"/>
    </row>
    <row r="793" spans="16:16" s="497" customFormat="1" ht="15">
      <c r="P793" s="447"/>
    </row>
    <row r="794" spans="16:16" s="497" customFormat="1" ht="15">
      <c r="P794" s="447"/>
    </row>
    <row r="795" spans="16:16" s="497" customFormat="1" ht="15">
      <c r="P795" s="447"/>
    </row>
    <row r="796" spans="16:16" s="497" customFormat="1" ht="15">
      <c r="P796" s="447"/>
    </row>
    <row r="797" spans="16:16" s="497" customFormat="1" ht="15">
      <c r="P797" s="447"/>
    </row>
    <row r="798" spans="16:16" s="497" customFormat="1" ht="15">
      <c r="P798" s="447"/>
    </row>
    <row r="799" spans="16:16" s="497" customFormat="1" ht="15">
      <c r="P799" s="447"/>
    </row>
    <row r="800" spans="16:16" s="497" customFormat="1" ht="15">
      <c r="P800" s="447"/>
    </row>
    <row r="801" spans="16:16" s="497" customFormat="1" ht="15">
      <c r="P801" s="447"/>
    </row>
    <row r="802" spans="16:16" s="497" customFormat="1" ht="15">
      <c r="P802" s="447"/>
    </row>
    <row r="803" spans="16:16" s="497" customFormat="1" ht="15">
      <c r="P803" s="447"/>
    </row>
    <row r="804" spans="16:16" s="497" customFormat="1" ht="15">
      <c r="P804" s="447"/>
    </row>
    <row r="805" spans="16:16" s="497" customFormat="1" ht="15">
      <c r="P805" s="447"/>
    </row>
    <row r="806" spans="16:16" s="497" customFormat="1" ht="15">
      <c r="P806" s="447"/>
    </row>
    <row r="807" spans="16:16" s="497" customFormat="1" ht="15">
      <c r="P807" s="447"/>
    </row>
    <row r="808" spans="16:16" s="497" customFormat="1" ht="15">
      <c r="P808" s="447"/>
    </row>
    <row r="809" spans="16:16" s="497" customFormat="1" ht="15">
      <c r="P809" s="447"/>
    </row>
    <row r="810" spans="16:16" s="497" customFormat="1" ht="15">
      <c r="P810" s="447"/>
    </row>
    <row r="811" spans="16:16" s="497" customFormat="1" ht="15">
      <c r="P811" s="447"/>
    </row>
    <row r="812" spans="16:16" s="497" customFormat="1" ht="15">
      <c r="P812" s="447"/>
    </row>
    <row r="813" spans="16:16" s="497" customFormat="1" ht="15">
      <c r="P813" s="447"/>
    </row>
    <row r="814" spans="16:16" s="497" customFormat="1" ht="15">
      <c r="P814" s="447"/>
    </row>
    <row r="815" spans="16:16" s="497" customFormat="1" ht="15">
      <c r="P815" s="447"/>
    </row>
    <row r="816" spans="16:16" s="497" customFormat="1" ht="15">
      <c r="P816" s="447"/>
    </row>
    <row r="817" spans="16:16" s="497" customFormat="1" ht="15">
      <c r="P817" s="447"/>
    </row>
    <row r="818" spans="16:16" s="497" customFormat="1" ht="15">
      <c r="P818" s="447"/>
    </row>
    <row r="819" spans="16:16" s="497" customFormat="1" ht="15">
      <c r="P819" s="447"/>
    </row>
    <row r="820" spans="16:16" s="497" customFormat="1" ht="15">
      <c r="P820" s="447"/>
    </row>
    <row r="821" spans="16:16" s="497" customFormat="1" ht="15">
      <c r="P821" s="447"/>
    </row>
    <row r="822" spans="16:16" s="497" customFormat="1" ht="15">
      <c r="P822" s="447"/>
    </row>
    <row r="823" spans="16:16" s="497" customFormat="1" ht="15">
      <c r="P823" s="447"/>
    </row>
    <row r="824" spans="16:16" s="497" customFormat="1" ht="15">
      <c r="P824" s="447"/>
    </row>
    <row r="825" spans="16:16" s="497" customFormat="1" ht="15">
      <c r="P825" s="447"/>
    </row>
    <row r="826" spans="16:16" s="497" customFormat="1" ht="15">
      <c r="P826" s="447"/>
    </row>
    <row r="827" spans="16:16" s="497" customFormat="1" ht="15">
      <c r="P827" s="447"/>
    </row>
    <row r="828" spans="16:16" s="497" customFormat="1" ht="15">
      <c r="P828" s="447"/>
    </row>
    <row r="829" spans="16:16" s="497" customFormat="1" ht="15">
      <c r="P829" s="447"/>
    </row>
    <row r="830" spans="16:16" s="497" customFormat="1" ht="15">
      <c r="P830" s="447"/>
    </row>
    <row r="831" spans="16:16" s="497" customFormat="1" ht="15">
      <c r="P831" s="447"/>
    </row>
    <row r="832" spans="16:16" s="497" customFormat="1" ht="15">
      <c r="P832" s="447"/>
    </row>
    <row r="833" spans="16:16" s="497" customFormat="1" ht="15">
      <c r="P833" s="447"/>
    </row>
    <row r="834" spans="16:16" s="497" customFormat="1" ht="15">
      <c r="P834" s="447"/>
    </row>
    <row r="835" spans="16:16" s="497" customFormat="1" ht="15">
      <c r="P835" s="447"/>
    </row>
    <row r="836" spans="16:16" s="497" customFormat="1" ht="15">
      <c r="P836" s="447"/>
    </row>
    <row r="837" spans="16:16" s="497" customFormat="1" ht="15">
      <c r="P837" s="447"/>
    </row>
    <row r="838" spans="16:16" s="497" customFormat="1" ht="15">
      <c r="P838" s="447"/>
    </row>
    <row r="839" spans="16:16" s="497" customFormat="1" ht="15">
      <c r="P839" s="447"/>
    </row>
    <row r="840" spans="16:16" s="497" customFormat="1" ht="15">
      <c r="P840" s="447"/>
    </row>
    <row r="841" spans="16:16" s="497" customFormat="1" ht="15">
      <c r="P841" s="447"/>
    </row>
    <row r="842" spans="16:16" s="497" customFormat="1" ht="15">
      <c r="P842" s="447"/>
    </row>
    <row r="843" spans="16:16" s="497" customFormat="1" ht="15">
      <c r="P843" s="447"/>
    </row>
    <row r="844" spans="16:16" s="497" customFormat="1" ht="15">
      <c r="P844" s="447"/>
    </row>
    <row r="845" spans="16:16" s="497" customFormat="1" ht="15">
      <c r="P845" s="447"/>
    </row>
    <row r="846" spans="16:16" s="497" customFormat="1" ht="15">
      <c r="P846" s="447"/>
    </row>
    <row r="847" spans="16:16" s="497" customFormat="1" ht="15">
      <c r="P847" s="447"/>
    </row>
    <row r="848" spans="16:16" s="497" customFormat="1" ht="15">
      <c r="P848" s="447"/>
    </row>
    <row r="849" spans="16:16" s="497" customFormat="1" ht="15">
      <c r="P849" s="447"/>
    </row>
    <row r="850" spans="16:16" s="497" customFormat="1" ht="15">
      <c r="P850" s="447"/>
    </row>
    <row r="851" spans="16:16" s="497" customFormat="1" ht="15">
      <c r="P851" s="447"/>
    </row>
    <row r="852" spans="16:16" s="497" customFormat="1" ht="15">
      <c r="P852" s="447"/>
    </row>
    <row r="853" spans="16:16" s="497" customFormat="1" ht="15">
      <c r="P853" s="447"/>
    </row>
    <row r="854" spans="16:16" s="497" customFormat="1" ht="15">
      <c r="P854" s="447"/>
    </row>
    <row r="855" spans="16:16" s="497" customFormat="1" ht="15">
      <c r="P855" s="447"/>
    </row>
    <row r="856" spans="16:16" s="497" customFormat="1" ht="15">
      <c r="P856" s="447"/>
    </row>
    <row r="857" spans="16:16" s="497" customFormat="1" ht="15">
      <c r="P857" s="447"/>
    </row>
    <row r="858" spans="16:16" s="497" customFormat="1" ht="15">
      <c r="P858" s="447"/>
    </row>
    <row r="859" spans="16:16" s="497" customFormat="1" ht="15">
      <c r="P859" s="447"/>
    </row>
    <row r="860" spans="16:16" s="497" customFormat="1" ht="15">
      <c r="P860" s="447"/>
    </row>
    <row r="861" spans="16:16" s="497" customFormat="1" ht="15">
      <c r="P861" s="447"/>
    </row>
    <row r="862" spans="16:16" s="497" customFormat="1" ht="15">
      <c r="P862" s="447"/>
    </row>
    <row r="863" spans="16:16" s="497" customFormat="1" ht="15">
      <c r="P863" s="447"/>
    </row>
    <row r="864" spans="16:16" s="497" customFormat="1" ht="15">
      <c r="P864" s="447"/>
    </row>
    <row r="865" spans="16:16" s="497" customFormat="1" ht="15">
      <c r="P865" s="447"/>
    </row>
    <row r="866" spans="16:16" s="497" customFormat="1" ht="15">
      <c r="P866" s="447"/>
    </row>
    <row r="867" spans="16:16" s="497" customFormat="1" ht="15">
      <c r="P867" s="447"/>
    </row>
    <row r="868" spans="16:16" s="497" customFormat="1" ht="15">
      <c r="P868" s="447"/>
    </row>
    <row r="869" spans="16:16" s="497" customFormat="1" ht="15">
      <c r="P869" s="447"/>
    </row>
    <row r="870" spans="16:16" s="497" customFormat="1" ht="15">
      <c r="P870" s="447"/>
    </row>
    <row r="871" spans="16:16" s="497" customFormat="1" ht="15">
      <c r="P871" s="447"/>
    </row>
    <row r="872" spans="16:16" s="497" customFormat="1" ht="15">
      <c r="P872" s="447"/>
    </row>
    <row r="873" spans="16:16" s="497" customFormat="1" ht="15">
      <c r="P873" s="447"/>
    </row>
    <row r="874" spans="16:16" s="497" customFormat="1" ht="15">
      <c r="P874" s="447"/>
    </row>
    <row r="875" spans="16:16" s="497" customFormat="1" ht="15">
      <c r="P875" s="447"/>
    </row>
    <row r="876" spans="16:16" s="497" customFormat="1" ht="15">
      <c r="P876" s="447"/>
    </row>
    <row r="877" spans="16:16" s="497" customFormat="1" ht="15">
      <c r="P877" s="447"/>
    </row>
    <row r="878" spans="16:16" s="497" customFormat="1" ht="15">
      <c r="P878" s="447"/>
    </row>
    <row r="879" spans="16:16" s="497" customFormat="1" ht="15">
      <c r="P879" s="447"/>
    </row>
    <row r="880" spans="16:16" s="497" customFormat="1" ht="15">
      <c r="P880" s="447"/>
    </row>
    <row r="881" spans="16:16" s="497" customFormat="1" ht="15">
      <c r="P881" s="447"/>
    </row>
    <row r="882" spans="16:16" s="497" customFormat="1" ht="15">
      <c r="P882" s="447"/>
    </row>
    <row r="883" spans="16:16" s="497" customFormat="1" ht="15">
      <c r="P883" s="447"/>
    </row>
    <row r="884" spans="16:16" s="497" customFormat="1" ht="15">
      <c r="P884" s="447"/>
    </row>
    <row r="885" spans="16:16" s="497" customFormat="1" ht="15">
      <c r="P885" s="447"/>
    </row>
    <row r="886" spans="16:16" s="497" customFormat="1" ht="15">
      <c r="P886" s="447"/>
    </row>
    <row r="887" spans="16:16" s="497" customFormat="1" ht="15">
      <c r="P887" s="447"/>
    </row>
    <row r="888" spans="16:16" s="497" customFormat="1" ht="15">
      <c r="P888" s="447"/>
    </row>
    <row r="889" spans="16:16" s="497" customFormat="1" ht="15">
      <c r="P889" s="447"/>
    </row>
    <row r="890" spans="16:16" s="497" customFormat="1" ht="15">
      <c r="P890" s="447"/>
    </row>
    <row r="891" spans="16:16" s="497" customFormat="1" ht="15">
      <c r="P891" s="447"/>
    </row>
    <row r="892" spans="16:16" s="497" customFormat="1" ht="15">
      <c r="P892" s="447"/>
    </row>
    <row r="893" spans="16:16" s="497" customFormat="1" ht="15">
      <c r="P893" s="447"/>
    </row>
    <row r="894" spans="16:16" s="497" customFormat="1" ht="15">
      <c r="P894" s="447"/>
    </row>
    <row r="895" spans="16:16" s="497" customFormat="1" ht="15">
      <c r="P895" s="447"/>
    </row>
    <row r="896" spans="16:16" s="497" customFormat="1" ht="15">
      <c r="P896" s="447"/>
    </row>
    <row r="897" spans="16:16" s="497" customFormat="1" ht="15">
      <c r="P897" s="447"/>
    </row>
    <row r="898" spans="16:16" s="497" customFormat="1" ht="15">
      <c r="P898" s="447"/>
    </row>
    <row r="899" spans="16:16" s="497" customFormat="1" ht="15">
      <c r="P899" s="447"/>
    </row>
    <row r="900" spans="16:16" s="497" customFormat="1" ht="15">
      <c r="P900" s="447"/>
    </row>
    <row r="901" spans="16:16" s="497" customFormat="1" ht="15">
      <c r="P901" s="447"/>
    </row>
    <row r="902" spans="16:16" s="497" customFormat="1" ht="15">
      <c r="P902" s="447"/>
    </row>
    <row r="903" spans="16:16" s="497" customFormat="1" ht="15">
      <c r="P903" s="447"/>
    </row>
    <row r="904" spans="16:16" s="497" customFormat="1" ht="15">
      <c r="P904" s="447"/>
    </row>
    <row r="905" spans="16:16" s="497" customFormat="1" ht="15">
      <c r="P905" s="447"/>
    </row>
    <row r="906" spans="16:16" s="497" customFormat="1" ht="15">
      <c r="P906" s="447"/>
    </row>
    <row r="907" spans="16:16" s="497" customFormat="1" ht="15">
      <c r="P907" s="447"/>
    </row>
    <row r="908" spans="16:16" s="497" customFormat="1" ht="15">
      <c r="P908" s="447"/>
    </row>
    <row r="909" spans="16:16" s="497" customFormat="1" ht="15">
      <c r="P909" s="447"/>
    </row>
    <row r="910" spans="16:16" s="497" customFormat="1" ht="15">
      <c r="P910" s="447"/>
    </row>
    <row r="911" spans="16:16" s="497" customFormat="1" ht="15">
      <c r="P911" s="447"/>
    </row>
    <row r="912" spans="16:16" s="497" customFormat="1" ht="15">
      <c r="P912" s="447"/>
    </row>
    <row r="913" spans="16:16" s="497" customFormat="1" ht="15">
      <c r="P913" s="447"/>
    </row>
    <row r="914" spans="16:16" s="497" customFormat="1" ht="15">
      <c r="P914" s="447"/>
    </row>
    <row r="915" spans="16:16" s="497" customFormat="1" ht="15">
      <c r="P915" s="447"/>
    </row>
    <row r="916" spans="16:16" s="497" customFormat="1" ht="15">
      <c r="P916" s="447"/>
    </row>
    <row r="917" spans="16:16" s="497" customFormat="1" ht="15">
      <c r="P917" s="447"/>
    </row>
    <row r="918" spans="16:16" s="497" customFormat="1" ht="15">
      <c r="P918" s="447"/>
    </row>
    <row r="919" spans="16:16" s="497" customFormat="1" ht="15">
      <c r="P919" s="447"/>
    </row>
    <row r="920" spans="16:16" s="497" customFormat="1" ht="15">
      <c r="P920" s="447"/>
    </row>
    <row r="921" spans="16:16" s="497" customFormat="1" ht="15">
      <c r="P921" s="447"/>
    </row>
    <row r="922" spans="16:16" s="497" customFormat="1" ht="15">
      <c r="P922" s="447"/>
    </row>
    <row r="923" spans="16:16" s="497" customFormat="1" ht="15">
      <c r="P923" s="447"/>
    </row>
    <row r="924" spans="16:16" s="497" customFormat="1" ht="15">
      <c r="P924" s="447"/>
    </row>
    <row r="925" spans="16:16" s="497" customFormat="1" ht="15">
      <c r="P925" s="447"/>
    </row>
    <row r="926" spans="16:16" s="497" customFormat="1" ht="15">
      <c r="P926" s="447"/>
    </row>
    <row r="927" spans="16:16" s="497" customFormat="1" ht="15">
      <c r="P927" s="447"/>
    </row>
    <row r="928" spans="16:16" s="497" customFormat="1" ht="15">
      <c r="P928" s="447"/>
    </row>
    <row r="929" spans="16:16" s="497" customFormat="1" ht="15">
      <c r="P929" s="447"/>
    </row>
    <row r="930" spans="16:16" s="497" customFormat="1" ht="15">
      <c r="P930" s="447"/>
    </row>
    <row r="931" spans="16:16" s="497" customFormat="1" ht="15">
      <c r="P931" s="447"/>
    </row>
    <row r="932" spans="16:16" s="497" customFormat="1" ht="15">
      <c r="P932" s="447"/>
    </row>
    <row r="933" spans="16:16" s="497" customFormat="1" ht="15">
      <c r="P933" s="447"/>
    </row>
    <row r="934" spans="16:16" s="497" customFormat="1" ht="15">
      <c r="P934" s="447"/>
    </row>
    <row r="935" spans="16:16" s="497" customFormat="1" ht="15">
      <c r="P935" s="447"/>
    </row>
    <row r="936" spans="16:16" s="497" customFormat="1" ht="15">
      <c r="P936" s="447"/>
    </row>
    <row r="937" spans="16:16" s="497" customFormat="1" ht="15">
      <c r="P937" s="447"/>
    </row>
    <row r="938" spans="16:16" s="497" customFormat="1" ht="15">
      <c r="P938" s="447"/>
    </row>
    <row r="939" spans="16:16" s="497" customFormat="1" ht="15">
      <c r="P939" s="447"/>
    </row>
    <row r="940" spans="16:16" s="497" customFormat="1" ht="15">
      <c r="P940" s="447"/>
    </row>
    <row r="941" spans="16:16" s="497" customFormat="1" ht="15">
      <c r="P941" s="447"/>
    </row>
    <row r="942" spans="16:16" s="497" customFormat="1" ht="15">
      <c r="P942" s="447"/>
    </row>
    <row r="943" spans="16:16" s="497" customFormat="1" ht="15">
      <c r="P943" s="447"/>
    </row>
    <row r="944" spans="16:16" s="497" customFormat="1" ht="15">
      <c r="P944" s="447"/>
    </row>
    <row r="945" spans="16:16" s="497" customFormat="1" ht="15">
      <c r="P945" s="447"/>
    </row>
    <row r="946" spans="16:16" s="497" customFormat="1" ht="15">
      <c r="P946" s="447"/>
    </row>
    <row r="947" spans="16:16" s="497" customFormat="1" ht="15">
      <c r="P947" s="447"/>
    </row>
    <row r="948" spans="16:16" s="497" customFormat="1" ht="15">
      <c r="P948" s="447"/>
    </row>
    <row r="949" spans="16:16" s="497" customFormat="1" ht="15">
      <c r="P949" s="447"/>
    </row>
    <row r="950" spans="16:16" s="497" customFormat="1" ht="15">
      <c r="P950" s="447"/>
    </row>
    <row r="951" spans="16:16" s="497" customFormat="1" ht="15">
      <c r="P951" s="447"/>
    </row>
    <row r="952" spans="16:16" s="497" customFormat="1" ht="15">
      <c r="P952" s="447"/>
    </row>
    <row r="953" spans="16:16" s="497" customFormat="1" ht="15">
      <c r="P953" s="447"/>
    </row>
    <row r="954" spans="16:16" s="497" customFormat="1" ht="15">
      <c r="P954" s="447"/>
    </row>
    <row r="955" spans="16:16" s="497" customFormat="1" ht="15">
      <c r="P955" s="447"/>
    </row>
    <row r="956" spans="16:16" s="497" customFormat="1" ht="15">
      <c r="P956" s="447"/>
    </row>
    <row r="957" spans="16:16" s="497" customFormat="1" ht="15">
      <c r="P957" s="447"/>
    </row>
    <row r="958" spans="16:16" s="497" customFormat="1" ht="15">
      <c r="P958" s="447"/>
    </row>
    <row r="959" spans="16:16" s="497" customFormat="1" ht="15">
      <c r="P959" s="447"/>
    </row>
    <row r="960" spans="16:16" s="497" customFormat="1" ht="15">
      <c r="P960" s="447"/>
    </row>
    <row r="961" spans="16:16" s="497" customFormat="1" ht="15">
      <c r="P961" s="447"/>
    </row>
    <row r="962" spans="16:16" s="497" customFormat="1" ht="15">
      <c r="P962" s="447"/>
    </row>
    <row r="963" spans="16:16" s="497" customFormat="1" ht="15">
      <c r="P963" s="447"/>
    </row>
    <row r="964" spans="16:16" s="497" customFormat="1" ht="15">
      <c r="P964" s="447"/>
    </row>
    <row r="965" spans="16:16" s="497" customFormat="1" ht="15">
      <c r="P965" s="447"/>
    </row>
    <row r="966" spans="16:16" s="497" customFormat="1" ht="15">
      <c r="P966" s="447"/>
    </row>
    <row r="967" spans="16:16" s="497" customFormat="1" ht="15">
      <c r="P967" s="447"/>
    </row>
    <row r="968" spans="16:16" s="497" customFormat="1" ht="15">
      <c r="P968" s="447"/>
    </row>
    <row r="969" spans="16:16" s="497" customFormat="1" ht="15">
      <c r="P969" s="447"/>
    </row>
    <row r="970" spans="16:16" s="497" customFormat="1" ht="15">
      <c r="P970" s="447"/>
    </row>
    <row r="971" spans="16:16" s="497" customFormat="1" ht="15">
      <c r="P971" s="447"/>
    </row>
    <row r="972" spans="16:16" s="497" customFormat="1" ht="15">
      <c r="P972" s="447"/>
    </row>
    <row r="973" spans="16:16" s="497" customFormat="1" ht="15">
      <c r="P973" s="447"/>
    </row>
    <row r="974" spans="16:16" s="497" customFormat="1" ht="15">
      <c r="P974" s="447"/>
    </row>
    <row r="975" spans="16:16" s="497" customFormat="1" ht="15">
      <c r="P975" s="447"/>
    </row>
    <row r="976" spans="16:16" s="497" customFormat="1" ht="15">
      <c r="P976" s="447"/>
    </row>
    <row r="977" spans="16:16" s="497" customFormat="1" ht="15">
      <c r="P977" s="447"/>
    </row>
    <row r="978" spans="16:16" s="497" customFormat="1" ht="15">
      <c r="P978" s="447"/>
    </row>
    <row r="979" spans="16:16" s="497" customFormat="1" ht="15">
      <c r="P979" s="447"/>
    </row>
    <row r="980" spans="16:16" s="497" customFormat="1" ht="15">
      <c r="P980" s="447"/>
    </row>
    <row r="981" spans="16:16" s="497" customFormat="1" ht="15">
      <c r="P981" s="447"/>
    </row>
    <row r="982" spans="16:16" s="497" customFormat="1" ht="15">
      <c r="P982" s="447"/>
    </row>
    <row r="983" spans="16:16" s="497" customFormat="1" ht="15">
      <c r="P983" s="447"/>
    </row>
    <row r="984" spans="16:16" s="497" customFormat="1" ht="15">
      <c r="P984" s="447"/>
    </row>
    <row r="985" spans="16:16" s="497" customFormat="1" ht="15">
      <c r="P985" s="447"/>
    </row>
    <row r="986" spans="16:16" s="497" customFormat="1" ht="15">
      <c r="P986" s="447"/>
    </row>
    <row r="987" spans="16:16" s="497" customFormat="1" ht="15">
      <c r="P987" s="447"/>
    </row>
    <row r="988" spans="16:16" s="497" customFormat="1" ht="15">
      <c r="P988" s="447"/>
    </row>
    <row r="989" spans="16:16" s="497" customFormat="1" ht="15">
      <c r="P989" s="447"/>
    </row>
    <row r="990" spans="16:16" s="497" customFormat="1" ht="15">
      <c r="P990" s="447"/>
    </row>
    <row r="991" spans="16:16" s="497" customFormat="1" ht="15">
      <c r="P991" s="447"/>
    </row>
    <row r="992" spans="16:16" s="497" customFormat="1" ht="15">
      <c r="P992" s="447"/>
    </row>
    <row r="993" spans="16:16" s="497" customFormat="1" ht="15">
      <c r="P993" s="447"/>
    </row>
    <row r="994" spans="16:16" s="497" customFormat="1" ht="15">
      <c r="P994" s="447"/>
    </row>
    <row r="995" spans="16:16" s="497" customFormat="1" ht="15">
      <c r="P995" s="447"/>
    </row>
    <row r="996" spans="16:16" s="497" customFormat="1" ht="15">
      <c r="P996" s="447"/>
    </row>
    <row r="997" spans="16:16" s="497" customFormat="1" ht="15">
      <c r="P997" s="447"/>
    </row>
    <row r="998" spans="16:16" s="497" customFormat="1" ht="15">
      <c r="P998" s="447"/>
    </row>
    <row r="999" spans="16:16" s="497" customFormat="1" ht="15">
      <c r="P999" s="447"/>
    </row>
    <row r="1000" spans="16:16" s="497" customFormat="1" ht="15">
      <c r="P1000" s="447"/>
    </row>
    <row r="1001" spans="16:16" s="497" customFormat="1" ht="15">
      <c r="P1001" s="447"/>
    </row>
    <row r="1002" spans="16:16" s="497" customFormat="1" ht="15">
      <c r="P1002" s="447"/>
    </row>
    <row r="1003" spans="16:16" s="497" customFormat="1" ht="15">
      <c r="P1003" s="447"/>
    </row>
    <row r="1004" spans="16:16" s="497" customFormat="1" ht="15">
      <c r="P1004" s="447"/>
    </row>
    <row r="1005" spans="16:16" s="497" customFormat="1" ht="15">
      <c r="P1005" s="447"/>
    </row>
    <row r="1006" spans="16:16" s="497" customFormat="1" ht="15">
      <c r="P1006" s="447"/>
    </row>
    <row r="1007" spans="16:16" s="497" customFormat="1" ht="15">
      <c r="P1007" s="447"/>
    </row>
    <row r="1008" spans="16:16" s="497" customFormat="1" ht="15">
      <c r="P1008" s="447"/>
    </row>
    <row r="1009" spans="16:16" s="497" customFormat="1" ht="15">
      <c r="P1009" s="447"/>
    </row>
    <row r="1010" spans="16:16" s="497" customFormat="1" ht="15">
      <c r="P1010" s="447"/>
    </row>
    <row r="1011" spans="16:16" s="497" customFormat="1" ht="15">
      <c r="P1011" s="447"/>
    </row>
    <row r="1012" spans="16:16" s="497" customFormat="1" ht="15">
      <c r="P1012" s="447"/>
    </row>
    <row r="1013" spans="16:16" s="497" customFormat="1" ht="15">
      <c r="P1013" s="447"/>
    </row>
    <row r="1014" spans="16:16" s="497" customFormat="1" ht="15">
      <c r="P1014" s="447"/>
    </row>
    <row r="1015" spans="16:16" s="497" customFormat="1" ht="15">
      <c r="P1015" s="447"/>
    </row>
    <row r="1016" spans="16:16" s="497" customFormat="1" ht="15">
      <c r="P1016" s="447"/>
    </row>
    <row r="1017" spans="16:16" s="497" customFormat="1" ht="15">
      <c r="P1017" s="447"/>
    </row>
    <row r="1018" spans="16:16" s="497" customFormat="1" ht="15">
      <c r="P1018" s="447"/>
    </row>
    <row r="1019" spans="16:16" s="497" customFormat="1" ht="15">
      <c r="P1019" s="447"/>
    </row>
    <row r="1020" spans="16:16" s="497" customFormat="1" ht="15">
      <c r="P1020" s="447"/>
    </row>
    <row r="1021" spans="16:16" s="497" customFormat="1" ht="15">
      <c r="P1021" s="447"/>
    </row>
    <row r="1022" spans="16:16" s="497" customFormat="1" ht="15">
      <c r="P1022" s="447"/>
    </row>
    <row r="1023" spans="16:16" s="497" customFormat="1" ht="15">
      <c r="P1023" s="447"/>
    </row>
    <row r="1024" spans="16:16" s="497" customFormat="1" ht="15">
      <c r="P1024" s="447"/>
    </row>
    <row r="1025" spans="16:16" s="497" customFormat="1" ht="15">
      <c r="P1025" s="447"/>
    </row>
    <row r="1026" spans="16:16" s="497" customFormat="1" ht="15">
      <c r="P1026" s="447"/>
    </row>
    <row r="1027" spans="16:16" s="497" customFormat="1" ht="15">
      <c r="P1027" s="447"/>
    </row>
    <row r="1028" spans="16:16" s="497" customFormat="1" ht="15">
      <c r="P1028" s="447"/>
    </row>
    <row r="1029" spans="16:16" s="497" customFormat="1" ht="15">
      <c r="P1029" s="447"/>
    </row>
    <row r="1030" spans="16:16" s="497" customFormat="1" ht="15">
      <c r="P1030" s="447"/>
    </row>
    <row r="1031" spans="16:16" s="497" customFormat="1" ht="15">
      <c r="P1031" s="447"/>
    </row>
    <row r="1032" spans="16:16" s="497" customFormat="1" ht="15">
      <c r="P1032" s="447"/>
    </row>
    <row r="1033" spans="16:16" s="497" customFormat="1" ht="15">
      <c r="P1033" s="447"/>
    </row>
    <row r="1034" spans="16:16" s="497" customFormat="1" ht="15">
      <c r="P1034" s="447"/>
    </row>
    <row r="1035" spans="16:16" s="497" customFormat="1" ht="15">
      <c r="P1035" s="447"/>
    </row>
    <row r="1036" spans="16:16" s="497" customFormat="1" ht="15">
      <c r="P1036" s="447"/>
    </row>
    <row r="1037" spans="16:16" s="497" customFormat="1" ht="15">
      <c r="P1037" s="447"/>
    </row>
    <row r="1038" spans="16:16" s="497" customFormat="1" ht="15">
      <c r="P1038" s="447"/>
    </row>
    <row r="1039" spans="16:16" s="497" customFormat="1" ht="15">
      <c r="P1039" s="447"/>
    </row>
    <row r="1040" spans="16:16" s="497" customFormat="1" ht="15">
      <c r="P1040" s="447"/>
    </row>
    <row r="1041" spans="16:16" s="497" customFormat="1" ht="15">
      <c r="P1041" s="447"/>
    </row>
    <row r="1042" spans="16:16" s="497" customFormat="1" ht="15">
      <c r="P1042" s="447"/>
    </row>
    <row r="1043" spans="16:16" s="497" customFormat="1" ht="15">
      <c r="P1043" s="447"/>
    </row>
    <row r="1044" spans="16:16" s="497" customFormat="1" ht="15">
      <c r="P1044" s="447"/>
    </row>
    <row r="1045" spans="16:16" s="497" customFormat="1" ht="15">
      <c r="P1045" s="447"/>
    </row>
    <row r="1046" spans="16:16" s="497" customFormat="1" ht="15">
      <c r="P1046" s="447"/>
    </row>
    <row r="1047" spans="16:16" s="497" customFormat="1" ht="15">
      <c r="P1047" s="447"/>
    </row>
    <row r="1048" spans="16:16" s="497" customFormat="1" ht="15">
      <c r="P1048" s="447"/>
    </row>
    <row r="1049" spans="16:16" s="497" customFormat="1" ht="15">
      <c r="P1049" s="447"/>
    </row>
    <row r="1050" spans="16:16" s="497" customFormat="1" ht="15">
      <c r="P1050" s="447"/>
    </row>
    <row r="1051" spans="16:16" s="497" customFormat="1" ht="15">
      <c r="P1051" s="447"/>
    </row>
    <row r="1052" spans="16:16" s="497" customFormat="1" ht="15">
      <c r="P1052" s="447"/>
    </row>
    <row r="1053" spans="16:16" s="497" customFormat="1" ht="15">
      <c r="P1053" s="447"/>
    </row>
    <row r="1054" spans="16:16" s="497" customFormat="1" ht="15">
      <c r="P1054" s="447"/>
    </row>
    <row r="1055" spans="16:16" s="497" customFormat="1" ht="15">
      <c r="P1055" s="447"/>
    </row>
    <row r="1056" spans="16:16" s="497" customFormat="1" ht="15">
      <c r="P1056" s="447"/>
    </row>
    <row r="1057" spans="16:16" s="497" customFormat="1" ht="15">
      <c r="P1057" s="447"/>
    </row>
    <row r="1058" spans="16:16" s="497" customFormat="1" ht="15">
      <c r="P1058" s="447"/>
    </row>
    <row r="1059" spans="16:16" s="497" customFormat="1" ht="15">
      <c r="P1059" s="447"/>
    </row>
    <row r="1060" spans="16:16" s="497" customFormat="1" ht="15">
      <c r="P1060" s="447"/>
    </row>
    <row r="1061" spans="16:16" s="497" customFormat="1" ht="15">
      <c r="P1061" s="447"/>
    </row>
    <row r="1062" spans="16:16" s="497" customFormat="1" ht="15">
      <c r="P1062" s="447"/>
    </row>
    <row r="1063" spans="16:16" s="497" customFormat="1" ht="15">
      <c r="P1063" s="447"/>
    </row>
    <row r="1064" spans="16:16" s="497" customFormat="1" ht="15">
      <c r="P1064" s="447"/>
    </row>
    <row r="1065" spans="16:16" s="497" customFormat="1" ht="15">
      <c r="P1065" s="447"/>
    </row>
    <row r="1066" spans="16:16" s="497" customFormat="1" ht="15">
      <c r="P1066" s="447"/>
    </row>
    <row r="1067" spans="16:16" s="497" customFormat="1" ht="15">
      <c r="P1067" s="447"/>
    </row>
    <row r="1068" spans="16:16" s="497" customFormat="1" ht="15">
      <c r="P1068" s="447"/>
    </row>
    <row r="1069" spans="16:16" s="497" customFormat="1" ht="15">
      <c r="P1069" s="447"/>
    </row>
    <row r="1070" spans="16:16" s="497" customFormat="1" ht="15">
      <c r="P1070" s="447"/>
    </row>
    <row r="1071" spans="16:16" s="497" customFormat="1" ht="15">
      <c r="P1071" s="447"/>
    </row>
    <row r="1072" spans="16:16" s="497" customFormat="1" ht="15">
      <c r="P1072" s="447"/>
    </row>
    <row r="1073" spans="16:16" s="497" customFormat="1" ht="15">
      <c r="P1073" s="447"/>
    </row>
    <row r="1074" spans="16:16" s="497" customFormat="1" ht="15">
      <c r="P1074" s="447"/>
    </row>
    <row r="1075" spans="16:16" s="497" customFormat="1" ht="15">
      <c r="P1075" s="447"/>
    </row>
    <row r="1076" spans="16:16" s="497" customFormat="1" ht="15">
      <c r="P1076" s="447"/>
    </row>
    <row r="1077" spans="16:16" s="497" customFormat="1" ht="15">
      <c r="P1077" s="447"/>
    </row>
    <row r="1078" spans="16:16" s="497" customFormat="1" ht="15">
      <c r="P1078" s="447"/>
    </row>
    <row r="1079" spans="16:16" s="497" customFormat="1" ht="15">
      <c r="P1079" s="447"/>
    </row>
    <row r="1080" spans="16:16" s="497" customFormat="1" ht="15">
      <c r="P1080" s="447"/>
    </row>
    <row r="1081" spans="16:16" s="497" customFormat="1" ht="15">
      <c r="P1081" s="447"/>
    </row>
    <row r="1082" spans="16:16" s="497" customFormat="1" ht="15">
      <c r="P1082" s="447"/>
    </row>
    <row r="1083" spans="16:16" s="497" customFormat="1" ht="15">
      <c r="P1083" s="447"/>
    </row>
    <row r="1084" spans="16:16" s="497" customFormat="1" ht="15">
      <c r="P1084" s="447"/>
    </row>
    <row r="1085" spans="16:16" s="497" customFormat="1" ht="15">
      <c r="P1085" s="447"/>
    </row>
    <row r="1086" spans="16:16" s="497" customFormat="1" ht="15">
      <c r="P1086" s="447"/>
    </row>
    <row r="1087" spans="16:16" s="497" customFormat="1" ht="15">
      <c r="P1087" s="447"/>
    </row>
    <row r="1088" spans="16:16" s="497" customFormat="1" ht="15">
      <c r="P1088" s="447"/>
    </row>
    <row r="1089" spans="16:16" s="497" customFormat="1" ht="15">
      <c r="P1089" s="447"/>
    </row>
    <row r="1090" spans="16:16" s="497" customFormat="1" ht="15">
      <c r="P1090" s="447"/>
    </row>
    <row r="1091" spans="16:16" s="497" customFormat="1" ht="15">
      <c r="P1091" s="447"/>
    </row>
    <row r="1092" spans="16:16" s="497" customFormat="1" ht="15">
      <c r="P1092" s="447"/>
    </row>
    <row r="1093" spans="16:16" s="497" customFormat="1" ht="15">
      <c r="P1093" s="447"/>
    </row>
    <row r="1094" spans="16:16" s="497" customFormat="1" ht="15">
      <c r="P1094" s="447"/>
    </row>
    <row r="1095" spans="16:16" s="497" customFormat="1" ht="15">
      <c r="P1095" s="447"/>
    </row>
    <row r="1096" spans="16:16" s="497" customFormat="1" ht="15">
      <c r="P1096" s="447"/>
    </row>
    <row r="1097" spans="16:16" s="497" customFormat="1" ht="15">
      <c r="P1097" s="447"/>
    </row>
    <row r="1098" spans="16:16" s="497" customFormat="1" ht="15">
      <c r="P1098" s="447"/>
    </row>
    <row r="1099" spans="16:16" s="497" customFormat="1" ht="15">
      <c r="P1099" s="447"/>
    </row>
    <row r="1100" spans="16:16" s="497" customFormat="1" ht="15">
      <c r="P1100" s="447"/>
    </row>
    <row r="1101" spans="16:16" s="497" customFormat="1" ht="15">
      <c r="P1101" s="447"/>
    </row>
    <row r="1102" spans="16:16" s="497" customFormat="1" ht="15">
      <c r="P1102" s="447"/>
    </row>
    <row r="1103" spans="16:16" s="497" customFormat="1" ht="15">
      <c r="P1103" s="447"/>
    </row>
    <row r="1104" spans="16:16" s="497" customFormat="1" ht="15">
      <c r="P1104" s="447"/>
    </row>
    <row r="1105" spans="16:16" s="497" customFormat="1" ht="15">
      <c r="P1105" s="447"/>
    </row>
    <row r="1106" spans="16:16" s="497" customFormat="1" ht="15">
      <c r="P1106" s="447"/>
    </row>
    <row r="1107" spans="16:16" s="497" customFormat="1" ht="15">
      <c r="P1107" s="447"/>
    </row>
    <row r="1108" spans="16:16" s="497" customFormat="1" ht="15">
      <c r="P1108" s="447"/>
    </row>
    <row r="1109" spans="16:16" s="497" customFormat="1" ht="15">
      <c r="P1109" s="447"/>
    </row>
    <row r="1110" spans="16:16" s="497" customFormat="1" ht="15">
      <c r="P1110" s="447"/>
    </row>
    <row r="1111" spans="16:16" s="497" customFormat="1" ht="15">
      <c r="P1111" s="447"/>
    </row>
    <row r="1112" spans="16:16" s="497" customFormat="1" ht="15">
      <c r="P1112" s="447"/>
    </row>
    <row r="1113" spans="16:16" s="497" customFormat="1" ht="15">
      <c r="P1113" s="447"/>
    </row>
    <row r="1114" spans="16:16" s="497" customFormat="1" ht="15">
      <c r="P1114" s="447"/>
    </row>
    <row r="1115" spans="16:16" s="497" customFormat="1" ht="15">
      <c r="P1115" s="447"/>
    </row>
    <row r="1116" spans="16:16" s="497" customFormat="1" ht="15">
      <c r="P1116" s="447"/>
    </row>
    <row r="1117" spans="16:16" s="497" customFormat="1" ht="15">
      <c r="P1117" s="447"/>
    </row>
    <row r="1118" spans="16:16" s="497" customFormat="1" ht="15">
      <c r="P1118" s="447"/>
    </row>
    <row r="1119" spans="16:16" s="497" customFormat="1" ht="15">
      <c r="P1119" s="447"/>
    </row>
    <row r="1120" spans="16:16" s="497" customFormat="1" ht="15">
      <c r="P1120" s="447"/>
    </row>
    <row r="1121" spans="16:16" s="497" customFormat="1" ht="15">
      <c r="P1121" s="447"/>
    </row>
    <row r="1122" spans="16:16" s="497" customFormat="1" ht="15">
      <c r="P1122" s="447"/>
    </row>
    <row r="1123" spans="16:16" s="497" customFormat="1" ht="15">
      <c r="P1123" s="447"/>
    </row>
    <row r="1124" spans="16:16" s="497" customFormat="1" ht="15">
      <c r="P1124" s="447"/>
    </row>
    <row r="1125" spans="16:16" s="497" customFormat="1" ht="15">
      <c r="P1125" s="447"/>
    </row>
    <row r="1126" spans="16:16" s="497" customFormat="1" ht="15">
      <c r="P1126" s="447"/>
    </row>
    <row r="1127" spans="16:16" s="497" customFormat="1" ht="15">
      <c r="P1127" s="447"/>
    </row>
    <row r="1128" spans="16:16" s="497" customFormat="1" ht="15">
      <c r="P1128" s="447"/>
    </row>
    <row r="1129" spans="16:16" s="497" customFormat="1" ht="15">
      <c r="P1129" s="447"/>
    </row>
    <row r="1130" spans="16:16" s="497" customFormat="1" ht="15">
      <c r="P1130" s="447"/>
    </row>
    <row r="1131" spans="16:16" s="497" customFormat="1" ht="15">
      <c r="P1131" s="447"/>
    </row>
    <row r="1132" spans="16:16" s="497" customFormat="1" ht="15">
      <c r="P1132" s="447"/>
    </row>
    <row r="1133" spans="16:16" s="497" customFormat="1" ht="15">
      <c r="P1133" s="447"/>
    </row>
    <row r="1134" spans="16:16" s="497" customFormat="1" ht="15">
      <c r="P1134" s="447"/>
    </row>
    <row r="1135" spans="16:16" s="497" customFormat="1" ht="15">
      <c r="P1135" s="447"/>
    </row>
    <row r="1136" spans="16:16" s="497" customFormat="1" ht="15">
      <c r="P1136" s="447"/>
    </row>
    <row r="1137" spans="16:20" s="497" customFormat="1" ht="15">
      <c r="P1137" s="447"/>
    </row>
    <row r="1138" spans="16:20" s="497" customFormat="1" ht="15">
      <c r="P1138" s="447"/>
    </row>
    <row r="1139" spans="16:20" s="497" customFormat="1" ht="15">
      <c r="P1139" s="447"/>
    </row>
    <row r="1140" spans="16:20" s="497" customFormat="1" ht="15">
      <c r="P1140" s="447"/>
    </row>
    <row r="1141" spans="16:20" s="497" customFormat="1" ht="15">
      <c r="P1141" s="447"/>
    </row>
    <row r="1142" spans="16:20" s="497" customFormat="1" ht="15">
      <c r="P1142" s="447"/>
    </row>
    <row r="1143" spans="16:20" s="497" customFormat="1" ht="15">
      <c r="P1143" s="447"/>
    </row>
    <row r="1144" spans="16:20" s="497" customFormat="1" ht="15">
      <c r="P1144" s="447"/>
    </row>
    <row r="1145" spans="16:20" s="497" customFormat="1" ht="15">
      <c r="P1145" s="447"/>
    </row>
    <row r="1146" spans="16:20" s="497" customFormat="1" ht="15">
      <c r="P1146" s="447"/>
    </row>
    <row r="1147" spans="16:20" s="497" customFormat="1" ht="15">
      <c r="P1147" s="447"/>
    </row>
    <row r="1148" spans="16:20" s="497" customFormat="1" ht="15">
      <c r="P1148" s="447"/>
    </row>
    <row r="1149" spans="16:20" s="497" customFormat="1" ht="15">
      <c r="P1149" s="447"/>
    </row>
    <row r="1150" spans="16:20" s="497" customFormat="1" ht="15">
      <c r="P1150" s="447"/>
    </row>
    <row r="1151" spans="16:20">
      <c r="Q1151" s="497"/>
      <c r="R1151" s="497"/>
      <c r="S1151" s="497"/>
      <c r="T1151" s="497"/>
    </row>
    <row r="1152" spans="16:20">
      <c r="Q1152" s="497"/>
      <c r="R1152" s="497"/>
      <c r="S1152" s="497"/>
      <c r="T1152" s="497"/>
    </row>
    <row r="1153" spans="17:20">
      <c r="Q1153" s="497"/>
      <c r="R1153" s="497"/>
      <c r="S1153" s="497"/>
      <c r="T1153" s="497"/>
    </row>
    <row r="1154" spans="17:20">
      <c r="Q1154" s="497"/>
      <c r="R1154" s="497"/>
      <c r="S1154" s="497"/>
      <c r="T1154" s="497"/>
    </row>
    <row r="1155" spans="17:20">
      <c r="Q1155" s="497"/>
      <c r="R1155" s="497"/>
      <c r="S1155" s="497"/>
      <c r="T1155" s="497"/>
    </row>
    <row r="1156" spans="17:20">
      <c r="Q1156" s="497"/>
      <c r="R1156" s="497"/>
      <c r="S1156" s="497"/>
      <c r="T1156" s="497"/>
    </row>
    <row r="1157" spans="17:20">
      <c r="Q1157" s="497"/>
      <c r="R1157" s="497"/>
      <c r="S1157" s="497"/>
      <c r="T1157" s="497"/>
    </row>
    <row r="1158" spans="17:20">
      <c r="Q1158" s="497"/>
      <c r="R1158" s="497"/>
      <c r="S1158" s="497"/>
      <c r="T1158" s="497"/>
    </row>
    <row r="1159" spans="17:20">
      <c r="Q1159" s="497"/>
      <c r="R1159" s="497"/>
      <c r="S1159" s="497"/>
      <c r="T1159" s="497"/>
    </row>
    <row r="1160" spans="17:20">
      <c r="Q1160" s="497"/>
      <c r="R1160" s="497"/>
      <c r="S1160" s="497"/>
      <c r="T1160" s="497"/>
    </row>
    <row r="1161" spans="17:20">
      <c r="Q1161" s="497"/>
      <c r="R1161" s="497"/>
      <c r="S1161" s="497"/>
      <c r="T1161" s="497"/>
    </row>
    <row r="1162" spans="17:20">
      <c r="Q1162" s="497"/>
      <c r="R1162" s="497"/>
      <c r="S1162" s="497"/>
      <c r="T1162" s="497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6"/>
  </sheetPr>
  <dimension ref="A1:HQ121"/>
  <sheetViews>
    <sheetView showGridLines="0" topLeftCell="A4" zoomScaleNormal="100" workbookViewId="0">
      <pane xSplit="2" topLeftCell="BI1" activePane="topRight" state="frozen"/>
      <selection activeCell="A4" sqref="A4"/>
      <selection pane="topRight" activeCell="CC14" sqref="CC14"/>
    </sheetView>
  </sheetViews>
  <sheetFormatPr defaultRowHeight="12.75" outlineLevelCol="2"/>
  <cols>
    <col min="1" max="1" width="2.140625" style="3" customWidth="1"/>
    <col min="2" max="2" width="6.5703125" style="60" customWidth="1"/>
    <col min="3" max="3" width="23.5703125" style="60" customWidth="1"/>
    <col min="4" max="4" width="15.85546875" style="60" customWidth="1"/>
    <col min="5" max="7" width="10.42578125" style="60" customWidth="1"/>
    <col min="8" max="8" width="9.85546875" style="60" customWidth="1"/>
    <col min="9" max="9" width="11.7109375" style="60" bestFit="1" customWidth="1"/>
    <col min="10" max="10" width="8.7109375" style="60" customWidth="1" outlineLevel="1"/>
    <col min="11" max="11" width="8.7109375" style="61" customWidth="1" outlineLevel="1"/>
    <col min="12" max="16" width="8.7109375" style="60" customWidth="1" outlineLevel="1"/>
    <col min="17" max="19" width="10.140625" style="60" customWidth="1" outlineLevel="1"/>
    <col min="20" max="20" width="3.7109375" style="314" customWidth="1"/>
    <col min="21" max="23" width="9.140625" style="273" customWidth="1" outlineLevel="1"/>
    <col min="24" max="24" width="3.7109375" style="314" customWidth="1"/>
    <col min="25" max="26" width="9.140625" style="3" customWidth="1"/>
    <col min="27" max="42" width="9.140625" style="3" customWidth="1" outlineLevel="1"/>
    <col min="43" max="43" width="9.85546875" style="3" customWidth="1" outlineLevel="1"/>
    <col min="44" max="44" width="9.140625" style="3" customWidth="1" outlineLevel="1"/>
    <col min="45" max="45" width="3.7109375" style="314" customWidth="1"/>
    <col min="47" max="56" width="9.140625" style="3" customWidth="1" outlineLevel="1"/>
    <col min="57" max="59" width="9.140625" style="3" customWidth="1" outlineLevel="2"/>
    <col min="60" max="63" width="9.140625" style="3" customWidth="1" outlineLevel="1"/>
    <col min="64" max="65" width="9.5703125" style="3" customWidth="1" outlineLevel="1"/>
    <col min="66" max="68" width="9.140625" style="3" customWidth="1" outlineLevel="1"/>
    <col min="69" max="69" width="9.7109375" style="3" customWidth="1" outlineLevel="1"/>
    <col min="70" max="73" width="9.7109375" style="3" customWidth="1" outlineLevel="2"/>
    <col min="74" max="74" width="9.7109375" style="3" customWidth="1" outlineLevel="1"/>
    <col min="75" max="76" width="9.140625" style="3" customWidth="1" outlineLevel="1"/>
    <col min="77" max="77" width="9.140625" style="3" customWidth="1"/>
    <col min="78" max="95" width="9.140625" style="3" customWidth="1" outlineLevel="1"/>
    <col min="96" max="96" width="9.140625" style="3" customWidth="1"/>
    <col min="97" max="97" width="9.140625" style="3" hidden="1" customWidth="1" outlineLevel="1"/>
    <col min="98" max="98" width="9.28515625" style="3" hidden="1" customWidth="1" outlineLevel="1"/>
    <col min="99" max="112" width="9.140625" style="3" hidden="1" customWidth="1" outlineLevel="1"/>
    <col min="113" max="113" width="9.140625" style="3" customWidth="1" collapsed="1"/>
    <col min="114" max="114" width="9.140625" style="58" customWidth="1"/>
    <col min="115" max="115" width="7.28515625" style="58" customWidth="1"/>
    <col min="116" max="133" width="9.140625" style="58" customWidth="1"/>
    <col min="134" max="134" width="11.42578125" style="58" customWidth="1"/>
    <col min="135" max="135" width="10.42578125" style="58" customWidth="1"/>
    <col min="136" max="136" width="8.5703125" style="58" customWidth="1"/>
    <col min="137" max="137" width="8.85546875" style="58" customWidth="1"/>
    <col min="138" max="140" width="11.42578125" style="58" customWidth="1"/>
    <col min="141" max="141" width="9.7109375" style="58" customWidth="1"/>
    <col min="142" max="142" width="8.85546875" style="58" customWidth="1"/>
    <col min="143" max="143" width="9.140625" style="58" customWidth="1"/>
    <col min="144" max="146" width="11.42578125" style="58" customWidth="1"/>
    <col min="147" max="147" width="10.42578125" style="58" bestFit="1" customWidth="1"/>
    <col min="148" max="148" width="9.140625" style="58" customWidth="1"/>
    <col min="149" max="149" width="11.42578125" style="58" customWidth="1"/>
    <col min="150" max="150" width="9.140625" style="58" bestFit="1" customWidth="1"/>
    <col min="151" max="151" width="9.140625" style="58" customWidth="1"/>
    <col min="152" max="152" width="11.42578125" style="58" customWidth="1"/>
    <col min="153" max="153" width="11.85546875" style="58" customWidth="1"/>
    <col min="154" max="154" width="1" style="58" hidden="1" customWidth="1"/>
    <col min="155" max="155" width="10" style="58" customWidth="1"/>
    <col min="156" max="156" width="11.42578125" style="58" customWidth="1"/>
    <col min="157" max="157" width="10.42578125" style="58" customWidth="1"/>
    <col min="158" max="158" width="11.5703125" style="58" customWidth="1"/>
    <col min="159" max="160" width="10.42578125" style="58" customWidth="1"/>
    <col min="161" max="161" width="9.42578125" style="58" customWidth="1"/>
    <col min="162" max="164" width="10.42578125" style="58" customWidth="1"/>
    <col min="165" max="165" width="11.42578125" style="58" customWidth="1"/>
    <col min="166" max="166" width="12.5703125" style="3" bestFit="1" customWidth="1"/>
    <col min="167" max="167" width="9.140625" style="3"/>
    <col min="168" max="168" width="10.140625" style="3" customWidth="1"/>
    <col min="169" max="169" width="10.85546875" style="3" customWidth="1"/>
    <col min="170" max="170" width="11.5703125" style="3" customWidth="1"/>
    <col min="171" max="171" width="12.5703125" style="3" customWidth="1"/>
    <col min="172" max="172" width="10.5703125" style="3" customWidth="1"/>
    <col min="173" max="173" width="9.5703125" style="3" customWidth="1"/>
    <col min="174" max="174" width="10.7109375" style="58" customWidth="1"/>
    <col min="175" max="175" width="10.85546875" style="58" customWidth="1"/>
    <col min="176" max="176" width="11.140625" style="3" customWidth="1"/>
    <col min="177" max="177" width="11" style="3" customWidth="1"/>
    <col min="178" max="179" width="11.85546875" style="3" customWidth="1"/>
    <col min="180" max="180" width="12.42578125" style="3" customWidth="1"/>
    <col min="181" max="181" width="9" style="3" customWidth="1"/>
    <col min="182" max="182" width="9.140625" style="3"/>
    <col min="183" max="183" width="10.5703125" style="3" customWidth="1"/>
    <col min="184" max="187" width="9.140625" style="3"/>
    <col min="188" max="188" width="10.42578125" style="3" customWidth="1"/>
    <col min="189" max="189" width="10" style="3" customWidth="1"/>
    <col min="190" max="192" width="9.140625" style="3"/>
    <col min="193" max="193" width="10.140625" style="3" customWidth="1"/>
    <col min="194" max="200" width="9.140625" style="3"/>
    <col min="201" max="201" width="10.28515625" style="3" customWidth="1"/>
    <col min="202" max="202" width="9.140625" style="3"/>
    <col min="203" max="203" width="10.140625" style="3" customWidth="1"/>
    <col min="204" max="220" width="9.140625" style="3"/>
    <col min="221" max="221" width="10.5703125" style="3" customWidth="1"/>
    <col min="222" max="224" width="9.140625" style="3"/>
    <col min="225" max="225" width="10.5703125" style="3" customWidth="1"/>
    <col min="226" max="16384" width="9.140625" style="3"/>
  </cols>
  <sheetData>
    <row r="1" spans="2:225" s="33" customFormat="1" ht="32.25">
      <c r="B1" s="33" t="s">
        <v>261</v>
      </c>
      <c r="E1" s="49" t="s">
        <v>116</v>
      </c>
      <c r="F1" s="609">
        <v>2019</v>
      </c>
      <c r="G1" s="609"/>
      <c r="N1" s="321"/>
      <c r="T1" s="311"/>
      <c r="U1" s="276"/>
      <c r="V1" s="276"/>
      <c r="W1" s="277"/>
      <c r="X1" s="311"/>
      <c r="AS1" s="311"/>
    </row>
    <row r="2" spans="2:225" ht="13.5" customHeight="1"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610" t="s">
        <v>272</v>
      </c>
      <c r="U2" s="306"/>
      <c r="V2" s="306"/>
      <c r="W2" s="306"/>
      <c r="X2" s="610" t="s">
        <v>273</v>
      </c>
      <c r="AS2" s="610" t="s">
        <v>385</v>
      </c>
      <c r="AT2" s="3"/>
    </row>
    <row r="3" spans="2:225" ht="13.5" customHeight="1">
      <c r="B3" s="260"/>
      <c r="C3" s="12" t="s">
        <v>258</v>
      </c>
      <c r="D3" s="19" t="s">
        <v>50</v>
      </c>
      <c r="E3" s="12"/>
      <c r="F3" s="12"/>
      <c r="G3" s="12"/>
      <c r="H3" s="12"/>
      <c r="I3" s="261"/>
      <c r="J3" s="12" t="s">
        <v>264</v>
      </c>
      <c r="K3" s="19" t="s">
        <v>388</v>
      </c>
      <c r="L3" s="19" t="s">
        <v>50</v>
      </c>
      <c r="M3" s="12"/>
      <c r="N3" s="12"/>
      <c r="O3" s="261"/>
      <c r="P3" s="261"/>
      <c r="Q3" s="261"/>
      <c r="R3" s="3"/>
      <c r="S3" s="3"/>
      <c r="T3" s="610"/>
      <c r="U3" s="306"/>
      <c r="V3" s="306"/>
      <c r="W3" s="306"/>
      <c r="X3" s="610"/>
      <c r="AB3" s="12" t="s">
        <v>66</v>
      </c>
      <c r="AC3" s="9" t="s">
        <v>67</v>
      </c>
      <c r="AD3" s="9"/>
      <c r="AE3" s="9"/>
      <c r="AF3" s="9"/>
      <c r="AG3" s="9"/>
      <c r="AH3" s="268" t="s">
        <v>270</v>
      </c>
      <c r="AS3" s="610"/>
      <c r="AT3" s="3"/>
      <c r="CA3" s="19" t="s">
        <v>360</v>
      </c>
      <c r="CB3" s="19"/>
      <c r="CC3" s="19"/>
      <c r="CD3" s="19"/>
      <c r="CF3" s="268" t="s">
        <v>82</v>
      </c>
      <c r="CG3" s="268" t="s">
        <v>82</v>
      </c>
      <c r="CH3" s="268"/>
      <c r="CI3" s="340" t="s">
        <v>253</v>
      </c>
      <c r="CJ3" s="340" t="s">
        <v>396</v>
      </c>
      <c r="CK3" s="340" t="s">
        <v>397</v>
      </c>
      <c r="CL3" s="340" t="s">
        <v>395</v>
      </c>
      <c r="CM3" s="268" t="s">
        <v>268</v>
      </c>
      <c r="FE3" s="3"/>
      <c r="FF3" s="3"/>
      <c r="FG3" s="3"/>
      <c r="FH3" s="3"/>
      <c r="FI3" s="3"/>
      <c r="FL3" s="58"/>
      <c r="FM3" s="58"/>
      <c r="FR3" s="3"/>
      <c r="FS3" s="3"/>
    </row>
    <row r="4" spans="2:225" ht="13.5" customHeight="1">
      <c r="B4" s="260"/>
      <c r="C4" s="20">
        <v>8.7999999999999995E-2</v>
      </c>
      <c r="D4" s="10" t="s">
        <v>257</v>
      </c>
      <c r="E4" s="10"/>
      <c r="F4" s="10"/>
      <c r="G4" s="10"/>
      <c r="H4" s="10"/>
      <c r="I4" s="261"/>
      <c r="J4" s="10">
        <v>75</v>
      </c>
      <c r="K4" s="10" t="s">
        <v>389</v>
      </c>
      <c r="L4" s="10" t="s">
        <v>387</v>
      </c>
      <c r="M4" s="10"/>
      <c r="N4" s="10"/>
      <c r="O4" s="261"/>
      <c r="P4" s="261"/>
      <c r="Q4" s="261"/>
      <c r="R4" s="3"/>
      <c r="S4" s="3"/>
      <c r="T4" s="610"/>
      <c r="U4" s="306"/>
      <c r="V4" s="306"/>
      <c r="W4" s="306"/>
      <c r="X4" s="610"/>
      <c r="AB4" s="10">
        <v>1</v>
      </c>
      <c r="AC4" s="10" t="s">
        <v>69</v>
      </c>
      <c r="AD4" s="10"/>
      <c r="AE4" s="10"/>
      <c r="AF4" s="10"/>
      <c r="AG4" s="10"/>
      <c r="AH4" s="267" t="s">
        <v>494</v>
      </c>
      <c r="AS4" s="610"/>
      <c r="AT4" s="3"/>
      <c r="CA4" s="19" t="s">
        <v>361</v>
      </c>
      <c r="CB4" s="611" t="s">
        <v>362</v>
      </c>
      <c r="CC4" s="611"/>
      <c r="CD4" s="336">
        <v>1.8</v>
      </c>
      <c r="CF4" s="325">
        <v>90</v>
      </c>
      <c r="CG4" s="325">
        <v>100</v>
      </c>
      <c r="CH4" s="325"/>
      <c r="CI4" s="327">
        <f>9.3/25</f>
        <v>0.37200000000000005</v>
      </c>
      <c r="CJ4" s="327">
        <f>630/25</f>
        <v>25.2</v>
      </c>
      <c r="CK4" s="328">
        <v>15.7</v>
      </c>
      <c r="CL4" s="326">
        <v>770</v>
      </c>
      <c r="CM4" s="333">
        <f>$CN$5-(($CI$4*$CN$5-$CJ$4)*(($CN$6-1400)/($CK$4*$CN$5-$CL$4))^1.31)</f>
        <v>69.918502211957843</v>
      </c>
      <c r="FJ4" s="58"/>
      <c r="FK4" s="58"/>
      <c r="FL4" s="58"/>
      <c r="FM4" s="58"/>
      <c r="FN4" s="58"/>
      <c r="FO4" s="58"/>
      <c r="FP4" s="58"/>
      <c r="FQ4" s="58"/>
      <c r="FR4" s="3"/>
      <c r="FS4" s="3"/>
    </row>
    <row r="5" spans="2:225" ht="13.5" customHeight="1" thickBot="1">
      <c r="B5" s="260"/>
      <c r="C5" s="319" t="s">
        <v>147</v>
      </c>
      <c r="D5" s="320" t="s">
        <v>256</v>
      </c>
      <c r="E5" s="320"/>
      <c r="F5" s="320"/>
      <c r="G5" s="320"/>
      <c r="H5" s="320"/>
      <c r="I5" s="261"/>
      <c r="J5" s="320">
        <v>100</v>
      </c>
      <c r="K5" s="320" t="s">
        <v>389</v>
      </c>
      <c r="L5" s="320" t="s">
        <v>410</v>
      </c>
      <c r="M5" s="320"/>
      <c r="N5" s="320"/>
      <c r="O5" s="261"/>
      <c r="P5" s="261"/>
      <c r="Q5" s="261"/>
      <c r="R5" s="3"/>
      <c r="S5" s="3"/>
      <c r="T5" s="610"/>
      <c r="U5" s="306"/>
      <c r="V5" s="306"/>
      <c r="W5" s="306"/>
      <c r="X5" s="610"/>
      <c r="AB5" s="11">
        <v>2</v>
      </c>
      <c r="AC5" s="11" t="s">
        <v>267</v>
      </c>
      <c r="AD5" s="11"/>
      <c r="AE5" s="11"/>
      <c r="AF5" s="11"/>
      <c r="AG5" s="11"/>
      <c r="AH5" s="317" t="s">
        <v>73</v>
      </c>
      <c r="AS5" s="610"/>
      <c r="AT5" s="3"/>
      <c r="CA5" s="337"/>
      <c r="CB5" s="611" t="s">
        <v>363</v>
      </c>
      <c r="CC5" s="611"/>
      <c r="CD5" s="336">
        <v>1.2</v>
      </c>
      <c r="CF5" s="325">
        <v>80</v>
      </c>
      <c r="CG5" s="325">
        <f>CF4</f>
        <v>90</v>
      </c>
      <c r="CH5" s="325"/>
      <c r="CI5" s="327">
        <f>10.4/26</f>
        <v>0.4</v>
      </c>
      <c r="CJ5" s="327">
        <f>696/26</f>
        <v>26.76923076923077</v>
      </c>
      <c r="CK5" s="328">
        <v>15.6</v>
      </c>
      <c r="CL5" s="326">
        <v>704</v>
      </c>
      <c r="CM5" s="333">
        <f>$CN$5-(($CI$5*$CN$5-$CJ$5)*(($CN$6-1400)/($CK$5*$CN$5-$CL$5))^1.31)</f>
        <v>69.947259693600216</v>
      </c>
      <c r="CN5" s="281">
        <v>91</v>
      </c>
      <c r="CO5" s="334" t="s">
        <v>82</v>
      </c>
      <c r="DE5" s="281">
        <v>91</v>
      </c>
      <c r="DF5" s="334" t="s">
        <v>82</v>
      </c>
      <c r="FE5" s="3"/>
      <c r="FF5" s="3"/>
      <c r="FG5" s="3"/>
      <c r="FH5" s="3"/>
      <c r="FI5" s="3"/>
      <c r="FL5" s="58"/>
      <c r="FM5" s="58"/>
      <c r="FR5" s="3"/>
      <c r="FS5" s="3"/>
    </row>
    <row r="6" spans="2:225" ht="13.5" customHeight="1">
      <c r="B6" s="260"/>
      <c r="C6" s="3"/>
      <c r="D6" s="3"/>
      <c r="E6" s="3"/>
      <c r="F6" s="3"/>
      <c r="G6" s="3"/>
      <c r="H6" s="3"/>
      <c r="I6" s="261"/>
      <c r="O6" s="261"/>
      <c r="P6" s="261"/>
      <c r="Q6" s="261"/>
      <c r="R6" s="3"/>
      <c r="S6" s="3"/>
      <c r="T6" s="610"/>
      <c r="U6" s="306"/>
      <c r="V6" s="306"/>
      <c r="W6" s="306"/>
      <c r="X6" s="610"/>
      <c r="AB6" s="10">
        <v>3</v>
      </c>
      <c r="AC6" s="10" t="s">
        <v>266</v>
      </c>
      <c r="AD6" s="10"/>
      <c r="AE6" s="10"/>
      <c r="AF6" s="10"/>
      <c r="AG6" s="10"/>
      <c r="AH6" s="318" t="s">
        <v>73</v>
      </c>
      <c r="AS6" s="610"/>
      <c r="AT6" s="3"/>
      <c r="BG6" s="465" t="s">
        <v>451</v>
      </c>
      <c r="BH6" s="465"/>
      <c r="BI6" s="465"/>
      <c r="BV6" s="465" t="s">
        <v>484</v>
      </c>
      <c r="BW6" s="465"/>
      <c r="BX6" s="465"/>
      <c r="CA6" s="338" t="s">
        <v>364</v>
      </c>
      <c r="CB6" s="611" t="s">
        <v>365</v>
      </c>
      <c r="CC6" s="611"/>
      <c r="CD6" s="336">
        <v>0.6</v>
      </c>
      <c r="CF6" s="325">
        <v>70</v>
      </c>
      <c r="CG6" s="325">
        <f>CF5</f>
        <v>80</v>
      </c>
      <c r="CH6" s="325"/>
      <c r="CI6" s="327">
        <f>11.1/27</f>
        <v>0.41111111111111109</v>
      </c>
      <c r="CJ6" s="327">
        <f>728/27</f>
        <v>26.962962962962962</v>
      </c>
      <c r="CK6" s="328">
        <v>15.9</v>
      </c>
      <c r="CL6" s="326">
        <v>672</v>
      </c>
      <c r="CM6" s="333">
        <f>$CN$5-(($CI$6*$CN$5-$CJ$6)*(($CN$6-1400)/($CK$6*$CN$5-$CL$6))^1.31)</f>
        <v>70.422467430536955</v>
      </c>
      <c r="CN6" s="3">
        <v>2700</v>
      </c>
      <c r="CO6" s="3" t="s">
        <v>373</v>
      </c>
      <c r="DE6" s="3">
        <v>2700</v>
      </c>
      <c r="DF6" s="3" t="s">
        <v>373</v>
      </c>
      <c r="FE6" s="3"/>
      <c r="FF6" s="3"/>
      <c r="FG6" s="3"/>
      <c r="FH6" s="3"/>
      <c r="FI6" s="3"/>
      <c r="FL6" s="58"/>
      <c r="FM6" s="58"/>
      <c r="FR6" s="3"/>
      <c r="FS6" s="3"/>
    </row>
    <row r="7" spans="2:225" ht="13.5" customHeight="1" thickBot="1">
      <c r="B7" s="260"/>
      <c r="C7" s="54" t="s">
        <v>119</v>
      </c>
      <c r="D7" s="52"/>
      <c r="E7" s="52"/>
      <c r="F7" s="52"/>
      <c r="G7" s="52"/>
      <c r="H7" s="52"/>
      <c r="I7" s="261"/>
      <c r="O7" s="261"/>
      <c r="P7" s="261"/>
      <c r="Q7" s="261"/>
      <c r="R7" s="3"/>
      <c r="S7" s="3"/>
      <c r="T7" s="610"/>
      <c r="U7" s="306"/>
      <c r="V7" s="306"/>
      <c r="W7" s="306"/>
      <c r="X7" s="610"/>
      <c r="AB7" s="484">
        <v>4</v>
      </c>
      <c r="AC7" s="484" t="s">
        <v>255</v>
      </c>
      <c r="AD7" s="484"/>
      <c r="AE7" s="484"/>
      <c r="AF7" s="484"/>
      <c r="AG7" s="484"/>
      <c r="AH7" s="485" t="s">
        <v>495</v>
      </c>
      <c r="AS7" s="610"/>
      <c r="AT7" s="3"/>
      <c r="BG7" s="464" t="s">
        <v>452</v>
      </c>
      <c r="BH7" s="464" t="s">
        <v>459</v>
      </c>
      <c r="BI7" s="464"/>
      <c r="BV7" s="464" t="s">
        <v>452</v>
      </c>
      <c r="BW7" s="464" t="s">
        <v>485</v>
      </c>
      <c r="BX7" s="464"/>
      <c r="CA7" s="338"/>
      <c r="CB7" s="611" t="s">
        <v>145</v>
      </c>
      <c r="CC7" s="611"/>
      <c r="CD7" s="336">
        <v>1.8</v>
      </c>
      <c r="CF7" s="325"/>
      <c r="CG7" s="325">
        <f>CF6</f>
        <v>70</v>
      </c>
      <c r="CH7" s="325"/>
      <c r="CI7" s="327">
        <f>3/28</f>
        <v>0.10714285714285714</v>
      </c>
      <c r="CJ7" s="327">
        <f>75/14</f>
        <v>5.3571428571428568</v>
      </c>
      <c r="CK7" s="328">
        <v>25</v>
      </c>
      <c r="CL7" s="326">
        <v>1250</v>
      </c>
      <c r="CM7" s="333">
        <f>$CN$5-(($CI$7*$CN$5-$CJ$7)*(($CN$6-1400)/($CK$7*$CN$5-$CL$7))^1.31)</f>
        <v>85.00257800642909</v>
      </c>
      <c r="CN7" s="335" t="str">
        <f>IF(DF14&lt;=1400,CJ14,
IF(CJ14&lt;=70,$CN$5-(($CI$7*$CN$5-$CJ$7)*(($CN$6-1400)/($CK$7*$CN$5-$CL$7))^1.31),
IF(CJ14&lt;=80,$CN$5-(($CI$6*$CN$5-$CJ$6)*(($CN$6-1400)/($CK$6*$CN$5-$CL$6))^1.31),
IF(CJ14&lt;=90,$CN$5-(($CI$5*$CN$5-$CJ$5)*(($CN$6-1400)/($CK$5*$CN$5-$CL$5))^1.31),
IF(CJ14&lt;=100,$CN$5-(($CI$4*$CN$5-$CJ$4)*(($CN$6-1400)/($CK$4*$CN$5-$CL$4))^1.31))))))</f>
        <v>-</v>
      </c>
      <c r="CO7" s="324" t="s">
        <v>268</v>
      </c>
      <c r="DE7" s="335" t="e">
        <f>IF(#REF!&lt;=1400,DA14,
IF(DA14&lt;=70,$CN$5-(($CI$7*$CN$5-$CJ$7)*(($CN$6-1400)/($CK$7*$CN$5-$CL$7))^1.31),
IF(DA14&lt;=80,$CN$5-(($CI$6*$CN$5-$CJ$6)*(($CN$6-1400)/($CK$6*$CN$5-$CL$6))^1.31),
IF(DA14&lt;=90,$CN$5-(($CI$5*$CN$5-$CJ$5)*(($CN$6-1400)/($CK$5*$CN$5-$CL$5))^1.31),
IF(DA14&lt;=100,$CN$5-(($CI$4*$CN$5-$CJ$4)*(($CN$6-1400)/($CK$4*$CN$5-$CL$4))^1.31))))))</f>
        <v>#REF!</v>
      </c>
      <c r="DF7" s="324" t="s">
        <v>268</v>
      </c>
      <c r="EC7" s="510" t="s">
        <v>579</v>
      </c>
      <c r="ED7" s="510" t="s">
        <v>593</v>
      </c>
      <c r="FE7" s="3"/>
      <c r="FF7" s="3"/>
      <c r="FG7" s="3"/>
      <c r="FH7" s="3"/>
      <c r="FI7" s="3"/>
      <c r="FL7" s="58"/>
      <c r="FM7" s="58"/>
      <c r="FR7" s="3"/>
      <c r="FS7" s="3"/>
    </row>
    <row r="8" spans="2:225" ht="13.5" customHeight="1">
      <c r="B8" s="260"/>
      <c r="C8" s="262" t="s">
        <v>80</v>
      </c>
      <c r="D8" s="53" t="s">
        <v>121</v>
      </c>
      <c r="E8" s="3"/>
      <c r="F8" s="51" t="s">
        <v>111</v>
      </c>
      <c r="G8" s="53" t="s">
        <v>118</v>
      </c>
      <c r="H8" s="3"/>
      <c r="I8" s="261"/>
      <c r="O8" s="261"/>
      <c r="P8" s="261"/>
      <c r="Q8" s="261"/>
      <c r="R8" s="3"/>
      <c r="S8" s="3"/>
      <c r="T8" s="610"/>
      <c r="U8" s="306"/>
      <c r="V8" s="306"/>
      <c r="W8" s="306"/>
      <c r="X8" s="610"/>
      <c r="AB8" s="10">
        <v>5</v>
      </c>
      <c r="AC8" s="10" t="s">
        <v>492</v>
      </c>
      <c r="AD8" s="10"/>
      <c r="AE8" s="10"/>
      <c r="AF8" s="10"/>
      <c r="AG8" s="10"/>
      <c r="AH8" s="318" t="s">
        <v>73</v>
      </c>
      <c r="AS8" s="610"/>
      <c r="AT8" s="3"/>
      <c r="BG8" s="464" t="s">
        <v>453</v>
      </c>
      <c r="BH8" s="464" t="s">
        <v>455</v>
      </c>
      <c r="BI8" s="464"/>
      <c r="BV8" s="464" t="s">
        <v>453</v>
      </c>
      <c r="BW8" s="464" t="s">
        <v>486</v>
      </c>
      <c r="BX8" s="464"/>
      <c r="CA8" s="339"/>
      <c r="CB8" s="611" t="s">
        <v>366</v>
      </c>
      <c r="CC8" s="611"/>
      <c r="CD8" s="336">
        <v>0</v>
      </c>
      <c r="EC8" s="510" t="s">
        <v>580</v>
      </c>
      <c r="ED8" s="510" t="s">
        <v>595</v>
      </c>
      <c r="FG8" s="3"/>
      <c r="FH8" s="3"/>
      <c r="FI8" s="3"/>
      <c r="FO8" s="58"/>
      <c r="FP8" s="58"/>
      <c r="FR8" s="3"/>
      <c r="FS8" s="3"/>
    </row>
    <row r="9" spans="2:225" s="261" customFormat="1" ht="13.5" customHeight="1">
      <c r="B9" s="260"/>
      <c r="C9" s="271" t="s">
        <v>80</v>
      </c>
      <c r="D9" s="53" t="s">
        <v>120</v>
      </c>
      <c r="E9" s="3"/>
      <c r="F9" s="42" t="s">
        <v>113</v>
      </c>
      <c r="G9" s="53" t="s">
        <v>112</v>
      </c>
      <c r="J9" s="349">
        <v>55</v>
      </c>
      <c r="K9" s="350" t="str">
        <f>CONCATENATE("/"&amp;100-J9)</f>
        <v>/45</v>
      </c>
      <c r="L9" s="347" t="s">
        <v>399</v>
      </c>
      <c r="M9" s="348"/>
      <c r="N9" s="348"/>
      <c r="R9" s="259"/>
      <c r="S9" s="259"/>
      <c r="T9" s="610"/>
      <c r="U9" s="306"/>
      <c r="V9" s="306"/>
      <c r="W9" s="306"/>
      <c r="X9" s="610"/>
      <c r="Y9" s="3"/>
      <c r="Z9" s="3"/>
      <c r="AA9" s="3"/>
      <c r="AB9" s="484">
        <v>6</v>
      </c>
      <c r="AC9" s="484" t="s">
        <v>493</v>
      </c>
      <c r="AD9" s="484"/>
      <c r="AE9" s="484"/>
      <c r="AF9" s="484"/>
      <c r="AG9" s="484"/>
      <c r="AH9" s="486" t="s">
        <v>73</v>
      </c>
      <c r="AI9" s="3"/>
      <c r="AJ9" s="3"/>
      <c r="AK9" s="3"/>
      <c r="AL9" s="3"/>
      <c r="AM9" s="3"/>
      <c r="AN9" s="3"/>
      <c r="AO9" s="3"/>
      <c r="AP9" s="3"/>
      <c r="AQ9" s="3"/>
      <c r="AR9" s="3"/>
      <c r="AS9" s="610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G9" s="3"/>
      <c r="BH9" s="3"/>
      <c r="BI9" s="3"/>
      <c r="BJ9" s="3"/>
      <c r="BK9" s="3"/>
      <c r="BL9" s="3"/>
      <c r="BM9" s="3"/>
      <c r="BN9" s="3"/>
      <c r="BO9" s="3"/>
      <c r="BU9" s="3"/>
      <c r="BV9" s="3"/>
      <c r="BW9" s="3"/>
      <c r="BX9" s="3"/>
      <c r="BY9" s="3"/>
      <c r="DN9" s="58"/>
      <c r="DO9" s="58"/>
      <c r="DP9" s="58"/>
      <c r="DQ9" s="58"/>
      <c r="DR9" s="58"/>
      <c r="DS9" s="58"/>
      <c r="DT9" s="58"/>
      <c r="DU9" s="58"/>
      <c r="DV9" s="58"/>
      <c r="DW9" s="58"/>
      <c r="DX9" s="58"/>
      <c r="DY9" s="58"/>
      <c r="DZ9" s="58"/>
      <c r="EA9" s="58"/>
      <c r="FD9" s="58"/>
      <c r="FE9" s="58"/>
    </row>
    <row r="10" spans="2:225">
      <c r="B10" s="59"/>
      <c r="C10" s="24" t="s">
        <v>111</v>
      </c>
      <c r="D10" s="53" t="s">
        <v>81</v>
      </c>
      <c r="E10" s="3"/>
      <c r="F10" s="272" t="s">
        <v>113</v>
      </c>
      <c r="G10" s="53" t="s">
        <v>271</v>
      </c>
      <c r="I10" s="261"/>
      <c r="J10" s="345">
        <v>2</v>
      </c>
      <c r="K10" s="351" t="s">
        <v>73</v>
      </c>
      <c r="L10" s="346" t="s">
        <v>86</v>
      </c>
      <c r="M10" s="346"/>
      <c r="N10" s="346"/>
      <c r="O10" s="261"/>
      <c r="P10" s="261"/>
      <c r="Q10" s="261"/>
      <c r="R10" s="261"/>
      <c r="S10" s="261"/>
      <c r="T10" s="610"/>
      <c r="U10" s="307"/>
      <c r="V10" s="307"/>
      <c r="W10" s="307"/>
      <c r="X10" s="610"/>
      <c r="Y10" s="261"/>
      <c r="Z10" s="436" t="e">
        <f>#REF!</f>
        <v>#REF!</v>
      </c>
      <c r="AA10" s="261"/>
      <c r="AF10" s="261"/>
      <c r="AG10" s="261"/>
      <c r="AH10" s="261"/>
      <c r="AI10" s="261"/>
      <c r="AJ10" s="261"/>
      <c r="AK10" s="290"/>
      <c r="AL10" s="261"/>
      <c r="AM10" s="261"/>
      <c r="AN10" s="261"/>
      <c r="AO10" s="261"/>
      <c r="AP10" s="261"/>
      <c r="AQ10" s="261"/>
      <c r="AR10" s="261"/>
      <c r="AS10" s="610"/>
      <c r="AT10" s="261"/>
      <c r="AU10" s="261"/>
      <c r="AV10" s="261"/>
      <c r="AW10" s="261"/>
      <c r="AX10" s="261"/>
      <c r="AY10" s="261"/>
      <c r="AZ10" s="261"/>
      <c r="BA10" s="261"/>
      <c r="BB10" s="261"/>
      <c r="BC10" s="261"/>
      <c r="BD10" s="261"/>
      <c r="BE10" s="261"/>
      <c r="BF10" s="261"/>
      <c r="BJ10" s="261"/>
      <c r="BK10" s="261"/>
      <c r="BL10" s="261"/>
      <c r="BM10" s="261"/>
      <c r="BN10" s="261"/>
      <c r="BO10" s="261"/>
      <c r="BP10" s="261"/>
      <c r="BQ10" s="261"/>
      <c r="BR10" s="261"/>
      <c r="BS10" s="261"/>
      <c r="BT10" s="261"/>
      <c r="BU10" s="261"/>
      <c r="BY10" s="261"/>
      <c r="EY10" s="503"/>
      <c r="EZ10" s="342"/>
      <c r="FA10" s="342"/>
      <c r="FB10" s="342"/>
      <c r="FC10" s="342"/>
      <c r="FD10" s="342"/>
      <c r="FE10" s="342"/>
      <c r="FF10" s="342"/>
      <c r="FG10" s="3"/>
      <c r="FH10" s="3"/>
      <c r="FI10" s="3"/>
      <c r="FO10" s="58"/>
      <c r="FP10" s="58"/>
      <c r="FR10" s="3"/>
      <c r="FS10" s="3"/>
    </row>
    <row r="11" spans="2:225" ht="13.5" thickBot="1">
      <c r="B11" s="59"/>
      <c r="C11" s="261"/>
      <c r="D11" s="261"/>
      <c r="E11" s="261"/>
      <c r="F11" s="261"/>
      <c r="G11" s="261"/>
      <c r="H11" s="261"/>
      <c r="I11" s="261"/>
      <c r="J11" s="352">
        <v>40</v>
      </c>
      <c r="K11" s="353" t="s">
        <v>400</v>
      </c>
      <c r="L11" s="354" t="s">
        <v>401</v>
      </c>
      <c r="M11" s="355"/>
      <c r="N11" s="355"/>
      <c r="O11" s="261"/>
      <c r="P11" s="261"/>
      <c r="Q11" s="261"/>
      <c r="R11" s="261"/>
      <c r="S11" s="261"/>
      <c r="T11" s="610"/>
      <c r="U11" s="307"/>
      <c r="V11" s="307"/>
      <c r="W11" s="307"/>
      <c r="X11" s="610"/>
      <c r="Y11" s="258"/>
      <c r="Z11" s="258"/>
      <c r="AA11" s="258"/>
      <c r="AQ11" s="275"/>
      <c r="AS11" s="610"/>
      <c r="AT11" s="3"/>
      <c r="AU11" s="265" t="s">
        <v>146</v>
      </c>
      <c r="AV11" s="265"/>
      <c r="AW11" s="266"/>
      <c r="AX11" s="266"/>
      <c r="AY11" s="478" t="s">
        <v>488</v>
      </c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6"/>
      <c r="BN11" s="266"/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9">
        <v>1</v>
      </c>
      <c r="BZ11" s="291" t="s">
        <v>255</v>
      </c>
      <c r="CA11" s="291"/>
      <c r="CB11" s="291"/>
      <c r="CC11" s="291"/>
      <c r="CD11" s="291"/>
      <c r="CE11" s="291"/>
      <c r="CF11" s="291"/>
      <c r="CG11" s="291"/>
      <c r="CH11" s="291"/>
      <c r="CI11" s="291"/>
      <c r="CJ11" s="291"/>
      <c r="CK11" s="291"/>
      <c r="CL11" s="291"/>
      <c r="CM11" s="291"/>
      <c r="CN11" s="291"/>
      <c r="CO11" s="291"/>
      <c r="CP11" s="291"/>
      <c r="CQ11" s="291"/>
      <c r="CR11" s="295">
        <v>4</v>
      </c>
      <c r="CS11" s="490"/>
      <c r="CT11" s="490"/>
      <c r="CU11" s="490"/>
      <c r="CV11" s="490"/>
      <c r="CW11" s="490"/>
      <c r="CX11" s="490"/>
      <c r="CY11" s="490"/>
      <c r="CZ11" s="490"/>
      <c r="DA11" s="490"/>
      <c r="DB11" s="490"/>
      <c r="DC11" s="490"/>
      <c r="DD11" s="490"/>
      <c r="DE11" s="490"/>
      <c r="DF11" s="490"/>
      <c r="DG11" s="490"/>
      <c r="DH11" s="490"/>
      <c r="DI11" s="490">
        <v>5</v>
      </c>
      <c r="DJ11" s="342"/>
      <c r="DK11" s="342"/>
      <c r="DL11" s="342"/>
      <c r="DM11" s="342"/>
      <c r="DQ11" s="487"/>
      <c r="DT11" s="487"/>
      <c r="DX11" s="487"/>
      <c r="EA11" s="487"/>
      <c r="EB11" s="342"/>
      <c r="EC11" s="342"/>
      <c r="ED11" s="342"/>
      <c r="EE11" s="342"/>
      <c r="EF11" s="342"/>
      <c r="EG11" s="342"/>
      <c r="EH11" s="342"/>
      <c r="EI11" s="342"/>
      <c r="EJ11" s="342"/>
      <c r="EK11" s="342"/>
      <c r="EL11" s="342"/>
      <c r="EM11" s="342"/>
      <c r="EN11" s="342"/>
      <c r="EO11" s="342"/>
      <c r="EP11" s="342"/>
      <c r="EQ11" s="342"/>
      <c r="ER11" s="342"/>
      <c r="ES11" s="342"/>
      <c r="ET11" s="342"/>
      <c r="EU11" s="342"/>
      <c r="EV11" s="342"/>
      <c r="EW11" s="342"/>
      <c r="EX11" s="342"/>
      <c r="FK11" s="58"/>
      <c r="FO11" s="58"/>
      <c r="FP11" s="58"/>
      <c r="FQ11" s="58"/>
      <c r="FT11" s="58"/>
      <c r="FU11" s="58"/>
      <c r="FV11" s="58"/>
      <c r="FW11" s="58"/>
      <c r="FX11" s="58"/>
      <c r="FY11" s="58"/>
      <c r="FZ11" s="58"/>
      <c r="GA11" s="58"/>
      <c r="HD11" s="3">
        <v>0.9</v>
      </c>
      <c r="HE11" s="3">
        <f>1/(1+0.9*HD11)</f>
        <v>0.5524861878453039</v>
      </c>
    </row>
    <row r="12" spans="2:225">
      <c r="B12" s="59"/>
      <c r="C12" s="261"/>
      <c r="D12" s="261"/>
      <c r="E12" s="261"/>
      <c r="F12" s="261"/>
      <c r="G12" s="261"/>
      <c r="H12" s="261"/>
      <c r="I12" s="261"/>
      <c r="J12" s="261"/>
      <c r="K12" s="261"/>
      <c r="L12" s="261"/>
      <c r="M12" s="261"/>
      <c r="N12" s="261"/>
      <c r="O12" s="261"/>
      <c r="P12" s="261"/>
      <c r="Q12" s="261"/>
      <c r="R12" s="261"/>
      <c r="S12" s="261"/>
      <c r="T12" s="610"/>
      <c r="U12" s="307"/>
      <c r="V12" s="307"/>
      <c r="W12" s="307"/>
      <c r="X12" s="610"/>
      <c r="Y12" s="182"/>
      <c r="Z12" s="182"/>
      <c r="AA12" s="182"/>
      <c r="AG12" s="182"/>
      <c r="AH12" s="182"/>
      <c r="AI12" s="182"/>
      <c r="AJ12" s="182"/>
      <c r="AK12" s="182"/>
      <c r="AL12" s="182"/>
      <c r="AM12" s="182"/>
      <c r="AN12" s="182"/>
      <c r="AO12" s="182"/>
      <c r="AQ12" s="275"/>
      <c r="AR12" s="182"/>
      <c r="AS12" s="610"/>
      <c r="AT12" s="182"/>
      <c r="AU12" s="182">
        <v>1</v>
      </c>
      <c r="AV12" s="182"/>
      <c r="AW12" s="182">
        <v>2</v>
      </c>
      <c r="AX12" s="182">
        <v>2</v>
      </c>
      <c r="AY12" s="440"/>
      <c r="AZ12" s="182">
        <v>3</v>
      </c>
      <c r="BA12" s="182">
        <v>5</v>
      </c>
      <c r="BB12" s="182">
        <v>6</v>
      </c>
      <c r="BC12" s="182">
        <v>6</v>
      </c>
      <c r="BD12" s="182">
        <v>6</v>
      </c>
      <c r="BE12" s="440"/>
      <c r="BF12" s="440"/>
      <c r="BG12" s="440"/>
      <c r="BH12" s="440"/>
      <c r="BI12" s="182">
        <v>7</v>
      </c>
      <c r="BJ12" s="182">
        <v>7</v>
      </c>
      <c r="BK12" s="182">
        <v>8</v>
      </c>
      <c r="BL12" s="182"/>
      <c r="BM12" s="182">
        <v>9</v>
      </c>
      <c r="BN12" s="182">
        <v>9</v>
      </c>
      <c r="BO12" s="182">
        <v>10</v>
      </c>
      <c r="BP12" s="182">
        <v>12</v>
      </c>
      <c r="BQ12" s="182">
        <v>13</v>
      </c>
      <c r="BR12" s="440"/>
      <c r="BS12" s="440"/>
      <c r="BT12" s="440"/>
      <c r="BU12" s="440"/>
      <c r="BV12" s="440"/>
      <c r="BW12" s="182">
        <v>14</v>
      </c>
      <c r="BX12" s="182"/>
      <c r="BY12" s="182"/>
      <c r="DO12" s="58" t="s">
        <v>652</v>
      </c>
      <c r="DV12" s="58" t="s">
        <v>651</v>
      </c>
      <c r="EC12" s="505" t="s">
        <v>421</v>
      </c>
      <c r="ED12" s="504"/>
      <c r="EE12" s="504"/>
      <c r="EF12" s="504"/>
      <c r="EG12" s="504"/>
      <c r="EH12" s="504"/>
      <c r="EI12" s="504"/>
      <c r="EJ12" s="504"/>
      <c r="EK12" s="504"/>
      <c r="EL12" s="504"/>
      <c r="EM12" s="504"/>
      <c r="EN12" s="504"/>
      <c r="EO12" s="504"/>
      <c r="EP12" s="504"/>
      <c r="EQ12" s="504"/>
      <c r="ER12" s="504"/>
      <c r="ET12" s="505" t="s">
        <v>547</v>
      </c>
      <c r="EU12" s="505"/>
      <c r="EV12" s="505"/>
      <c r="EW12" s="505"/>
      <c r="EX12" s="505"/>
      <c r="EY12" s="505"/>
      <c r="EZ12" s="505"/>
      <c r="FA12" s="505"/>
      <c r="FB12" s="505"/>
      <c r="FJ12" s="58"/>
      <c r="FK12" s="58"/>
      <c r="FL12" s="58"/>
      <c r="FM12" s="58"/>
    </row>
    <row r="13" spans="2:225" s="274" customFormat="1" ht="47.25" customHeight="1">
      <c r="B13" s="303" t="s">
        <v>394</v>
      </c>
      <c r="C13" s="303" t="s">
        <v>129</v>
      </c>
      <c r="D13" s="309" t="s">
        <v>130</v>
      </c>
      <c r="E13" s="303" t="s">
        <v>140</v>
      </c>
      <c r="F13" s="303" t="s">
        <v>141</v>
      </c>
      <c r="G13" s="303" t="s">
        <v>142</v>
      </c>
      <c r="H13" s="303" t="s">
        <v>131</v>
      </c>
      <c r="I13" s="303" t="s">
        <v>378</v>
      </c>
      <c r="J13" s="303" t="s">
        <v>132</v>
      </c>
      <c r="K13" s="303" t="s">
        <v>133</v>
      </c>
      <c r="L13" s="303" t="s">
        <v>134</v>
      </c>
      <c r="M13" s="303" t="s">
        <v>135</v>
      </c>
      <c r="N13" s="303" t="s">
        <v>136</v>
      </c>
      <c r="O13" s="303" t="s">
        <v>137</v>
      </c>
      <c r="P13" s="303" t="s">
        <v>138</v>
      </c>
      <c r="Q13" s="303" t="s">
        <v>139</v>
      </c>
      <c r="R13" s="303" t="s">
        <v>392</v>
      </c>
      <c r="S13" s="303" t="s">
        <v>393</v>
      </c>
      <c r="T13" s="312" t="s">
        <v>382</v>
      </c>
      <c r="U13" s="278" t="s">
        <v>262</v>
      </c>
      <c r="V13" s="278" t="s">
        <v>70</v>
      </c>
      <c r="W13" s="278" t="s">
        <v>71</v>
      </c>
      <c r="X13" s="312" t="s">
        <v>259</v>
      </c>
      <c r="Y13" s="296" t="s">
        <v>66</v>
      </c>
      <c r="Z13" s="296" t="s">
        <v>102</v>
      </c>
      <c r="AA13" s="298" t="s">
        <v>68</v>
      </c>
      <c r="AB13" s="298" t="s">
        <v>77</v>
      </c>
      <c r="AC13" s="299" t="s">
        <v>84</v>
      </c>
      <c r="AD13" s="299" t="s">
        <v>85</v>
      </c>
      <c r="AE13" s="270" t="s">
        <v>383</v>
      </c>
      <c r="AF13" s="270" t="s">
        <v>384</v>
      </c>
      <c r="AG13" s="300" t="s">
        <v>75</v>
      </c>
      <c r="AH13" s="301" t="s">
        <v>230</v>
      </c>
      <c r="AI13" s="301" t="s">
        <v>413</v>
      </c>
      <c r="AJ13" s="301" t="s">
        <v>420</v>
      </c>
      <c r="AK13" s="300" t="s">
        <v>76</v>
      </c>
      <c r="AL13" s="298" t="s">
        <v>90</v>
      </c>
      <c r="AM13" s="296" t="s">
        <v>398</v>
      </c>
      <c r="AN13" s="298" t="s">
        <v>86</v>
      </c>
      <c r="AO13" s="299" t="s">
        <v>117</v>
      </c>
      <c r="AP13" s="298" t="s">
        <v>72</v>
      </c>
      <c r="AQ13" s="298" t="s">
        <v>78</v>
      </c>
      <c r="AR13" s="296" t="s">
        <v>31</v>
      </c>
      <c r="AS13" s="315" t="s">
        <v>260</v>
      </c>
      <c r="AT13" s="296" t="s">
        <v>107</v>
      </c>
      <c r="AU13" s="296" t="s">
        <v>74</v>
      </c>
      <c r="AV13" s="296" t="s">
        <v>412</v>
      </c>
      <c r="AW13" s="296" t="s">
        <v>108</v>
      </c>
      <c r="AX13" s="466" t="s">
        <v>643</v>
      </c>
      <c r="AY13" s="466" t="s">
        <v>641</v>
      </c>
      <c r="AZ13" s="296" t="s">
        <v>109</v>
      </c>
      <c r="BA13" s="296" t="s">
        <v>487</v>
      </c>
      <c r="BB13" s="297" t="s">
        <v>110</v>
      </c>
      <c r="BC13" s="296" t="s">
        <v>93</v>
      </c>
      <c r="BD13" s="296" t="s">
        <v>94</v>
      </c>
      <c r="BE13" s="296" t="s">
        <v>82</v>
      </c>
      <c r="BF13" s="296" t="s">
        <v>79</v>
      </c>
      <c r="BG13" s="466" t="s">
        <v>456</v>
      </c>
      <c r="BH13" s="466" t="s">
        <v>457</v>
      </c>
      <c r="BI13" s="466" t="s">
        <v>458</v>
      </c>
      <c r="BJ13" s="466" t="s">
        <v>454</v>
      </c>
      <c r="BK13" s="296" t="s">
        <v>83</v>
      </c>
      <c r="BL13" s="296" t="s">
        <v>98</v>
      </c>
      <c r="BM13" s="296" t="s">
        <v>96</v>
      </c>
      <c r="BN13" s="296" t="s">
        <v>414</v>
      </c>
      <c r="BO13" s="296" t="s">
        <v>99</v>
      </c>
      <c r="BP13" s="466" t="s">
        <v>646</v>
      </c>
      <c r="BQ13" s="466" t="s">
        <v>647</v>
      </c>
      <c r="BR13" s="296" t="s">
        <v>97</v>
      </c>
      <c r="BS13" s="297" t="s">
        <v>122</v>
      </c>
      <c r="BT13" s="297" t="s">
        <v>100</v>
      </c>
      <c r="BU13" s="302" t="s">
        <v>61</v>
      </c>
      <c r="BV13" s="466" t="s">
        <v>479</v>
      </c>
      <c r="BW13" s="466" t="s">
        <v>480</v>
      </c>
      <c r="BX13" s="466" t="s">
        <v>481</v>
      </c>
      <c r="BY13" s="466" t="s">
        <v>482</v>
      </c>
      <c r="BZ13" s="466" t="s">
        <v>483</v>
      </c>
      <c r="CA13" s="302" t="s">
        <v>101</v>
      </c>
      <c r="CB13" s="302" t="s">
        <v>415</v>
      </c>
      <c r="CC13" s="302" t="s">
        <v>265</v>
      </c>
      <c r="CD13" s="302" t="s">
        <v>357</v>
      </c>
      <c r="CE13" s="302" t="s">
        <v>358</v>
      </c>
      <c r="CF13" s="302" t="s">
        <v>359</v>
      </c>
      <c r="CG13" s="302" t="s">
        <v>367</v>
      </c>
      <c r="CH13" s="302" t="s">
        <v>368</v>
      </c>
      <c r="CI13" s="302" t="s">
        <v>369</v>
      </c>
      <c r="CJ13" s="302" t="s">
        <v>370</v>
      </c>
      <c r="CK13" s="302" t="s">
        <v>371</v>
      </c>
      <c r="CL13" s="302" t="s">
        <v>419</v>
      </c>
      <c r="CM13" s="302" t="s">
        <v>372</v>
      </c>
      <c r="CN13" s="302" t="s">
        <v>269</v>
      </c>
      <c r="CO13" s="302" t="s">
        <v>642</v>
      </c>
      <c r="CP13" s="302" t="s">
        <v>106</v>
      </c>
      <c r="CQ13" s="302" t="s">
        <v>268</v>
      </c>
      <c r="CR13" s="302" t="s">
        <v>374</v>
      </c>
      <c r="CS13" s="302" t="s">
        <v>375</v>
      </c>
      <c r="CT13" s="302" t="s">
        <v>376</v>
      </c>
      <c r="CU13" s="302" t="s">
        <v>377</v>
      </c>
      <c r="CV13" s="302" t="s">
        <v>380</v>
      </c>
      <c r="CW13" s="302" t="s">
        <v>400</v>
      </c>
      <c r="CX13" s="302" t="s">
        <v>504</v>
      </c>
      <c r="CY13" s="302" t="s">
        <v>503</v>
      </c>
      <c r="CZ13" s="302" t="s">
        <v>502</v>
      </c>
      <c r="DA13" s="302" t="s">
        <v>505</v>
      </c>
      <c r="DB13" s="302" t="s">
        <v>506</v>
      </c>
      <c r="DC13" s="302" t="s">
        <v>507</v>
      </c>
      <c r="DD13" s="302" t="s">
        <v>508</v>
      </c>
      <c r="DE13" s="302" t="s">
        <v>509</v>
      </c>
      <c r="DF13" s="302" t="s">
        <v>510</v>
      </c>
      <c r="DG13" s="302" t="s">
        <v>511</v>
      </c>
      <c r="DH13" s="302" t="s">
        <v>512</v>
      </c>
      <c r="DI13" s="302" t="s">
        <v>513</v>
      </c>
      <c r="DJ13" s="302" t="s">
        <v>514</v>
      </c>
      <c r="DK13" s="302" t="s">
        <v>515</v>
      </c>
      <c r="DL13" s="302" t="s">
        <v>516</v>
      </c>
      <c r="DM13" s="302" t="s">
        <v>517</v>
      </c>
      <c r="DN13" s="58"/>
      <c r="DO13" s="527" t="s">
        <v>648</v>
      </c>
      <c r="DP13" s="527" t="s">
        <v>649</v>
      </c>
      <c r="DQ13" s="527" t="s">
        <v>650</v>
      </c>
      <c r="DR13" s="302" t="s">
        <v>648</v>
      </c>
      <c r="DS13" s="302" t="s">
        <v>649</v>
      </c>
      <c r="DT13" s="528" t="s">
        <v>650</v>
      </c>
      <c r="DV13" s="527" t="s">
        <v>648</v>
      </c>
      <c r="DW13" s="527" t="s">
        <v>649</v>
      </c>
      <c r="DX13" s="527" t="s">
        <v>650</v>
      </c>
      <c r="DY13" s="302" t="s">
        <v>648</v>
      </c>
      <c r="DZ13" s="302" t="s">
        <v>649</v>
      </c>
      <c r="EA13" s="528" t="s">
        <v>650</v>
      </c>
      <c r="EC13" s="506" t="s">
        <v>535</v>
      </c>
      <c r="ED13" s="506" t="s">
        <v>536</v>
      </c>
      <c r="EE13" s="506" t="s">
        <v>578</v>
      </c>
      <c r="EF13" s="506" t="s">
        <v>594</v>
      </c>
      <c r="EG13" s="506" t="s">
        <v>550</v>
      </c>
      <c r="EH13" s="506" t="s">
        <v>553</v>
      </c>
      <c r="EI13" s="506" t="s">
        <v>551</v>
      </c>
      <c r="EJ13" s="506" t="s">
        <v>537</v>
      </c>
      <c r="EK13" s="506" t="s">
        <v>538</v>
      </c>
      <c r="EL13" s="506" t="s">
        <v>539</v>
      </c>
      <c r="EM13" s="506" t="s">
        <v>540</v>
      </c>
      <c r="EN13" s="506" t="s">
        <v>541</v>
      </c>
      <c r="EO13" s="506" t="s">
        <v>575</v>
      </c>
      <c r="EP13" s="506" t="s">
        <v>563</v>
      </c>
      <c r="EQ13" s="506" t="s">
        <v>564</v>
      </c>
      <c r="ER13" s="506" t="s">
        <v>565</v>
      </c>
      <c r="ET13" s="506" t="s">
        <v>31</v>
      </c>
      <c r="EU13" s="506" t="s">
        <v>542</v>
      </c>
      <c r="EV13" s="506" t="s">
        <v>543</v>
      </c>
      <c r="EW13" s="506" t="s">
        <v>557</v>
      </c>
      <c r="EX13" s="506" t="s">
        <v>548</v>
      </c>
      <c r="EY13" s="506" t="s">
        <v>549</v>
      </c>
      <c r="EZ13" s="506" t="s">
        <v>556</v>
      </c>
      <c r="FA13" s="506" t="s">
        <v>546</v>
      </c>
      <c r="FB13" s="506" t="s">
        <v>576</v>
      </c>
      <c r="FD13" s="516" t="s">
        <v>600</v>
      </c>
      <c r="FE13" s="512" t="s">
        <v>636</v>
      </c>
      <c r="FF13" s="512" t="s">
        <v>638</v>
      </c>
      <c r="FG13" s="512" t="s">
        <v>569</v>
      </c>
      <c r="FH13" s="512" t="s">
        <v>588</v>
      </c>
      <c r="FI13" s="512" t="s">
        <v>599</v>
      </c>
      <c r="FJ13" s="512" t="s">
        <v>586</v>
      </c>
      <c r="FK13" s="512" t="s">
        <v>587</v>
      </c>
      <c r="FL13" s="516" t="s">
        <v>637</v>
      </c>
      <c r="FM13" s="516" t="s">
        <v>589</v>
      </c>
      <c r="FN13" s="516" t="s">
        <v>590</v>
      </c>
      <c r="FO13" s="516" t="s">
        <v>585</v>
      </c>
      <c r="FP13" s="512" t="s">
        <v>570</v>
      </c>
      <c r="FQ13" s="516" t="s">
        <v>583</v>
      </c>
      <c r="FR13" s="516" t="s">
        <v>577</v>
      </c>
      <c r="FS13" s="512" t="s">
        <v>545</v>
      </c>
      <c r="FT13" s="511" t="s">
        <v>640</v>
      </c>
      <c r="FU13" s="511" t="s">
        <v>639</v>
      </c>
      <c r="FV13" s="511" t="s">
        <v>571</v>
      </c>
      <c r="FW13" s="511" t="s">
        <v>605</v>
      </c>
      <c r="FX13" s="511" t="s">
        <v>606</v>
      </c>
      <c r="FY13" s="511" t="s">
        <v>603</v>
      </c>
      <c r="FZ13" s="511" t="s">
        <v>604</v>
      </c>
      <c r="GA13" s="516" t="s">
        <v>635</v>
      </c>
      <c r="GB13" s="516" t="s">
        <v>601</v>
      </c>
      <c r="GC13" s="516" t="s">
        <v>602</v>
      </c>
      <c r="GD13" s="516" t="s">
        <v>584</v>
      </c>
      <c r="GE13" s="511" t="s">
        <v>572</v>
      </c>
      <c r="GF13" s="516" t="s">
        <v>582</v>
      </c>
      <c r="GG13" s="516" t="s">
        <v>581</v>
      </c>
      <c r="GH13" s="511" t="s">
        <v>544</v>
      </c>
      <c r="GI13" s="514" t="s">
        <v>554</v>
      </c>
      <c r="GJ13" s="514" t="s">
        <v>555</v>
      </c>
      <c r="GK13" s="514" t="s">
        <v>558</v>
      </c>
      <c r="GL13" s="509" t="s">
        <v>630</v>
      </c>
      <c r="GM13" s="509" t="s">
        <v>631</v>
      </c>
      <c r="GN13" s="509" t="s">
        <v>622</v>
      </c>
      <c r="GO13" s="509" t="s">
        <v>624</v>
      </c>
      <c r="GP13" s="509" t="s">
        <v>613</v>
      </c>
      <c r="GQ13" s="509" t="s">
        <v>614</v>
      </c>
      <c r="GR13" s="516" t="s">
        <v>629</v>
      </c>
      <c r="GS13" s="516" t="s">
        <v>611</v>
      </c>
      <c r="GT13" s="516" t="s">
        <v>612</v>
      </c>
      <c r="GU13" s="509" t="s">
        <v>573</v>
      </c>
      <c r="GV13" s="516" t="s">
        <v>609</v>
      </c>
      <c r="GW13" s="516" t="s">
        <v>608</v>
      </c>
      <c r="GX13" s="509" t="s">
        <v>560</v>
      </c>
      <c r="GY13" s="515" t="s">
        <v>632</v>
      </c>
      <c r="GZ13" s="515" t="s">
        <v>633</v>
      </c>
      <c r="HA13" s="515" t="s">
        <v>623</v>
      </c>
      <c r="HB13" s="515" t="s">
        <v>625</v>
      </c>
      <c r="HC13" s="515" t="s">
        <v>620</v>
      </c>
      <c r="HD13" s="515" t="s">
        <v>621</v>
      </c>
      <c r="HE13" s="516" t="s">
        <v>634</v>
      </c>
      <c r="HF13" s="516" t="s">
        <v>610</v>
      </c>
      <c r="HG13" s="516" t="s">
        <v>619</v>
      </c>
      <c r="HH13" s="515" t="s">
        <v>574</v>
      </c>
      <c r="HI13" s="516" t="s">
        <v>618</v>
      </c>
      <c r="HJ13" s="516" t="s">
        <v>617</v>
      </c>
      <c r="HK13" s="515" t="s">
        <v>559</v>
      </c>
      <c r="HL13" s="506" t="s">
        <v>626</v>
      </c>
      <c r="HM13" s="506" t="s">
        <v>566</v>
      </c>
      <c r="HN13" s="506" t="s">
        <v>567</v>
      </c>
      <c r="HO13" s="506" t="s">
        <v>561</v>
      </c>
      <c r="HP13" s="506" t="s">
        <v>562</v>
      </c>
      <c r="HQ13" s="513" t="s">
        <v>568</v>
      </c>
    </row>
    <row r="14" spans="2:225">
      <c r="B14" s="383">
        <v>1</v>
      </c>
      <c r="C14" s="389"/>
      <c r="D14" s="384"/>
      <c r="E14" s="385">
        <v>0</v>
      </c>
      <c r="F14" s="385">
        <v>2100</v>
      </c>
      <c r="G14" s="390">
        <v>2100</v>
      </c>
      <c r="H14" s="383" t="s">
        <v>263</v>
      </c>
      <c r="I14" s="383" t="s">
        <v>379</v>
      </c>
      <c r="J14" s="383">
        <v>1</v>
      </c>
      <c r="K14" s="386">
        <v>3.6</v>
      </c>
      <c r="L14" s="383" t="s">
        <v>143</v>
      </c>
      <c r="M14" s="386">
        <v>2</v>
      </c>
      <c r="N14" s="386">
        <v>0</v>
      </c>
      <c r="O14" s="383">
        <v>0</v>
      </c>
      <c r="P14" s="383" t="s">
        <v>366</v>
      </c>
      <c r="Q14" s="383" t="s">
        <v>144</v>
      </c>
      <c r="R14" s="392" t="s">
        <v>73</v>
      </c>
      <c r="S14" s="310">
        <v>0</v>
      </c>
      <c r="T14" s="313"/>
      <c r="U14" s="279">
        <v>22</v>
      </c>
      <c r="V14" s="323">
        <v>10013.241193618138</v>
      </c>
      <c r="W14" s="323">
        <v>3155.5016611464598</v>
      </c>
      <c r="X14" s="313"/>
      <c r="Y14" s="182">
        <f t="shared" ref="Y14:Y45" si="0">IF(OR(H14="Dupla",H14="Pista Dupla"),4,1)</f>
        <v>1</v>
      </c>
      <c r="Z14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14" s="182" t="s">
        <v>411</v>
      </c>
      <c r="AB14" s="391" t="s">
        <v>381</v>
      </c>
      <c r="AC14" s="22">
        <v>3.6</v>
      </c>
      <c r="AD14" s="22">
        <v>2</v>
      </c>
      <c r="AE14" s="323">
        <f t="shared" ref="AE14" si="1">V14</f>
        <v>10013.241193618138</v>
      </c>
      <c r="AF14" s="323">
        <f t="shared" ref="AF14" si="2">W14</f>
        <v>3155.5016611464598</v>
      </c>
      <c r="AG14" s="323">
        <f>Tabela24[passeio'']+Tabela24[pesado'']</f>
        <v>13168.742854764598</v>
      </c>
      <c r="AH14" s="435">
        <f>Tabela24[pesado'']/Tabela24[vdma]</f>
        <v>0.23962056940042414</v>
      </c>
      <c r="AI14" s="441">
        <f>3%</f>
        <v>0.03</v>
      </c>
      <c r="AJ14" s="435">
        <f t="shared" ref="AJ14" si="3">$C$4</f>
        <v>8.7999999999999995E-2</v>
      </c>
      <c r="AK14" s="330">
        <v>1158.8493712192844</v>
      </c>
      <c r="AL14" s="263">
        <f t="shared" ref="AL14" si="4">$J$9/100</f>
        <v>0.55000000000000004</v>
      </c>
      <c r="AM14" s="264">
        <f>Tabela24[veic/h]*Tabela24[distrib. direc.]</f>
        <v>637.36715417060645</v>
      </c>
      <c r="AN14" s="50">
        <v>2</v>
      </c>
      <c r="AO14" s="525">
        <f>0</f>
        <v>0</v>
      </c>
      <c r="AP14" s="50">
        <v>75</v>
      </c>
      <c r="AQ14" s="25">
        <v>0.4</v>
      </c>
      <c r="AR14" s="182">
        <v>0.88</v>
      </c>
      <c r="AS14" s="316"/>
      <c r="AT14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0.99</v>
      </c>
      <c r="AU14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1.5</v>
      </c>
      <c r="AV14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1.1000000000000001</v>
      </c>
      <c r="AW14" s="23">
        <f>1/(1+(Tabela24[[#This Row],[Pt]])*(Tabela24[[#This Row],[Et]]-1)+(Tabela24[[#This Row],[PRv]])*(Tabela24[[#This Row],[Er]]-1))</f>
        <v>0.89062240845700635</v>
      </c>
      <c r="AX14" s="23">
        <f>Tabela24[veic/h]/Tabela24[PHF]</f>
        <v>1316.8742854764596</v>
      </c>
      <c r="AY14" s="23">
        <v>1493.5353448385981</v>
      </c>
      <c r="AZ14" s="21">
        <f>Tabela24[veic/h]/(Tabela24[PHF]*Tabela24[fg ats]*Tabela24[fhv ats])</f>
        <v>1493.5353448385981</v>
      </c>
      <c r="BA14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14" s="322" t="str">
        <f>IF(AND(Tabela24[[#This Row],[vp1]]*Tabela24[[#This Row],[distrib. direc.]]&lt;1700,Tabela24[[#This Row],[vp1]]&lt;3200),"OK!","FAIL")</f>
        <v>OK!</v>
      </c>
      <c r="BC14" s="23">
        <f>INDEX('HCM2000'!$L$68:$AF$83,MATCH(Tabela24[[#This Row],[faixa (m)]],'HCM2000'!$K$68:$K$83),MATCH(Tabela24[[#This Row],[acost (m)]],'HCM2000'!$L$67:$AF$67))</f>
        <v>0</v>
      </c>
      <c r="BD14" s="23">
        <f>MIN(16,(2/3)*Tabela24[[#This Row],[acessos/km]])</f>
        <v>1.3333333333333333</v>
      </c>
      <c r="BE14" s="22">
        <f>Tabela24[BFFS]-Tabela24[fLS]-Tabela24[fA]</f>
        <v>73.666666666666671</v>
      </c>
      <c r="BF14" s="23">
        <v>1.3</v>
      </c>
      <c r="BG14" s="463">
        <f>IFERROR(Tabela24[[#This Row],[vp1]],0)</f>
        <v>1493.5353448385981</v>
      </c>
      <c r="BH14" s="463">
        <f>IFERROR(Tabela24[[#This Row],[% zonas s/ultra]],0)</f>
        <v>0.4</v>
      </c>
      <c r="BI14" s="23" t="str">
        <f t="shared" ref="BI14:BI77" si="5">"FNP"</f>
        <v>FNP</v>
      </c>
      <c r="BJ14" s="23">
        <v>1.353232327580701</v>
      </c>
      <c r="BK14" s="43">
        <f>Tabela24[FFS]-0.0125*MAX(Tabela24[[#This Row],[vp1]],Tabela24[[#This Row],[vp1'']])-Tabela24[fnp'']</f>
        <v>53.644242528603499</v>
      </c>
      <c r="BL14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14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</v>
      </c>
      <c r="BN14" s="23">
        <v>1</v>
      </c>
      <c r="BO14" s="23">
        <f>1/(1+Tabela24[[#This Row],[Pt]]*(Tabela24[[#This Row],[Et time]]-1)+Tabela24[[#This Row],[PRv]]*(Tabela24[[#This Row],[Er time]]-1))</f>
        <v>1</v>
      </c>
      <c r="BP14" s="23">
        <f>Tabela24[veic/h]/Tabela24[PHF]</f>
        <v>1316.8742854764596</v>
      </c>
      <c r="BQ14" s="23">
        <v>1316.8742854764596</v>
      </c>
      <c r="BR14" s="21">
        <f>Tabela24[veic/h]/(Tabela24[PHF]*Tabela24[fg time]*Tabela24[fhv follow])</f>
        <v>1316.8742854764596</v>
      </c>
      <c r="BS14" s="21" t="str">
        <f>IF(AND(Tabela24[[#This Row],[vp2]]*Tabela24[[#This Row],[distrib. direc.]]&lt;1700,Tabela24[[#This Row],[vp2]]&lt;3200),"OK!","FAIL")</f>
        <v>OK!</v>
      </c>
      <c r="BT14" s="23">
        <f>100*(1-EXP(-0.000879*MAX(Tabela24[[#This Row],[vp2]],Tabela24[[#This Row],[vp2'']])))</f>
        <v>68.573933587793206</v>
      </c>
      <c r="BU14" s="304" t="e">
        <v>#DIV/0!</v>
      </c>
      <c r="BV14" s="304">
        <f>IF(TYPE(Tabela24[distrib. direc.])&lt;&gt;1,0,Tabela24[distrib. direc.])</f>
        <v>0.55000000000000004</v>
      </c>
      <c r="BW14" s="304">
        <f>IF(TYPE(Tabela24[vp2])&lt;&gt;1,0,Tabela24[vp2])</f>
        <v>1316.8742854764596</v>
      </c>
      <c r="BX14" s="304">
        <f>IF(TYPE(Tabela24[% zonas s/ultra])&lt;&gt;1,0,Tabela24[% zonas s/ultra])</f>
        <v>0.4</v>
      </c>
      <c r="BY14" s="304" t="str">
        <f t="shared" ref="BY14:BY77" si="6">"FDNP"</f>
        <v>FDNP</v>
      </c>
      <c r="BZ14" s="304">
        <v>6.0650057161890478</v>
      </c>
      <c r="CA14" s="305">
        <f>Tabela24[BPTSF]+Tabela24[fd/np'']</f>
        <v>74.638939303982255</v>
      </c>
      <c r="CB14" s="305">
        <f>Tabela24[vp1]/3200</f>
        <v>0.46672979526206193</v>
      </c>
      <c r="CC14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E</v>
      </c>
      <c r="CD14" s="332">
        <f>VLOOKUP(Tabela24[faixa (m)],'HCM2000'!$B$541:$C$547,2,TRUE)</f>
        <v>0</v>
      </c>
      <c r="CE14" s="332">
        <f>IF(Tabela24[acost (m)]&gt;0,1.8,1.2)</f>
        <v>1.8</v>
      </c>
      <c r="CF14" s="332">
        <f>IF(Tabela24[Separador]=$CB$6,$CD$6,IF(Tabela24[Separador]=$CB$7,$CD$7,$CD$8))</f>
        <v>0</v>
      </c>
      <c r="CG14" s="332" t="str">
        <f>IF(Tabela24[Número de Faixas]=2,VLOOKUP(Tabela24[Lcr]+Tabela24[Lcl],'HCM2000'!$B$551:$D$587,2,FALSE),IF(Tabela24[Número de Faixas]&gt;=3,VLOOKUP(Tabela24[Lcr]+Tabela24[Lcl],'HCM2000'!$B$551:$D$587,3,FALSE),"Pista simples"))</f>
        <v>Pista simples</v>
      </c>
      <c r="CH14" s="332">
        <f>IF(Tabela24[Separador]="Sinalização horizontal",'HCM2000'!$C$590,'HCM2000'!$C$591)</f>
        <v>2.6</v>
      </c>
      <c r="CI14" s="332">
        <f>MIN((2/3)*Tabela24[[#This Row],[acessos/km]],16)</f>
        <v>1.3333333333333333</v>
      </c>
      <c r="CJ14" s="332" t="str">
        <f>IF(Tabela24[fLC]="Pista simples","-",Tabela24[BFFS]-Tabela24[fLW]-Tabela24[fLC]-Tabela24[fM]-Tabela24[fA2])</f>
        <v>-</v>
      </c>
      <c r="CK14" s="332">
        <f>IF(Tabela24[plano/ondulado]="Montanhoso",Tabela24[Para PT&lt;],VLOOKUP(Tabela24[plano/ondulado],'HCM2000'!$B$606:$C$608,2,FALSE))</f>
        <v>2.5</v>
      </c>
      <c r="CL14" s="332">
        <f>IF(Tabela24[[#This Row],[plano/ondulado]]="Montanhoso",Tabela24[[#This Row],[Para PT&lt;]],VLOOKUP(Tabela24[[#This Row],[plano/ondulado]],'HCM2000'!$E$606:$F$608,2,FALSE))</f>
        <v>2</v>
      </c>
      <c r="CM14" s="433">
        <f>1/(1+(Tabela24[Pt]*(Tabela24[Et2]-1))+(Tabela24[PRv]*(Tabela24[Er2]-1)))</f>
        <v>0.71971915482421711</v>
      </c>
      <c r="CN14" s="329">
        <f>K14+IF(Tabela24[[#This Row],[Num. Faixas Marg.]]="-",0,Tabela24[[#This Row],[Num. Faixas Marg.]])</f>
        <v>3.6</v>
      </c>
      <c r="CO14" s="331">
        <f>Tabela24[[#This Row],[Vzão]]/(Tabela24[[#This Row],[PHF]]*Tabela24[[#This Row],[N]]*Tabela24[[#This Row],[fHV]])</f>
        <v>279.53838049083259</v>
      </c>
      <c r="CP14" s="332" t="str">
        <f>IF(Tabela24[fLC]="Pista simples","-",Tabela24[vp3]/Tabela24[S])</f>
        <v>-</v>
      </c>
      <c r="CQ14" s="332" t="str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-</v>
      </c>
      <c r="CR14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14" s="308" t="str">
        <f>IF(Tabela24[LOS_vp3]="F","F",VLOOKUP(Tabela24[LOS_vp3],'HCM2000'!$R$655:$S$659,2))</f>
        <v>A</v>
      </c>
      <c r="CT14" s="329" t="str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-</v>
      </c>
      <c r="CU14" s="308" t="str">
        <f>IF(Tabela24[[#This Row],[LOS_vp3]]="F","F",IF(Tabela24[[#This Row],[fLC]]="Pista simples","-",VLOOKUP(Tabela24[[#This Row],[LOS_D3]],'HCM2000'!$R$655:$S$659,2)))</f>
        <v>-</v>
      </c>
      <c r="CV14" s="280" t="str">
        <f>IF(OR(Tabela24[[#This Row],[LOS_vp3]]="F",Tabela24[[#This Row],[LOS_D3]]="F"),"F",IF(Tabela24[[#This Row],[Pista]]="Pista Simples","-",VLOOKUP(MINA(Tabela24[LOS_vp],Tabela24[LOS_D]),'HCM2000'!$R$655:$S$659,2)))</f>
        <v>-</v>
      </c>
      <c r="CW14" s="381">
        <v>8</v>
      </c>
      <c r="CX14" s="381">
        <v>1.3</v>
      </c>
      <c r="CY14" s="22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3.5</v>
      </c>
      <c r="CZ14" s="182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3.5</v>
      </c>
      <c r="DA14" s="22">
        <f>ABS(INDEX('HCM2000'!$E$611:$M$611,1,MATCH(Tabela24[Pt]*100,'HCM2000'!$E$611:$M$611,1))-Tabela24[Pt]*100)</f>
        <v>3.9620569400424159</v>
      </c>
      <c r="DB14" s="22">
        <f>INDEX('HCM2000'!$E$611:$M$611,1,MATCH(Tabela24[[#This Row],[Pt]]*100,'HCM2000'!$E$611:$M$611,1)+1)-Tabela24[[#This Row],[Pt]]*100</f>
        <v>1.0379430599575841</v>
      </c>
      <c r="DC14" s="22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3.5</v>
      </c>
      <c r="DD14" s="440">
        <v>1.2</v>
      </c>
      <c r="DE14" s="433">
        <f>1/(1+(Tabela24[Pt]*(Tabela24[ETsu]-1))+(Tabela24[PRv]*(Tabela24[ERsu]-1)))</f>
        <v>0.62303299779562449</v>
      </c>
      <c r="DF14" s="331">
        <f>Tabela24[Vzão]/(Tabela24[PHF]*Tabela24[N]*Tabela24[fHVsu])</f>
        <v>322.91889460048975</v>
      </c>
      <c r="DG14" s="422" t="str">
        <f>IF(Tabela24[fLC]="Pista simples","-",Tabela24[vpsu]/Tabela24[S])</f>
        <v>-</v>
      </c>
      <c r="DH14" s="422" t="str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-</v>
      </c>
      <c r="DI14" s="329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5</v>
      </c>
      <c r="DJ14" s="308" t="str">
        <f>IF(Tabela24[[#This Row],[LOS_vp3]]="F","F",VLOOKUP(Tabela24[[#This Row],[LOS_vp3]],'HCM2000'!$R$655:$S$659,2))</f>
        <v>A</v>
      </c>
      <c r="DK14" s="329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-</v>
      </c>
      <c r="DL14" s="308" t="str">
        <f>IF(Tabela24[[#This Row],[LOS_vp3]]="F","F",IF(Tabela24[[#This Row],[fLC]]="Pista simples","-",VLOOKUP(Tabela24[[#This Row],[LOS_D3]],'HCM2000'!$R$655:$S$659,2)))</f>
        <v>-</v>
      </c>
      <c r="DM14" s="280" t="str">
        <f>IF(OR(Tabela24[[#This Row],[LOS_vp3]]="F",Tabela24[[#This Row],[LOS_D3]]="F"),"F",IF(Tabela24[[#This Row],[Pista]]="Pista Simples","-",VLOOKUP(MINA(Tabela24[LOS_vp3],Tabela24[LOS_D3]),'HCM2000'!$R$655:$S$659,2)))</f>
        <v>-</v>
      </c>
      <c r="DO14" s="22">
        <f>Tabela24[[#This Row],[ATS]]</f>
        <v>53.644242528603499</v>
      </c>
      <c r="DP14" s="22">
        <v>73.7</v>
      </c>
      <c r="DQ14" s="22">
        <f>ABS(DO14-DP14)</f>
        <v>20.055757471396504</v>
      </c>
      <c r="DR14" s="22">
        <f>Tabela24[[#This Row],[PTSF]]</f>
        <v>74.638939303982255</v>
      </c>
      <c r="DS14" s="22">
        <v>51.1</v>
      </c>
      <c r="DT14" s="22">
        <f>ABS(DR14-DS14)</f>
        <v>23.538939303982254</v>
      </c>
      <c r="DU14" s="22"/>
      <c r="DV14" s="22">
        <v>54.437840443375045</v>
      </c>
      <c r="DW14" s="22">
        <v>73.7</v>
      </c>
      <c r="DX14" s="22"/>
      <c r="DY14" s="22">
        <v>75.655183085561333</v>
      </c>
      <c r="DZ14" s="22">
        <v>51.1</v>
      </c>
      <c r="EA14" s="22"/>
      <c r="EC14" s="507">
        <v>4.5</v>
      </c>
      <c r="ED14" s="507">
        <v>1.33</v>
      </c>
      <c r="EE14" s="507" t="s">
        <v>579</v>
      </c>
      <c r="EF14" s="507" t="str">
        <f t="shared" ref="EF14:EF21" si="7">"level"</f>
        <v>level</v>
      </c>
      <c r="EG14" s="507">
        <v>3.4</v>
      </c>
      <c r="EH14" s="507">
        <v>1.8</v>
      </c>
      <c r="EI14" s="507" t="s">
        <v>552</v>
      </c>
      <c r="EJ14" s="507">
        <v>2</v>
      </c>
      <c r="EK14" s="507">
        <v>0.47</v>
      </c>
      <c r="EL14" s="508">
        <v>1858.5</v>
      </c>
      <c r="EM14" s="508">
        <v>2566.5</v>
      </c>
      <c r="EN14" s="507">
        <f t="shared" ref="EN14:EN21" si="8">292/(292+239)</f>
        <v>0.54990583804143123</v>
      </c>
      <c r="EO14" s="507">
        <f>70</f>
        <v>70</v>
      </c>
      <c r="EP14" s="507">
        <v>0.57999999999999996</v>
      </c>
      <c r="EQ14" s="507">
        <v>0.57999999999999996</v>
      </c>
      <c r="ER14" s="507">
        <v>0.03</v>
      </c>
      <c r="ET14" s="517">
        <f t="shared" ref="ET14:ET16" si="9">0.88</f>
        <v>0.88</v>
      </c>
      <c r="EU14" s="280">
        <f>(INPUTS[Cars '[VDMA']]+INPUTS[Trucks '[VDMA']])*GENERAL[VDMA to veh/h ]*INPUTS[Direction Split '[%']]</f>
        <v>292</v>
      </c>
      <c r="EV14" s="280">
        <f>(INPUTS[Cars '[VDMA']]+INPUTS[Trucks '[VDMA']])*GENERAL[VDMA to veh/h ]*(1-INPUTS[Direction Split '[%']])</f>
        <v>239.00000000000003</v>
      </c>
      <c r="EW14" s="517">
        <f>88</f>
        <v>88</v>
      </c>
      <c r="EX14" s="381">
        <f>INDEX('HCM2000'!$L$68:$AF$83,MATCH(INPUTS[Lane width '[m']],'HCM2000'!$K$68:$K$83),MATCH(INPUTS[Shoulder width '[m']],'HCM2000'!$L$67:$AF$67)+1)</f>
        <v>0.7</v>
      </c>
      <c r="EY14" s="280">
        <f>MIN(16,2/3*INPUTS[Access points /km '[1']])</f>
        <v>1.3333333333333333</v>
      </c>
      <c r="EZ14" s="280">
        <f>GENERAL[BFFS  '[km/h']]-GENERAL[fLS '[20-5']]-GENERAL[fA '[20-6']]</f>
        <v>85.966666666666669</v>
      </c>
      <c r="FA14" s="280">
        <f t="shared" ref="FA14:FA16" si="10">0.12</f>
        <v>0.12</v>
      </c>
      <c r="FB14" s="280">
        <f>GENERAL[FFS  '[km/h']] - INPUTS[Truck crawl speed '[km/h']]</f>
        <v>15.966666666666669</v>
      </c>
      <c r="FC14" s="280"/>
      <c r="FD14" s="280">
        <f>IF(INPUTS[Type of terrain]="level",0,1)</f>
        <v>0</v>
      </c>
      <c r="FE14" s="280">
        <v>0.88999999999999746</v>
      </c>
      <c r="FF14" s="280">
        <v>1.0000000000000002</v>
      </c>
      <c r="FG14" s="280">
        <v>2.8000000000000003</v>
      </c>
      <c r="FH14" s="280">
        <v>1.2000000000000002</v>
      </c>
      <c r="FI14" s="280">
        <v>1.0000000000000002</v>
      </c>
      <c r="FJ14" s="280">
        <v>7.9875000000000718</v>
      </c>
      <c r="FK14" s="280">
        <v>1.0000000000000102</v>
      </c>
      <c r="FL14" s="280">
        <f>IF(INPUTS[Direction analysed ?]="up",TWO_LANE_HIGHWAY[fG_ATS_O_DOWN '[20-7']],TWO_LANE_HIGHWAY[fG_ATS_O_UP '[20-13']])</f>
        <v>1.0000000000000002</v>
      </c>
      <c r="FM14" s="280">
        <f>IF(INPUTS[Direction analysed ?]="up",TWO_LANE_HIGHWAY[ET_ATS_O_DOWN '[20-9']],TWO_LANE_HIGHWAY[ET_ATS_O_UP '[20-15']])</f>
        <v>1.2000000000000002</v>
      </c>
      <c r="FN14" s="280">
        <f>IF(INPUTS[Direction analysed ?]="up",TWO_LANE_HIGHWAY[ER_ATS_O_DOWN '[20-9']],TWO_LANE_HIGHWAY[ER_ATS_O_UP '[20-17']])</f>
        <v>1.0000000000000002</v>
      </c>
      <c r="FO14" s="280">
        <f>IF(INPUTS[Direction analysed ?]="up",1,0)*INPUTS[PTC '[%']]</f>
        <v>0.57999999999999996</v>
      </c>
      <c r="FP14" s="280">
        <f>1/(1+TWO_LANE_HIGHWAY[PTC_O'' '[%']]*INPUTS[PT '[%']]*(TWO_LANE_HIGHWAY[ETC_ATS_O '[20-18']]-1)+(1-TWO_LANE_HIGHWAY[PTC_O'' '[%']])*INPUTS[PT '[%']]*(TWO_LANE_HIGHWAY[ET_ATS_O]-1)+INPUTS[PR '[%']]*(TWO_LANE_HIGHWAY[ER_ATS_O]-1))</f>
        <v>0.60450720572589223</v>
      </c>
      <c r="FQ14" s="280">
        <f>GENERAL[VO '[veh/h']]/GENERAL[PHF]</f>
        <v>271.59090909090912</v>
      </c>
      <c r="FR14" s="280">
        <v>449.27654545454544</v>
      </c>
      <c r="FS14" s="280">
        <f>IFERROR(GENERAL[VO '[veh/h']]/(GENERAL[PHF]*TWO_LANE_HIGHWAY[fG_ATS_O]*TWO_LANE_HIGHWAY[fHV_ATS_O '[(20-14)']]),0)</f>
        <v>449.27654545454544</v>
      </c>
      <c r="FT14" s="280">
        <v>0.99999999999999722</v>
      </c>
      <c r="FU14" s="280">
        <v>1</v>
      </c>
      <c r="FV14" s="280">
        <v>1.4</v>
      </c>
      <c r="FW14" s="280">
        <v>1.1000000000000001</v>
      </c>
      <c r="FX14" s="280">
        <v>1</v>
      </c>
      <c r="FY14" s="280">
        <v>7.9549999999999361</v>
      </c>
      <c r="FZ14" s="280">
        <v>0.99999999999999722</v>
      </c>
      <c r="GA14" s="280">
        <f>IF(INPUTS[Direction analysed ?]="up",TWO_LANE_HIGHWAY[fG_ATS_D_UP '[20-13']],TWO_LANE_HIGHWAY[fG_ATS_D_DOWN '[20-7']])</f>
        <v>0.99999999999999722</v>
      </c>
      <c r="GB14" s="280">
        <f>IF(INPUTS[Direction analysed ?]="up",TWO_LANE_HIGHWAY[ET_ATS_D_UP '[20-15']],TWO_LANE_HIGHWAY[ET_ATS_D_DOWN '[20-9']])</f>
        <v>7.9549999999999361</v>
      </c>
      <c r="GC14" s="280">
        <f>IF(INPUTS[Direction analysed ?]="up",TWO_LANE_HIGHWAY[ER_ATS_D_UP '[20-17']],TWO_LANE_HIGHWAY[ER_ATS_D_DOWN '[20-9']])</f>
        <v>0.99999999999999722</v>
      </c>
      <c r="GD14" s="280">
        <f>IF(INPUTS[Direction analysed ?]="up",0,1)*INPUTS[PTC '[%']]</f>
        <v>0</v>
      </c>
      <c r="GE14" s="280">
        <f>1/(1+TWO_LANE_HIGHWAY[PTC_D'' '[%']]*INPUTS[PT '[%']]*(TWO_LANE_HIGHWAY[ETC_ATS_D '[20-18']]-1)+(1-TWO_LANE_HIGHWAY[PTC_D'' '[%']])*INPUTS[PT '[%']]*(TWO_LANE_HIGHWAY[ET_ATS_D]-1)+INPUTS[PR '[%']]*(TWO_LANE_HIGHWAY[ER_ATS_D]-1))</f>
        <v>0.19865313176662378</v>
      </c>
      <c r="GF14" s="280">
        <f>GENERAL[VD '[veh/h']]/GENERAL[PHF]</f>
        <v>331.81818181818181</v>
      </c>
      <c r="GG14" s="280">
        <v>1670.3395454545375</v>
      </c>
      <c r="GH14" s="280">
        <f>IFERROR(GENERAL[VD '[veh/h']]/(GENERAL[PHF]*TWO_LANE_HIGHWAY[fG_ATS_D]*TWO_LANE_HIGHWAY[fHV_ATS_D '[(20-14)']]),0)</f>
        <v>1670.3395454545375</v>
      </c>
      <c r="GI14" s="280">
        <v>2.9332054738636018</v>
      </c>
      <c r="GJ14" s="280">
        <f>GENERAL[[#This Row],[FFS  '[km/h']]]</f>
        <v>85.966666666666669</v>
      </c>
      <c r="GK14" s="280">
        <f>TWO_LANE_HIGHWAY[FFSd '[km/h']]-0.0125*(GENERAL[VD '[veh/h']]+GENERAL[VO '[veh/h']])-TWO_LANE_HIGHWAY[fnp_ATS '[20-19']]</f>
        <v>76.395961192803071</v>
      </c>
      <c r="GL14" s="280">
        <v>1.0000000000000002</v>
      </c>
      <c r="GM14" s="280">
        <v>1</v>
      </c>
      <c r="GN14" s="280">
        <v>1.1000000000000001</v>
      </c>
      <c r="GO14" s="280">
        <f>1</f>
        <v>1</v>
      </c>
      <c r="GP14" s="280">
        <v>1.0000000000000002</v>
      </c>
      <c r="GQ14" s="280">
        <f>1</f>
        <v>1</v>
      </c>
      <c r="GR14" s="280">
        <f>IF(INPUTS[Direction analysed ?]="up",TWO_LANE_HIGHWAY[fG_PTSF_O_DOWN '[20-8']],TWO_LANE_HIGHWAY[fG_PTSF_O_UP '[20-14']])</f>
        <v>1</v>
      </c>
      <c r="GS14" s="280">
        <f>IF(INPUTS[Direction analysed ?]="up",TWO_LANE_HIGHWAY[ET_PTSF_O_DOWN '[20-10']],TWO_LANE_HIGHWAY[ET_PTSF_O_UP '[20-16']])</f>
        <v>1.1000000000000001</v>
      </c>
      <c r="GT14" s="280">
        <f>IF(INPUTS[Direction analysed ?]="up",TWO_LANE_HIGHWAY[ER_PTSF_O_DOWN '[20-10']],TWO_LANE_HIGHWAY[ER_PTSF_O_UP '[20-16']])</f>
        <v>1</v>
      </c>
      <c r="GU14" s="280">
        <f>1/(1+INPUTS[PT '[%']]*(TWO_LANE_HIGHWAY[ET_PTSF_O]-1)+INPUTS[PR '[%']]*(TWO_LANE_HIGHWAY[ER_PTSF_O]-1))</f>
        <v>0.94517958412098291</v>
      </c>
      <c r="GV14" s="280">
        <f>TWO_LANE_HIGHWAY[Vo_ATS_init '[pc/h']]</f>
        <v>271.59090909090912</v>
      </c>
      <c r="GW14" s="280">
        <v>287.34318181818185</v>
      </c>
      <c r="GX14" s="280">
        <f>IFERROR(GENERAL[VO '[veh/h']]/(GENERAL[PHF]*TWO_LANE_HIGHWAY[FG_PTSF_O]*TWO_LANE_HIGHWAY[fHV_PTSF_O]),0)</f>
        <v>287.34318181818185</v>
      </c>
      <c r="GY14" s="416">
        <v>1.0000000000000093</v>
      </c>
      <c r="GZ14" s="416">
        <v>1.0000000000000002</v>
      </c>
      <c r="HA14" s="416">
        <v>1.1000000000000005</v>
      </c>
      <c r="HB14" s="416">
        <f>1</f>
        <v>1</v>
      </c>
      <c r="HC14" s="416">
        <v>1.0000000000000093</v>
      </c>
      <c r="HD14" s="416">
        <f>1</f>
        <v>1</v>
      </c>
      <c r="HE14" s="416">
        <f>IF(INPUTS[Direction analysed ?]="up",TWO_LANE_HIGHWAY[fG_PTSF_D_UP '[20-14']],TWO_LANE_HIGHWAY[fG_PTSF_D_DOWN '[20-8']])</f>
        <v>1.0000000000000093</v>
      </c>
      <c r="HF14" s="416">
        <f>IF(INPUTS[Direction analysed ?]="up",TWO_LANE_HIGHWAY[ET_PTSF_D_UP '[20-16']],TWO_LANE_HIGHWAY[ET_PTSF_D_DOWN '[20-10']])</f>
        <v>1.0000000000000093</v>
      </c>
      <c r="HG14" s="416">
        <f>IF(INPUTS[Direction analysed ?]="up",TWO_LANE_HIGHWAY[ER_PTSF_D_UP '[20-16']],TWO_LANE_HIGHWAY[ER_PTSF_D_DOWN  '[20-10']])</f>
        <v>1</v>
      </c>
      <c r="HH14" s="416">
        <f>1/(1+INPUTS[PT '[%']]*(TWO_LANE_HIGHWAY[ET_PTSF_D]-1)+INPUTS[PR '[%']]*(TWO_LANE_HIGHWAY[ER_PTSF_D]-1))</f>
        <v>0.99999999999999467</v>
      </c>
      <c r="HI14" s="416">
        <f>TWO_LANE_HIGHWAY[Vd_ATS_init '[pc/h']]</f>
        <v>331.81818181818181</v>
      </c>
      <c r="HJ14" s="416">
        <v>331.81818181818045</v>
      </c>
      <c r="HK14" s="416">
        <f>IFERROR(GENERAL[VD '[veh/h']]/(GENERAL[PHF]*TWO_LANE_HIGHWAY[FG_PTSF_D]*TWO_LANE_HIGHWAY[fHV_PTSF_D]),0)</f>
        <v>331.81818181818045</v>
      </c>
      <c r="HL14" s="416">
        <v>15.565764015151501</v>
      </c>
      <c r="HM14" s="416">
        <v>-3.2215500000000008E-2</v>
      </c>
      <c r="HN14" s="416">
        <v>0.58546069318181815</v>
      </c>
      <c r="HO14" s="416">
        <f>100*EXP(TWO_LANE_HIGHWAY[a '[20-21']]*TWO_LANE_HIGHWAY[Vd_PTSF '[pc/h']]^TWO_LANE_HIGHWAY[b '[20-21']])</f>
        <v>38.146950230660686</v>
      </c>
      <c r="HP14" s="416">
        <f>TWO_LANE_HIGHWAY[BPTSFd '[%']]+TWO_LANE_HIGHWAY[fnp_PTSF '[20-20']]</f>
        <v>53.712714245812187</v>
      </c>
      <c r="HQ14" s="416"/>
    </row>
    <row r="15" spans="2:225" s="294" customFormat="1">
      <c r="B15" s="383">
        <v>2</v>
      </c>
      <c r="C15" s="389"/>
      <c r="D15" s="384"/>
      <c r="E15" s="385">
        <v>24200</v>
      </c>
      <c r="F15" s="385">
        <v>24500</v>
      </c>
      <c r="G15" s="390">
        <v>300</v>
      </c>
      <c r="H15" s="383" t="s">
        <v>263</v>
      </c>
      <c r="I15" s="383" t="s">
        <v>379</v>
      </c>
      <c r="J15" s="383">
        <v>1</v>
      </c>
      <c r="K15" s="386">
        <v>3.6</v>
      </c>
      <c r="L15" s="383" t="s">
        <v>143</v>
      </c>
      <c r="M15" s="386">
        <v>3.2</v>
      </c>
      <c r="N15" s="386">
        <v>0</v>
      </c>
      <c r="O15" s="383">
        <v>0</v>
      </c>
      <c r="P15" s="383" t="s">
        <v>366</v>
      </c>
      <c r="Q15" s="383" t="s">
        <v>144</v>
      </c>
      <c r="R15" s="392" t="s">
        <v>73</v>
      </c>
      <c r="S15" s="310">
        <v>0</v>
      </c>
      <c r="T15" s="313"/>
      <c r="U15" s="382">
        <v>24</v>
      </c>
      <c r="V15" s="399">
        <v>6473.9966140621727</v>
      </c>
      <c r="W15" s="399">
        <v>2824.5698392986178</v>
      </c>
      <c r="X15" s="313"/>
      <c r="Y15" s="440">
        <f t="shared" si="0"/>
        <v>1</v>
      </c>
      <c r="Z15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15" s="440" t="s">
        <v>644</v>
      </c>
      <c r="AB15" s="391" t="s">
        <v>654</v>
      </c>
      <c r="AC15" s="22">
        <v>3.5</v>
      </c>
      <c r="AD15" s="22">
        <v>2.5</v>
      </c>
      <c r="AE15" s="323"/>
      <c r="AF15" s="323"/>
      <c r="AG15" s="323">
        <v>0</v>
      </c>
      <c r="AH15" s="435">
        <v>0.59</v>
      </c>
      <c r="AI15" s="441">
        <v>0.03</v>
      </c>
      <c r="AJ15" s="435">
        <v>8.7999999999999995E-2</v>
      </c>
      <c r="AK15" s="330">
        <v>419</v>
      </c>
      <c r="AL15" s="441">
        <v>0.55000000000000004</v>
      </c>
      <c r="AM15" s="264">
        <v>230.45000000000002</v>
      </c>
      <c r="AN15" s="439">
        <v>2</v>
      </c>
      <c r="AO15" s="525" t="s">
        <v>73</v>
      </c>
      <c r="AP15" s="439">
        <v>88</v>
      </c>
      <c r="AQ15" s="25">
        <v>0.35</v>
      </c>
      <c r="AR15" s="440">
        <v>0.88</v>
      </c>
      <c r="AS15" s="411"/>
      <c r="AT15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15" s="412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15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15" s="23">
        <f>1/(1+(Tabela24[[#This Row],[Pt]])*(Tabela24[[#This Row],[Et]]-1)+(Tabela24[[#This Row],[PRv]])*(Tabela24[[#This Row],[Er]]-1))</f>
        <v>0.89445438282647594</v>
      </c>
      <c r="AX15" s="413">
        <f>Tabela24[veic/h]/Tabela24[PHF]</f>
        <v>476.13636363636363</v>
      </c>
      <c r="AY15" s="413">
        <v>672.78068181818173</v>
      </c>
      <c r="AZ15" s="414">
        <f>Tabela24[veic/h]/(Tabela24[PHF]*Tabela24[fg ats]*Tabela24[fhv ats])</f>
        <v>532.32045454545448</v>
      </c>
      <c r="BA15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15" s="322" t="str">
        <f>IF(AND(Tabela24[[#This Row],[vp1]]*Tabela24[[#This Row],[distrib. direc.]]&lt;1700,Tabela24[[#This Row],[vp1]]&lt;3200),"OK!","FAIL")</f>
        <v>OK!</v>
      </c>
      <c r="BC15" s="23">
        <f>INDEX('HCM2000'!$L$68:$AF$83,MATCH(Tabela24[[#This Row],[faixa (m)]],'HCM2000'!$K$68:$K$83),MATCH(Tabela24[[#This Row],[acost (m)]],'HCM2000'!$L$67:$AF$67))</f>
        <v>0.7</v>
      </c>
      <c r="BD15" s="23">
        <f>MIN(16,(2/3)*Tabela24[[#This Row],[acessos/km]])</f>
        <v>1.3333333333333333</v>
      </c>
      <c r="BE15" s="22">
        <f>Tabela24[BFFS]-Tabela24[fLS]-Tabela24[fA]</f>
        <v>85.966666666666669</v>
      </c>
      <c r="BF15" s="23">
        <v>2.2000000000000002</v>
      </c>
      <c r="BG15" s="463">
        <f>IFERROR(Tabela24[[#This Row],[vp1]],0)</f>
        <v>532.32045454545448</v>
      </c>
      <c r="BH15" s="463">
        <f>IFERROR(Tabela24[[#This Row],[% zonas s/ultra]],0)</f>
        <v>0.35</v>
      </c>
      <c r="BI15" s="23" t="str">
        <f t="shared" si="5"/>
        <v>FNP</v>
      </c>
      <c r="BJ15" s="412">
        <v>3.618819034090913</v>
      </c>
      <c r="BK15" s="43">
        <f>Tabela24[FFS]-0.0125*MAX(Tabela24[[#This Row],[vp1]],Tabela24[[#This Row],[vp1'']])-Tabela24[fnp'']</f>
        <v>73.938089109848477</v>
      </c>
      <c r="BL15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15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15" s="23">
        <v>1</v>
      </c>
      <c r="BO15" s="23">
        <f>1/(1+Tabela24[[#This Row],[Pt]]*(Tabela24[[#This Row],[Et time]]-1)+Tabela24[[#This Row],[PRv]]*(Tabela24[[#This Row],[Er time]]-1))</f>
        <v>0.94428706326723311</v>
      </c>
      <c r="BP15" s="23">
        <f>Tabela24[veic/h]/Tabela24[PHF]</f>
        <v>476.13636363636363</v>
      </c>
      <c r="BQ15" s="23">
        <v>504.22840909090917</v>
      </c>
      <c r="BR15" s="438">
        <f>Tabela24[veic/h]/(Tabela24[PHF]*Tabela24[fg time]*Tabela24[fhv follow])</f>
        <v>504.22840909090917</v>
      </c>
      <c r="BS15" s="438" t="str">
        <f>IF(AND(Tabela24[[#This Row],[vp2]]*Tabela24[[#This Row],[distrib. direc.]]&lt;1700,Tabela24[[#This Row],[vp2]]&lt;3200),"OK!","FAIL")</f>
        <v>OK!</v>
      </c>
      <c r="BT15" s="23">
        <f>100*(1-EXP(-0.000879*MAX(Tabela24[[#This Row],[vp2]],Tabela24[[#This Row],[vp2'']])))</f>
        <v>35.803196842782548</v>
      </c>
      <c r="BU15" s="304" t="e">
        <v>#DIV/0!</v>
      </c>
      <c r="BV15" s="304">
        <f>IF(TYPE(Tabela24[distrib. direc.])&lt;&gt;1,0,Tabela24[distrib. direc.])</f>
        <v>0.55000000000000004</v>
      </c>
      <c r="BW15" s="304">
        <f>IF(TYPE(Tabela24[vp2])&lt;&gt;1,0,Tabela24[vp2])</f>
        <v>504.22840909090917</v>
      </c>
      <c r="BX15" s="304">
        <f>IF(TYPE(Tabela24[% zonas s/ultra])&lt;&gt;1,0,Tabela24[% zonas s/ultra])</f>
        <v>0.35</v>
      </c>
      <c r="BY15" s="304" t="str">
        <f t="shared" si="6"/>
        <v>FDNP</v>
      </c>
      <c r="BZ15" s="304">
        <v>14.658086363636283</v>
      </c>
      <c r="CA15" s="305">
        <f>Tabela24[BPTSF]+Tabela24[fd/np'']</f>
        <v>50.461283206418827</v>
      </c>
      <c r="CB15" s="415">
        <f>Tabela24[vp1]/3200</f>
        <v>0.16635014204545454</v>
      </c>
      <c r="CC15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15" s="332">
        <f>VLOOKUP(Tabela24[faixa (m)],'HCM2000'!$B$541:$C$547,2,TRUE)</f>
        <v>1</v>
      </c>
      <c r="CE15" s="332">
        <f>IF(Tabela24[acost (m)]&gt;0,1.8,1.2)</f>
        <v>1.8</v>
      </c>
      <c r="CF15" s="332">
        <f>IF(Tabela24[Separador]=$CB$6,$CD$6,IF(Tabela24[Separador]=$CB$7,$CD$7,$CD$8))</f>
        <v>0</v>
      </c>
      <c r="CG15" s="332" t="str">
        <f>IF(Tabela24[Número de Faixas]=2,VLOOKUP(Tabela24[Lcr]+Tabela24[Lcl],'HCM2000'!$B$551:$D$587,2,FALSE),IF(Tabela24[Número de Faixas]&gt;=3,VLOOKUP(Tabela24[Lcr]+Tabela24[Lcl],'HCM2000'!$B$551:$D$587,3,FALSE),"Pista simples"))</f>
        <v>Pista simples</v>
      </c>
      <c r="CH15" s="332">
        <f>IF(Tabela24[Separador]="Sinalização horizontal",'HCM2000'!$C$590,'HCM2000'!$C$591)</f>
        <v>2.6</v>
      </c>
      <c r="CI15" s="332">
        <f>MIN((2/3)*Tabela24[[#This Row],[acessos/km]],16)</f>
        <v>1.3333333333333333</v>
      </c>
      <c r="CJ15" s="332" t="str">
        <f>IF(Tabela24[fLC]="Pista simples","-",Tabela24[BFFS]-Tabela24[fLW]-Tabela24[fLC]-Tabela24[fM]-Tabela24[fA2])</f>
        <v>-</v>
      </c>
      <c r="CK15" s="332">
        <f>IF(Tabela24[plano/ondulado]="Montanhoso",Tabela24[Para PT&lt;],VLOOKUP(Tabela24[plano/ondulado],'HCM2000'!$B$606:$C$608,2,FALSE))</f>
        <v>1.5</v>
      </c>
      <c r="CL15" s="332">
        <f>IF(Tabela24[[#This Row],[plano/ondulado]]="Montanhoso",Tabela24[[#This Row],[Para PT&lt;]],VLOOKUP(Tabela24[[#This Row],[plano/ondulado]],'HCM2000'!$E$606:$F$608,2,FALSE))</f>
        <v>1.2</v>
      </c>
      <c r="CM15" s="433">
        <f>1/(1+(Tabela24[Pt]*(Tabela24[Et2]-1))+(Tabela24[PRv]*(Tabela24[Er2]-1)))</f>
        <v>0.76863950807071491</v>
      </c>
      <c r="CN15" s="329">
        <f>K15+IF(Tabela24[[#This Row],[Num. Faixas Marg.]]="-",0,Tabela24[[#This Row],[Num. Faixas Marg.]])</f>
        <v>3.6</v>
      </c>
      <c r="CO15" s="331">
        <f>Tabela24[[#This Row],[Vzão]]/(Tabela24[[#This Row],[PHF]]*Tabela24[[#This Row],[N]]*Tabela24[[#This Row],[fHV]])</f>
        <v>94.638715277777763</v>
      </c>
      <c r="CP15" s="332" t="str">
        <f>IF(Tabela24[fLC]="Pista simples","-",Tabela24[vp3]/Tabela24[S])</f>
        <v>-</v>
      </c>
      <c r="CQ15" s="332" t="str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-</v>
      </c>
      <c r="CR15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15" s="308" t="str">
        <f>IF(Tabela24[LOS_vp3]="F","F",VLOOKUP(Tabela24[LOS_vp3],'HCM2000'!$R$655:$S$659,2))</f>
        <v>A</v>
      </c>
      <c r="CT15" s="329" t="str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-</v>
      </c>
      <c r="CU15" s="308" t="str">
        <f>IF(Tabela24[[#This Row],[LOS_vp3]]="F","F",IF(Tabela24[[#This Row],[fLC]]="Pista simples","-",VLOOKUP(Tabela24[[#This Row],[LOS_D3]],'HCM2000'!$R$655:$S$659,2)))</f>
        <v>-</v>
      </c>
      <c r="CV15" s="280" t="str">
        <f>IF(OR(Tabela24[[#This Row],[LOS_vp3]]="F",Tabela24[[#This Row],[LOS_D3]]="F"),"F",IF(Tabela24[[#This Row],[Pista]]="Pista Simples","-",VLOOKUP(MINA(Tabela24[LOS_vp],Tabela24[LOS_D]),'HCM2000'!$R$655:$S$659,2)))</f>
        <v>-</v>
      </c>
      <c r="CW15" s="381">
        <v>8</v>
      </c>
      <c r="CX15" s="381">
        <v>1.3</v>
      </c>
      <c r="CY15" s="22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3.5</v>
      </c>
      <c r="CZ15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#REF!</v>
      </c>
      <c r="DA15" s="22">
        <f>ABS(INDEX('HCM2000'!$E$611:$M$611,1,MATCH(Tabela24[Pt]*100,'HCM2000'!$E$611:$M$611,1))-Tabela24[Pt]*100)</f>
        <v>34</v>
      </c>
      <c r="DB15" s="22" t="e">
        <f>INDEX('HCM2000'!$E$611:$M$611,1,MATCH(Tabela24[[#This Row],[Pt]]*100,'HCM2000'!$E$611:$M$611,1)+1)-Tabela24[[#This Row],[Pt]]*100</f>
        <v>#REF!</v>
      </c>
      <c r="DC15" s="22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3.5</v>
      </c>
      <c r="DD15" s="440">
        <v>2.2000000000000002</v>
      </c>
      <c r="DE15" s="433">
        <f>1/(1+(Tabela24[Pt]*(Tabela24[ETsu]-1))+(Tabela24[PRv]*(Tabela24[ERsu]-1)))</f>
        <v>0.39824771007566712</v>
      </c>
      <c r="DF15" s="331">
        <f>Tabela24[Vzão]/(Tabela24[PHF]*Tabela24[N]*Tabela24[fHVsu])</f>
        <v>182.65781250000001</v>
      </c>
      <c r="DG15" s="422" t="str">
        <f>IF(Tabela24[fLC]="Pista simples","-",Tabela24[vpsu]/Tabela24[S])</f>
        <v>-</v>
      </c>
      <c r="DH15" s="422" t="str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-</v>
      </c>
      <c r="DI15" s="329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5</v>
      </c>
      <c r="DJ15" s="308" t="str">
        <f>IF(Tabela24[[#This Row],[LOS_vp3]]="F","F",VLOOKUP(Tabela24[[#This Row],[LOS_vp3]],'HCM2000'!$R$655:$S$659,2))</f>
        <v>A</v>
      </c>
      <c r="DK15" s="329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-</v>
      </c>
      <c r="DL15" s="308" t="str">
        <f>IF(Tabela24[[#This Row],[LOS_vp3]]="F","F",IF(Tabela24[[#This Row],[fLC]]="Pista simples","-",VLOOKUP(Tabela24[[#This Row],[LOS_D3]],'HCM2000'!$R$655:$S$659,2)))</f>
        <v>-</v>
      </c>
      <c r="DM15" s="280" t="str">
        <f>IF(OR(Tabela24[[#This Row],[LOS_vp3]]="F",Tabela24[[#This Row],[LOS_D3]]="F"),"F",IF(Tabela24[[#This Row],[Pista]]="Pista Simples","-",VLOOKUP(MINA(Tabela24[LOS_vp3],Tabela24[LOS_D3]),'HCM2000'!$R$655:$S$659,2)))</f>
        <v>-</v>
      </c>
      <c r="DN15" s="58"/>
      <c r="DO15" s="22">
        <f>Tabela24[[#This Row],[ATS]]</f>
        <v>73.938089109848477</v>
      </c>
      <c r="DP15" s="440">
        <v>74.3</v>
      </c>
      <c r="DQ15" s="22">
        <f t="shared" ref="DQ15:DQ78" si="11">ABS(DO15-DP15)</f>
        <v>0.36191089015152045</v>
      </c>
      <c r="DR15" s="22">
        <f>Tabela24[[#This Row],[PTSF]]</f>
        <v>50.461283206418827</v>
      </c>
      <c r="DS15" s="440">
        <v>51.1</v>
      </c>
      <c r="DT15" s="22">
        <f t="shared" ref="DT15:DT78" si="12">ABS(DR15-DS15)</f>
        <v>0.63871679358117461</v>
      </c>
      <c r="DU15" s="22"/>
      <c r="DV15" s="22">
        <v>74.300250189393935</v>
      </c>
      <c r="DW15" s="440">
        <v>74.3</v>
      </c>
      <c r="DX15" s="22">
        <v>2.5018939393817163E-4</v>
      </c>
      <c r="DY15" s="22">
        <v>50.461283206418827</v>
      </c>
      <c r="DZ15" s="440">
        <v>51.1</v>
      </c>
      <c r="EA15" s="22">
        <v>0.63871679358117461</v>
      </c>
      <c r="EC15" s="507">
        <v>4.5</v>
      </c>
      <c r="ED15" s="507">
        <v>1.33</v>
      </c>
      <c r="EE15" s="507" t="s">
        <v>580</v>
      </c>
      <c r="EF15" s="521" t="str">
        <f t="shared" si="7"/>
        <v>level</v>
      </c>
      <c r="EG15" s="507">
        <v>3.4</v>
      </c>
      <c r="EH15" s="507">
        <v>1.8</v>
      </c>
      <c r="EI15" s="507" t="s">
        <v>552</v>
      </c>
      <c r="EJ15" s="507">
        <v>2</v>
      </c>
      <c r="EK15" s="507">
        <v>0.47</v>
      </c>
      <c r="EL15" s="508">
        <v>1858.5</v>
      </c>
      <c r="EM15" s="508">
        <v>2566.5</v>
      </c>
      <c r="EN15" s="507">
        <f t="shared" si="8"/>
        <v>0.54990583804143123</v>
      </c>
      <c r="EO15" s="507">
        <f>70</f>
        <v>70</v>
      </c>
      <c r="EP15" s="507">
        <v>0.57999999999999996</v>
      </c>
      <c r="EQ15" s="507">
        <v>0.57999999999999996</v>
      </c>
      <c r="ER15" s="507">
        <v>0.03</v>
      </c>
      <c r="ET15" s="517">
        <f t="shared" si="9"/>
        <v>0.88</v>
      </c>
      <c r="EU15" s="280">
        <f>(INPUTS[Cars '[VDMA']]+INPUTS[Trucks '[VDMA']])*GENERAL[VDMA to veh/h ]*INPUTS[Direction Split '[%']]</f>
        <v>292</v>
      </c>
      <c r="EV15" s="280">
        <f>(INPUTS[Cars '[VDMA']]+INPUTS[Trucks '[VDMA']])*GENERAL[VDMA to veh/h ]*(1-INPUTS[Direction Split '[%']])</f>
        <v>239.00000000000003</v>
      </c>
      <c r="EW15" s="517">
        <f>88</f>
        <v>88</v>
      </c>
      <c r="EX15" s="280">
        <f>INDEX('HCM2000'!$L$68:$AF$83,MATCH(INPUTS[Lane width '[m']],'HCM2000'!$K$68:$K$83),MATCH(INPUTS[Shoulder width '[m']],'HCM2000'!$L$67:$AF$67)+1)</f>
        <v>0.7</v>
      </c>
      <c r="EY15" s="280">
        <f>MIN(16,2/3*INPUTS[Access points /km '[1']])</f>
        <v>1.3333333333333333</v>
      </c>
      <c r="EZ15" s="280">
        <f>GENERAL[BFFS  '[km/h']]-GENERAL[fLS '[20-5']]-GENERAL[fA '[20-6']]</f>
        <v>85.966666666666669</v>
      </c>
      <c r="FA15" s="280">
        <f t="shared" si="10"/>
        <v>0.12</v>
      </c>
      <c r="FB15" s="280">
        <f>GENERAL[FFS  '[km/h']] - INPUTS[Truck crawl speed '[km/h']]</f>
        <v>15.966666666666669</v>
      </c>
      <c r="FC15" s="280"/>
      <c r="FD15" s="280">
        <f>IF(INPUTS[Type of terrain]="level",0,1)</f>
        <v>0</v>
      </c>
      <c r="FE15" s="280">
        <v>0.99999999999999722</v>
      </c>
      <c r="FF15" s="280">
        <v>1</v>
      </c>
      <c r="FG15" s="280">
        <v>1.4</v>
      </c>
      <c r="FH15" s="280">
        <v>1.1000000000000001</v>
      </c>
      <c r="FI15" s="280">
        <v>1</v>
      </c>
      <c r="FJ15" s="280">
        <v>7.9549999999999361</v>
      </c>
      <c r="FK15" s="280">
        <v>0.99999999999999722</v>
      </c>
      <c r="FL15" s="280">
        <f>IF(INPUTS[Direction analysed ?]="up",TWO_LANE_HIGHWAY[fG_ATS_O_DOWN '[20-7']],TWO_LANE_HIGHWAY[fG_ATS_O_UP '[20-13']])</f>
        <v>0.99999999999999722</v>
      </c>
      <c r="FM15" s="280">
        <f>IF(INPUTS[Direction analysed ?]="up",TWO_LANE_HIGHWAY[ET_ATS_O_DOWN '[20-9']],TWO_LANE_HIGHWAY[ET_ATS_O_UP '[20-15']])</f>
        <v>7.9549999999999361</v>
      </c>
      <c r="FN15" s="280">
        <f>IF(INPUTS[Direction analysed ?]="up",TWO_LANE_HIGHWAY[ER_ATS_O_DOWN '[20-9']],TWO_LANE_HIGHWAY[ER_ATS_O_UP '[20-17']])</f>
        <v>0.99999999999999722</v>
      </c>
      <c r="FO15" s="280">
        <f>IF(INPUTS[Direction analysed ?]="up",1,0)*INPUTS[PTC '[%']]</f>
        <v>0</v>
      </c>
      <c r="FP15" s="280">
        <f>1/(1+TWO_LANE_HIGHWAY[PTC_O'' '[%']]*INPUTS[PT '[%']]*(TWO_LANE_HIGHWAY[ETC_ATS_O '[20-18']]-1)+(1-TWO_LANE_HIGHWAY[PTC_O'' '[%']])*INPUTS[PT '[%']]*(TWO_LANE_HIGHWAY[ET_ATS_O]-1)+INPUTS[PR '[%']]*(TWO_LANE_HIGHWAY[ER_ATS_O]-1))</f>
        <v>0.19865313176662378</v>
      </c>
      <c r="FQ15" s="280">
        <f>GENERAL[VO '[veh/h']]/GENERAL[PHF]</f>
        <v>271.59090909090912</v>
      </c>
      <c r="FR15" s="280">
        <v>1367.161477272721</v>
      </c>
      <c r="FS15" s="280">
        <f>IFERROR(GENERAL[VO '[veh/h']]/(GENERAL[PHF]*TWO_LANE_HIGHWAY[fG_ATS_O]*TWO_LANE_HIGHWAY[fHV_ATS_O '[(20-14)']]),0)</f>
        <v>1367.161477272721</v>
      </c>
      <c r="FT15" s="280">
        <v>0.88999999999999679</v>
      </c>
      <c r="FU15" s="280">
        <v>1.0000000000000002</v>
      </c>
      <c r="FV15" s="280">
        <v>2.8000000000000003</v>
      </c>
      <c r="FW15" s="280">
        <v>1.2000000000000002</v>
      </c>
      <c r="FX15" s="280">
        <v>1.0000000000000002</v>
      </c>
      <c r="FY15" s="280">
        <v>7.9875000000000718</v>
      </c>
      <c r="FZ15" s="280">
        <v>1.0000000000000109</v>
      </c>
      <c r="GA15" s="280">
        <f>IF(INPUTS[Direction analysed ?]="up",TWO_LANE_HIGHWAY[fG_ATS_D_UP '[20-13']],TWO_LANE_HIGHWAY[fG_ATS_D_DOWN '[20-7']])</f>
        <v>1.0000000000000002</v>
      </c>
      <c r="GB15" s="280">
        <f>IF(INPUTS[Direction analysed ?]="up",TWO_LANE_HIGHWAY[ET_ATS_D_UP '[20-15']],TWO_LANE_HIGHWAY[ET_ATS_D_DOWN '[20-9']])</f>
        <v>1.2000000000000002</v>
      </c>
      <c r="GC15" s="280">
        <f>IF(INPUTS[Direction analysed ?]="up",TWO_LANE_HIGHWAY[ER_ATS_D_UP '[20-17']],TWO_LANE_HIGHWAY[ER_ATS_D_DOWN '[20-9']])</f>
        <v>1.0000000000000002</v>
      </c>
      <c r="GD15" s="280">
        <f>IF(INPUTS[Direction analysed ?]="up",0,1)*INPUTS[PTC '[%']]</f>
        <v>0.57999999999999996</v>
      </c>
      <c r="GE15" s="280">
        <f>1/(1+TWO_LANE_HIGHWAY[PTC_D'' '[%']]*INPUTS[PT '[%']]*(TWO_LANE_HIGHWAY[ETC_ATS_D '[20-18']]-1)+(1-TWO_LANE_HIGHWAY[PTC_D'' '[%']])*INPUTS[PT '[%']]*(TWO_LANE_HIGHWAY[ET_ATS_D]-1)+INPUTS[PR '[%']]*(TWO_LANE_HIGHWAY[ER_ATS_D]-1))</f>
        <v>0.60450720572589223</v>
      </c>
      <c r="GF15" s="280">
        <f>GENERAL[VD '[veh/h']]/GENERAL[PHF]</f>
        <v>331.81818181818181</v>
      </c>
      <c r="GG15" s="280">
        <v>548.90690909090904</v>
      </c>
      <c r="GH15" s="280">
        <f>IFERROR(GENERAL[VD '[veh/h']]/(GENERAL[PHF]*TWO_LANE_HIGHWAY[fG_ATS_D]*TWO_LANE_HIGHWAY[fHV_ATS_D '[(20-14)']]),0)</f>
        <v>548.90690909090904</v>
      </c>
      <c r="GI15" s="280">
        <v>0.9178059075188969</v>
      </c>
      <c r="GJ15" s="280">
        <f>GENERAL[[#This Row],[FFS  '[km/h']]]</f>
        <v>85.966666666666669</v>
      </c>
      <c r="GK15" s="280">
        <f>TWO_LANE_HIGHWAY[FFSd '[km/h']]-0.0125*(GENERAL[VD '[veh/h']]+GENERAL[VO '[veh/h']])-TWO_LANE_HIGHWAY[fnp_ATS '[20-19']]</f>
        <v>78.411360759147769</v>
      </c>
      <c r="GL15" s="280">
        <v>1</v>
      </c>
      <c r="GM15" s="280">
        <v>1</v>
      </c>
      <c r="GN15" s="280">
        <v>1.1000000000000001</v>
      </c>
      <c r="GO15" s="280">
        <f>1</f>
        <v>1</v>
      </c>
      <c r="GP15" s="280">
        <v>1</v>
      </c>
      <c r="GQ15" s="280">
        <f>1</f>
        <v>1</v>
      </c>
      <c r="GR15" s="280">
        <f>IF(INPUTS[Direction analysed ?]="up",TWO_LANE_HIGHWAY[fG_PTSF_O_DOWN '[20-8']],TWO_LANE_HIGHWAY[fG_PTSF_O_UP '[20-14']])</f>
        <v>1</v>
      </c>
      <c r="GS15" s="280">
        <f>IF(INPUTS[Direction analysed ?]="up",TWO_LANE_HIGHWAY[ET_PTSF_O_DOWN '[20-10']],TWO_LANE_HIGHWAY[ET_PTSF_O_UP '[20-16']])</f>
        <v>1</v>
      </c>
      <c r="GT15" s="280">
        <f>IF(INPUTS[Direction analysed ?]="up",TWO_LANE_HIGHWAY[ER_PTSF_O_DOWN '[20-10']],TWO_LANE_HIGHWAY[ER_PTSF_O_UP '[20-16']])</f>
        <v>1</v>
      </c>
      <c r="GU15" s="280">
        <f>1/(1+INPUTS[PT '[%']]*(TWO_LANE_HIGHWAY[ET_PTSF_O]-1)+INPUTS[PR '[%']]*(TWO_LANE_HIGHWAY[ER_PTSF_O]-1))</f>
        <v>1</v>
      </c>
      <c r="GV15" s="280">
        <f>TWO_LANE_HIGHWAY[Vo_ATS_init '[pc/h']]</f>
        <v>271.59090909090912</v>
      </c>
      <c r="GW15" s="280">
        <v>271.59090909090912</v>
      </c>
      <c r="GX15" s="280">
        <f>IFERROR(GENERAL[VO '[veh/h']]/(GENERAL[PHF]*TWO_LANE_HIGHWAY[FG_PTSF_O]*TWO_LANE_HIGHWAY[fHV_PTSF_O]),0)</f>
        <v>271.59090909090912</v>
      </c>
      <c r="GY15" s="416">
        <v>1.0000000000000095</v>
      </c>
      <c r="GZ15" s="416">
        <v>1.0000000000000002</v>
      </c>
      <c r="HA15" s="416">
        <v>1.1000000000000005</v>
      </c>
      <c r="HB15" s="416">
        <f>1</f>
        <v>1</v>
      </c>
      <c r="HC15" s="416">
        <v>1.0000000000000095</v>
      </c>
      <c r="HD15" s="416">
        <f>1</f>
        <v>1</v>
      </c>
      <c r="HE15" s="416">
        <f>IF(INPUTS[Direction analysed ?]="up",TWO_LANE_HIGHWAY[fG_PTSF_D_UP '[20-14']],TWO_LANE_HIGHWAY[fG_PTSF_D_DOWN '[20-8']])</f>
        <v>1.0000000000000002</v>
      </c>
      <c r="HF15" s="416">
        <f>IF(INPUTS[Direction analysed ?]="up",TWO_LANE_HIGHWAY[ET_PTSF_D_UP '[20-16']],TWO_LANE_HIGHWAY[ET_PTSF_D_DOWN '[20-10']])</f>
        <v>1.1000000000000005</v>
      </c>
      <c r="HG15" s="416">
        <f>IF(INPUTS[Direction analysed ?]="up",TWO_LANE_HIGHWAY[ER_PTSF_D_UP '[20-16']],TWO_LANE_HIGHWAY[ER_PTSF_D_DOWN  '[20-10']])</f>
        <v>1</v>
      </c>
      <c r="HH15" s="416">
        <f>1/(1+INPUTS[PT '[%']]*(TWO_LANE_HIGHWAY[ET_PTSF_D]-1)+INPUTS[PR '[%']]*(TWO_LANE_HIGHWAY[ER_PTSF_D]-1))</f>
        <v>0.9451795841209828</v>
      </c>
      <c r="HI15" s="416">
        <f>TWO_LANE_HIGHWAY[Vd_ATS_init '[pc/h']]</f>
        <v>331.81818181818181</v>
      </c>
      <c r="HJ15" s="416">
        <v>351.06363636363636</v>
      </c>
      <c r="HK15" s="416">
        <f>IFERROR(GENERAL[VD '[veh/h']]/(GENERAL[PHF]*TWO_LANE_HIGHWAY[FG_PTSF_D]*TWO_LANE_HIGHWAY[fHV_PTSF_D]),0)</f>
        <v>351.06363636363636</v>
      </c>
      <c r="HL15" s="416">
        <v>14.881442161363537</v>
      </c>
      <c r="HM15" s="416">
        <v>-2.8750000000000012E-2</v>
      </c>
      <c r="HN15" s="416">
        <v>0.60034659090909093</v>
      </c>
      <c r="HO15" s="416">
        <f>100*EXP(TWO_LANE_HIGHWAY[a '[20-21']]*TWO_LANE_HIGHWAY[Vd_PTSF '[pc/h']]^TWO_LANE_HIGHWAY[b '[20-21']])</f>
        <v>37.91001152565579</v>
      </c>
      <c r="HP15" s="416">
        <f>TWO_LANE_HIGHWAY[BPTSFd '[%']]+TWO_LANE_HIGHWAY[fnp_PTSF '[20-20']]</f>
        <v>52.791453687019327</v>
      </c>
      <c r="HQ15" s="416"/>
    </row>
    <row r="16" spans="2:225" s="294" customFormat="1">
      <c r="B16" s="383">
        <v>3</v>
      </c>
      <c r="C16" s="389"/>
      <c r="D16" s="384"/>
      <c r="E16" s="385">
        <v>24201</v>
      </c>
      <c r="F16" s="385">
        <v>24501</v>
      </c>
      <c r="G16" s="390">
        <v>300</v>
      </c>
      <c r="H16" s="383" t="s">
        <v>263</v>
      </c>
      <c r="I16" s="383" t="s">
        <v>379</v>
      </c>
      <c r="J16" s="383">
        <v>2</v>
      </c>
      <c r="K16" s="386">
        <v>4.5999999999999996</v>
      </c>
      <c r="L16" s="383" t="s">
        <v>143</v>
      </c>
      <c r="M16" s="386">
        <v>4.2</v>
      </c>
      <c r="N16" s="386">
        <v>1</v>
      </c>
      <c r="O16" s="383">
        <v>1</v>
      </c>
      <c r="P16" s="383" t="s">
        <v>366</v>
      </c>
      <c r="Q16" s="383" t="s">
        <v>144</v>
      </c>
      <c r="R16" s="392" t="s">
        <v>73</v>
      </c>
      <c r="S16" s="310">
        <v>1</v>
      </c>
      <c r="T16" s="313"/>
      <c r="U16" s="382">
        <v>24</v>
      </c>
      <c r="V16" s="399">
        <v>6473.9966140621727</v>
      </c>
      <c r="W16" s="399">
        <v>2824.5698392986178</v>
      </c>
      <c r="X16" s="313"/>
      <c r="Y16" s="50">
        <f t="shared" si="0"/>
        <v>1</v>
      </c>
      <c r="Z16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16" s="50" t="s">
        <v>644</v>
      </c>
      <c r="AB16" s="391" t="s">
        <v>654</v>
      </c>
      <c r="AC16" s="31">
        <v>3.5</v>
      </c>
      <c r="AD16" s="31">
        <v>2.5</v>
      </c>
      <c r="AE16" s="399"/>
      <c r="AF16" s="399"/>
      <c r="AG16" s="399">
        <v>0</v>
      </c>
      <c r="AH16" s="263">
        <v>0.53</v>
      </c>
      <c r="AI16" s="441">
        <v>0.03</v>
      </c>
      <c r="AJ16" s="435">
        <v>8.7999999999999995E-2</v>
      </c>
      <c r="AK16" s="400">
        <v>412</v>
      </c>
      <c r="AL16" s="263">
        <v>0.55000000000000004</v>
      </c>
      <c r="AM16" s="264">
        <v>226.60000000000002</v>
      </c>
      <c r="AN16" s="50">
        <v>2</v>
      </c>
      <c r="AO16" s="525" t="s">
        <v>73</v>
      </c>
      <c r="AP16" s="50">
        <v>88</v>
      </c>
      <c r="AQ16" s="263">
        <v>0.4</v>
      </c>
      <c r="AR16" s="50">
        <v>0.88</v>
      </c>
      <c r="AS16" s="411"/>
      <c r="AT16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16" s="412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16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16" s="23">
        <f>1/(1+(Tabela24[[#This Row],[Pt]])*(Tabela24[[#This Row],[Et]]-1)+(Tabela24[[#This Row],[PRv]])*(Tabela24[[#This Row],[Er]]-1))</f>
        <v>0.90415913200723341</v>
      </c>
      <c r="AX16" s="413">
        <f>Tabela24[veic/h]/Tabela24[PHF]</f>
        <v>468.18181818181819</v>
      </c>
      <c r="AY16" s="413">
        <v>641.87727272727273</v>
      </c>
      <c r="AZ16" s="414">
        <f>Tabela24[veic/h]/(Tabela24[PHF]*Tabela24[fg ats]*Tabela24[fhv ats])</f>
        <v>517.80909090909086</v>
      </c>
      <c r="BA16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16" s="322" t="str">
        <f>IF(AND(Tabela24[[#This Row],[vp1]]*Tabela24[[#This Row],[distrib. direc.]]&lt;1700,Tabela24[[#This Row],[vp1]]&lt;3200),"OK!","FAIL")</f>
        <v>OK!</v>
      </c>
      <c r="BC16" s="23">
        <f>INDEX('HCM2000'!$L$68:$AF$83,MATCH(Tabela24[[#This Row],[faixa (m)]],'HCM2000'!$K$68:$K$83),MATCH(Tabela24[[#This Row],[acost (m)]],'HCM2000'!$L$67:$AF$67))</f>
        <v>0.7</v>
      </c>
      <c r="BD16" s="23">
        <f>MIN(16,(2/3)*Tabela24[[#This Row],[acessos/km]])</f>
        <v>1.3333333333333333</v>
      </c>
      <c r="BE16" s="22">
        <f>Tabela24[BFFS]-Tabela24[fLS]-Tabela24[fA]</f>
        <v>85.966666666666669</v>
      </c>
      <c r="BF16" s="23">
        <v>3.1</v>
      </c>
      <c r="BG16" s="463">
        <f>IFERROR(Tabela24[[#This Row],[vp1]],0)</f>
        <v>517.80909090909086</v>
      </c>
      <c r="BH16" s="463">
        <f>IFERROR(Tabela24[[#This Row],[% zonas s/ultra]],0)</f>
        <v>0.4</v>
      </c>
      <c r="BI16" s="23" t="str">
        <f t="shared" si="5"/>
        <v>FNP</v>
      </c>
      <c r="BJ16" s="412">
        <v>4.0054772727272709</v>
      </c>
      <c r="BK16" s="43">
        <f>Tabela24[FFS]-0.0125*MAX(Tabela24[[#This Row],[vp1]],Tabela24[[#This Row],[vp1'']])-Tabela24[fnp'']</f>
        <v>73.93772348484849</v>
      </c>
      <c r="BL16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16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16" s="23">
        <v>1</v>
      </c>
      <c r="BO16" s="23">
        <f>1/(1+Tabela24[[#This Row],[Pt]]*(Tabela24[[#This Row],[Et time]]-1)+Tabela24[[#This Row],[PRv]]*(Tabela24[[#This Row],[Er time]]-1))</f>
        <v>0.94966761633428309</v>
      </c>
      <c r="BP16" s="23">
        <f>Tabela24[veic/h]/Tabela24[PHF]</f>
        <v>468.18181818181819</v>
      </c>
      <c r="BQ16" s="23">
        <v>492.99545454545449</v>
      </c>
      <c r="BR16" s="438">
        <f>Tabela24[veic/h]/(Tabela24[PHF]*Tabela24[fg time]*Tabela24[fhv follow])</f>
        <v>492.99545454545449</v>
      </c>
      <c r="BS16" s="438" t="str">
        <f>IF(AND(Tabela24[[#This Row],[vp2]]*Tabela24[[#This Row],[distrib. direc.]]&lt;1700,Tabela24[[#This Row],[vp2]]&lt;3200),"OK!","FAIL")</f>
        <v>OK!</v>
      </c>
      <c r="BT16" s="23">
        <f>100*(1-EXP(-0.000879*MAX(Tabela24[[#This Row],[vp2]],Tabela24[[#This Row],[vp2'']])))</f>
        <v>35.16619292438191</v>
      </c>
      <c r="BU16" s="304" t="e">
        <v>#DIV/0!</v>
      </c>
      <c r="BV16" s="304">
        <f>IF(TYPE(Tabela24[distrib. direc.])&lt;&gt;1,0,Tabela24[distrib. direc.])</f>
        <v>0.55000000000000004</v>
      </c>
      <c r="BW16" s="304">
        <f>IF(TYPE(Tabela24[vp2])&lt;&gt;1,0,Tabela24[vp2])</f>
        <v>492.99545454545449</v>
      </c>
      <c r="BX16" s="304">
        <f>IF(TYPE(Tabela24[% zonas s/ultra])&lt;&gt;1,0,Tabela24[% zonas s/ultra])</f>
        <v>0.4</v>
      </c>
      <c r="BY16" s="304" t="str">
        <f t="shared" si="6"/>
        <v>FDNP</v>
      </c>
      <c r="BZ16" s="304">
        <v>15.735022727272536</v>
      </c>
      <c r="CA16" s="305">
        <f>Tabela24[BPTSF]+Tabela24[fd/np'']</f>
        <v>50.901215651654447</v>
      </c>
      <c r="CB16" s="415">
        <f>Tabela24[vp1]/3200</f>
        <v>0.16181534090909089</v>
      </c>
      <c r="CC16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16" s="332">
        <f>VLOOKUP(Tabela24[faixa (m)],'HCM2000'!$B$541:$C$547,2,TRUE)</f>
        <v>1</v>
      </c>
      <c r="CE16" s="332">
        <f>IF(Tabela24[acost (m)]&gt;0,1.8,1.2)</f>
        <v>1.8</v>
      </c>
      <c r="CF16" s="332">
        <f>IF(Tabela24[Separador]=$CB$6,$CD$6,IF(Tabela24[Separador]=$CB$7,$CD$7,$CD$8))</f>
        <v>0</v>
      </c>
      <c r="CG16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16" s="332">
        <f>IF(Tabela24[Separador]="Sinalização horizontal",'HCM2000'!$C$590,'HCM2000'!$C$591)</f>
        <v>2.6</v>
      </c>
      <c r="CI16" s="332">
        <f>MIN((2/3)*Tabela24[[#This Row],[acessos/km]],16)</f>
        <v>1.3333333333333333</v>
      </c>
      <c r="CJ16" s="332">
        <f>IF(Tabela24[fLC]="Pista simples","-",Tabela24[BFFS]-Tabela24[fLW]-Tabela24[fLC]-Tabela24[fM]-Tabela24[fA2])</f>
        <v>80.966666666666683</v>
      </c>
      <c r="CK16" s="332">
        <f>IF(Tabela24[plano/ondulado]="Montanhoso",Tabela24[Para PT&lt;],VLOOKUP(Tabela24[plano/ondulado],'HCM2000'!$B$606:$C$608,2,FALSE))</f>
        <v>1.5</v>
      </c>
      <c r="CL16" s="332">
        <f>IF(Tabela24[[#This Row],[plano/ondulado]]="Montanhoso",Tabela24[[#This Row],[Para PT&lt;]],VLOOKUP(Tabela24[[#This Row],[plano/ondulado]],'HCM2000'!$E$606:$F$608,2,FALSE))</f>
        <v>1.2</v>
      </c>
      <c r="CM16" s="433">
        <f>1/(1+(Tabela24[Pt]*(Tabela24[Et2]-1))+(Tabela24[PRv]*(Tabela24[Er2]-1)))</f>
        <v>0.78678206136900075</v>
      </c>
      <c r="CN16" s="329">
        <f>K16+IF(Tabela24[[#This Row],[Num. Faixas Marg.]]="-",0,Tabela24[[#This Row],[Num. Faixas Marg.]])</f>
        <v>4.5999999999999996</v>
      </c>
      <c r="CO16" s="331">
        <f>Tabela24[[#This Row],[Vzão]]/(Tabela24[[#This Row],[PHF]]*Tabela24[[#This Row],[N]]*Tabela24[[#This Row],[fHV]])</f>
        <v>71.148369565217408</v>
      </c>
      <c r="CP16" s="332">
        <f>IF(Tabela24[fLC]="Pista simples","-",Tabela24[vp3]/Tabela24[S])</f>
        <v>0.87873655288452934</v>
      </c>
      <c r="CQ16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16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16" s="308" t="str">
        <f>IF(Tabela24[LOS_vp3]="F","F",VLOOKUP(Tabela24[LOS_vp3],'HCM2000'!$R$655:$S$659,2))</f>
        <v>A</v>
      </c>
      <c r="CT16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16" s="308" t="str">
        <f>IF(Tabela24[[#This Row],[LOS_vp3]]="F","F",IF(Tabela24[[#This Row],[fLC]]="Pista simples","-",VLOOKUP(Tabela24[[#This Row],[LOS_D3]],'HCM2000'!$R$655:$S$659,2)))</f>
        <v>A</v>
      </c>
      <c r="CV16" s="280" t="str">
        <f>IF(OR(Tabela24[[#This Row],[LOS_vp3]]="F",Tabela24[[#This Row],[LOS_D3]]="F"),"F",IF(Tabela24[[#This Row],[Pista]]="Pista Simples","-",VLOOKUP(MINA(Tabela24[LOS_vp],Tabela24[LOS_D]),'HCM2000'!$R$655:$S$659,2)))</f>
        <v>-</v>
      </c>
      <c r="CW16" s="381">
        <v>8</v>
      </c>
      <c r="CX16" s="381">
        <v>1.3</v>
      </c>
      <c r="CY16" s="22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3.5</v>
      </c>
      <c r="CZ16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#REF!</v>
      </c>
      <c r="DA16" s="22">
        <f>ABS(INDEX('HCM2000'!$E$611:$M$611,1,MATCH(Tabela24[Pt]*100,'HCM2000'!$E$611:$M$611,1))-Tabela24[Pt]*100)</f>
        <v>28</v>
      </c>
      <c r="DB16" s="22" t="e">
        <f>INDEX('HCM2000'!$E$611:$M$611,1,MATCH(Tabela24[[#This Row],[Pt]]*100,'HCM2000'!$E$611:$M$611,1)+1)-Tabela24[[#This Row],[Pt]]*100</f>
        <v>#REF!</v>
      </c>
      <c r="DC16" s="22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3.5</v>
      </c>
      <c r="DD16" s="440">
        <v>3.2</v>
      </c>
      <c r="DE16" s="433">
        <f>1/(1+(Tabela24[Pt]*(Tabela24[ETsu]-1))+(Tabela24[PRv]*(Tabela24[ERsu]-1)))</f>
        <v>0.41823504809703055</v>
      </c>
      <c r="DF16" s="331">
        <f>Tabela24[Vzão]/(Tabela24[PHF]*Tabela24[N]*Tabela24[fHVsu])</f>
        <v>133.84402173913045</v>
      </c>
      <c r="DG16" s="332">
        <f>IF(Tabela24[fLC]="Pista simples","-",Tabela24[vpsu]/Tabela24[S])</f>
        <v>1.6530756081407627</v>
      </c>
      <c r="DH16" s="332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80.966666666666683</v>
      </c>
      <c r="DI16" s="329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5</v>
      </c>
      <c r="DJ16" s="308" t="str">
        <f>IF(Tabela24[[#This Row],[LOS_vp3]]="F","F",VLOOKUP(Tabela24[[#This Row],[LOS_vp3]],'HCM2000'!$R$655:$S$659,2))</f>
        <v>A</v>
      </c>
      <c r="DK16" s="329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5</v>
      </c>
      <c r="DL16" s="308" t="str">
        <f>IF(Tabela24[[#This Row],[LOS_vp3]]="F","F",IF(Tabela24[[#This Row],[fLC]]="Pista simples","-",VLOOKUP(Tabela24[[#This Row],[LOS_D3]],'HCM2000'!$R$655:$S$659,2)))</f>
        <v>A</v>
      </c>
      <c r="DM16" s="280" t="str">
        <f>IF(OR(Tabela24[[#This Row],[LOS_vp3]]="F",Tabela24[[#This Row],[LOS_D3]]="F"),"F",IF(Tabela24[[#This Row],[Pista]]="Pista Simples","-",VLOOKUP(MINA(Tabela24[LOS_vp3],Tabela24[LOS_D3]),'HCM2000'!$R$655:$S$659,2)))</f>
        <v>-</v>
      </c>
      <c r="DN16" s="416"/>
      <c r="DO16" s="22">
        <f>Tabela24[[#This Row],[ATS]]</f>
        <v>73.93772348484849</v>
      </c>
      <c r="DP16" s="416">
        <v>74.3</v>
      </c>
      <c r="DQ16" s="22">
        <f t="shared" si="11"/>
        <v>0.36227651515150683</v>
      </c>
      <c r="DR16" s="22">
        <f>Tabela24[[#This Row],[PTSF]]</f>
        <v>50.901215651654447</v>
      </c>
      <c r="DS16" s="416">
        <v>51.8</v>
      </c>
      <c r="DT16" s="22">
        <f t="shared" si="12"/>
        <v>0.89878434834555065</v>
      </c>
      <c r="DU16" s="22"/>
      <c r="DV16" s="22">
        <v>74.289771212121238</v>
      </c>
      <c r="DW16" s="416">
        <v>74.3</v>
      </c>
      <c r="DX16" s="22">
        <v>1.0228787878759249E-2</v>
      </c>
      <c r="DY16" s="22">
        <v>50.901215651654447</v>
      </c>
      <c r="DZ16" s="416">
        <v>51.8</v>
      </c>
      <c r="EA16" s="22">
        <v>0.89878434834555065</v>
      </c>
      <c r="EC16" s="507">
        <v>5</v>
      </c>
      <c r="ED16" s="507">
        <v>0.81</v>
      </c>
      <c r="EE16" s="507" t="s">
        <v>579</v>
      </c>
      <c r="EF16" s="507" t="str">
        <f t="shared" si="7"/>
        <v>level</v>
      </c>
      <c r="EG16" s="507">
        <v>3.4</v>
      </c>
      <c r="EH16" s="507">
        <v>1.8</v>
      </c>
      <c r="EI16" s="507" t="s">
        <v>552</v>
      </c>
      <c r="EJ16" s="507">
        <v>2</v>
      </c>
      <c r="EK16" s="507">
        <v>0.47</v>
      </c>
      <c r="EL16" s="508">
        <v>1858.5</v>
      </c>
      <c r="EM16" s="508">
        <v>2566.5</v>
      </c>
      <c r="EN16" s="507">
        <f t="shared" si="8"/>
        <v>0.54990583804143123</v>
      </c>
      <c r="EO16" s="507">
        <f>70</f>
        <v>70</v>
      </c>
      <c r="EP16" s="507">
        <v>0.57999999999999996</v>
      </c>
      <c r="EQ16" s="507">
        <v>0.57999999999999996</v>
      </c>
      <c r="ER16" s="507">
        <v>0.03</v>
      </c>
      <c r="ET16" s="517">
        <f t="shared" si="9"/>
        <v>0.88</v>
      </c>
      <c r="EU16" s="280">
        <f>(INPUTS[Cars '[VDMA']]+INPUTS[Trucks '[VDMA']])*GENERAL[VDMA to veh/h ]*INPUTS[Direction Split '[%']]</f>
        <v>292</v>
      </c>
      <c r="EV16" s="280">
        <f>(INPUTS[Cars '[VDMA']]+INPUTS[Trucks '[VDMA']])*GENERAL[VDMA to veh/h ]*(1-INPUTS[Direction Split '[%']])</f>
        <v>239.00000000000003</v>
      </c>
      <c r="EW16" s="517">
        <f>88</f>
        <v>88</v>
      </c>
      <c r="EX16" s="280">
        <f>INDEX('HCM2000'!$L$68:$AF$83,MATCH(INPUTS[Lane width '[m']],'HCM2000'!$K$68:$K$83),MATCH(INPUTS[Shoulder width '[m']],'HCM2000'!$L$67:$AF$67)+1)</f>
        <v>0.7</v>
      </c>
      <c r="EY16" s="280">
        <f>MIN(16,2/3*INPUTS[Access points /km '[1']])</f>
        <v>1.3333333333333333</v>
      </c>
      <c r="EZ16" s="280">
        <f>GENERAL[BFFS  '[km/h']]-GENERAL[fLS '[20-5']]-GENERAL[fA '[20-6']]</f>
        <v>85.966666666666669</v>
      </c>
      <c r="FA16" s="280">
        <f t="shared" si="10"/>
        <v>0.12</v>
      </c>
      <c r="FB16" s="280">
        <f>GENERAL[FFS  '[km/h']] - INPUTS[Truck crawl speed '[km/h']]</f>
        <v>15.966666666666669</v>
      </c>
      <c r="FC16" s="280"/>
      <c r="FD16" s="280">
        <f>IF(INPUTS[Type of terrain]="level",0,1)</f>
        <v>0</v>
      </c>
      <c r="FE16" s="280">
        <v>0.92900000000000038</v>
      </c>
      <c r="FF16" s="280">
        <v>1.0000000000000002</v>
      </c>
      <c r="FG16" s="280">
        <v>2.8000000000000003</v>
      </c>
      <c r="FH16" s="280">
        <v>1.2000000000000002</v>
      </c>
      <c r="FI16" s="280">
        <v>1.0000000000000002</v>
      </c>
      <c r="FJ16" s="280">
        <v>6.0375000000000139</v>
      </c>
      <c r="FK16" s="280">
        <v>1</v>
      </c>
      <c r="FL16" s="280">
        <f>IF(INPUTS[Direction analysed ?]="up",TWO_LANE_HIGHWAY[fG_ATS_O_DOWN '[20-7']],TWO_LANE_HIGHWAY[fG_ATS_O_UP '[20-13']])</f>
        <v>1.0000000000000002</v>
      </c>
      <c r="FM16" s="280">
        <f>IF(INPUTS[Direction analysed ?]="up",TWO_LANE_HIGHWAY[ET_ATS_O_DOWN '[20-9']],TWO_LANE_HIGHWAY[ET_ATS_O_UP '[20-15']])</f>
        <v>1.2000000000000002</v>
      </c>
      <c r="FN16" s="280">
        <f>IF(INPUTS[Direction analysed ?]="up",TWO_LANE_HIGHWAY[ER_ATS_O_DOWN '[20-9']],TWO_LANE_HIGHWAY[ER_ATS_O_UP '[20-17']])</f>
        <v>1.0000000000000002</v>
      </c>
      <c r="FO16" s="280">
        <f>IF(INPUTS[Direction analysed ?]="up",1,0)*INPUTS[PTC '[%']]</f>
        <v>0.57999999999999996</v>
      </c>
      <c r="FP16" s="280">
        <f>1/(1+TWO_LANE_HIGHWAY[PTC_O'' '[%']]*INPUTS[PT '[%']]*(TWO_LANE_HIGHWAY[ETC_ATS_O '[20-18']]-1)+(1-TWO_LANE_HIGHWAY[PTC_O'' '[%']])*INPUTS[PT '[%']]*(TWO_LANE_HIGHWAY[ET_ATS_O]-1)+INPUTS[PR '[%']]*(TWO_LANE_HIGHWAY[ER_ATS_O]-1))</f>
        <v>0.60450720572589223</v>
      </c>
      <c r="FQ16" s="518">
        <f>GENERAL[VO '[veh/h']]/GENERAL[PHF]</f>
        <v>271.59090909090912</v>
      </c>
      <c r="FR16" s="280">
        <v>449.27654545454544</v>
      </c>
      <c r="FS16" s="280">
        <f>IFERROR(GENERAL[VO '[veh/h']]/(GENERAL[PHF]*TWO_LANE_HIGHWAY[fG_ATS_O]*TWO_LANE_HIGHWAY[fHV_ATS_O '[(20-14)']]),0)</f>
        <v>449.27654545454544</v>
      </c>
      <c r="FT16" s="280">
        <v>0.99999999999999034</v>
      </c>
      <c r="FU16" s="280">
        <v>1</v>
      </c>
      <c r="FV16" s="280">
        <v>1.4</v>
      </c>
      <c r="FW16" s="280">
        <v>1.1000000000000001</v>
      </c>
      <c r="FX16" s="280">
        <v>1</v>
      </c>
      <c r="FY16" s="280">
        <v>5.1599999999999433</v>
      </c>
      <c r="FZ16" s="280">
        <v>0.99999999999999034</v>
      </c>
      <c r="GA16" s="280">
        <f>IF(INPUTS[Direction analysed ?]="up",TWO_LANE_HIGHWAY[fG_ATS_D_UP '[20-13']],TWO_LANE_HIGHWAY[fG_ATS_D_DOWN '[20-7']])</f>
        <v>0.99999999999999034</v>
      </c>
      <c r="GB16" s="280">
        <f>IF(INPUTS[Direction analysed ?]="up",TWO_LANE_HIGHWAY[ET_ATS_D_UP '[20-15']],TWO_LANE_HIGHWAY[ET_ATS_D_DOWN '[20-9']])</f>
        <v>5.1599999999999433</v>
      </c>
      <c r="GC16" s="280">
        <f>IF(INPUTS[Direction analysed ?]="up",TWO_LANE_HIGHWAY[ER_ATS_D_UP '[20-17']],TWO_LANE_HIGHWAY[ER_ATS_D_DOWN '[20-9']])</f>
        <v>0.99999999999999034</v>
      </c>
      <c r="GD16" s="280">
        <f>IF(INPUTS[Direction analysed ?]="up",0,1)*INPUTS[PTC '[%']]</f>
        <v>0</v>
      </c>
      <c r="GE16" s="280">
        <f>1/(1+TWO_LANE_HIGHWAY[PTC_D'' '[%']]*INPUTS[PT '[%']]*(TWO_LANE_HIGHWAY[ETC_ATS_D '[20-18']]-1)+(1-TWO_LANE_HIGHWAY[PTC_D'' '[%']])*INPUTS[PT '[%']]*(TWO_LANE_HIGHWAY[ET_ATS_D]-1)+INPUTS[PR '[%']]*(TWO_LANE_HIGHWAY[ER_ATS_D]-1))</f>
        <v>0.29301453352086548</v>
      </c>
      <c r="GF16" s="280">
        <f>GENERAL[VD '[veh/h']]/GENERAL[PHF]</f>
        <v>331.81818181818181</v>
      </c>
      <c r="GG16" s="280">
        <v>1132.429090909091</v>
      </c>
      <c r="GH16" s="280">
        <f>IFERROR(GENERAL[VD '[veh/h']]/(GENERAL[PHF]*TWO_LANE_HIGHWAY[fG_ATS_D]*TWO_LANE_HIGHWAY[fHV_ATS_D '[(20-14)']]),0)</f>
        <v>1132.429090909091</v>
      </c>
      <c r="GI16" s="280">
        <v>2.9332054738636018</v>
      </c>
      <c r="GJ16" s="280">
        <f>GENERAL[[#This Row],[FFS  '[km/h']]]</f>
        <v>85.966666666666669</v>
      </c>
      <c r="GK16" s="280">
        <f>TWO_LANE_HIGHWAY[FFSd '[km/h']]-0.0125*(GENERAL[VD '[veh/h']]+GENERAL[VO '[veh/h']])-TWO_LANE_HIGHWAY[fnp_ATS '[20-19']]</f>
        <v>76.395961192803071</v>
      </c>
      <c r="GL16" s="280">
        <v>1.0000000000000036</v>
      </c>
      <c r="GM16" s="280">
        <v>1</v>
      </c>
      <c r="GN16" s="280">
        <v>1.1000000000000001</v>
      </c>
      <c r="GO16" s="280">
        <f>1</f>
        <v>1</v>
      </c>
      <c r="GP16" s="280">
        <v>1.0000000000000036</v>
      </c>
      <c r="GQ16" s="280">
        <f>1</f>
        <v>1</v>
      </c>
      <c r="GR16" s="280">
        <f>IF(INPUTS[Direction analysed ?]="up",TWO_LANE_HIGHWAY[fG_PTSF_O_DOWN '[20-8']],TWO_LANE_HIGHWAY[fG_PTSF_O_UP '[20-14']])</f>
        <v>1</v>
      </c>
      <c r="GS16" s="280">
        <f>IF(INPUTS[Direction analysed ?]="up",TWO_LANE_HIGHWAY[ET_PTSF_O_DOWN '[20-10']],TWO_LANE_HIGHWAY[ET_PTSF_O_UP '[20-16']])</f>
        <v>1.1000000000000001</v>
      </c>
      <c r="GT16" s="280">
        <f>IF(INPUTS[Direction analysed ?]="up",TWO_LANE_HIGHWAY[ER_PTSF_O_DOWN '[20-10']],TWO_LANE_HIGHWAY[ER_PTSF_O_UP '[20-16']])</f>
        <v>1</v>
      </c>
      <c r="GU16" s="280">
        <f>1/(1+INPUTS[PT '[%']]*(TWO_LANE_HIGHWAY[ET_PTSF_O]-1)+INPUTS[PR '[%']]*(TWO_LANE_HIGHWAY[ER_PTSF_O]-1))</f>
        <v>0.94517958412098291</v>
      </c>
      <c r="GV16" s="280">
        <f>TWO_LANE_HIGHWAY[Vo_ATS_init '[pc/h']]</f>
        <v>271.59090909090912</v>
      </c>
      <c r="GW16" s="280">
        <v>287.34318181818185</v>
      </c>
      <c r="GX16" s="280">
        <f>IFERROR(GENERAL[VO '[veh/h']]/(GENERAL[PHF]*TWO_LANE_HIGHWAY[FG_PTSF_O]*TWO_LANE_HIGHWAY[fHV_PTSF_O]),0)</f>
        <v>287.34318181818185</v>
      </c>
      <c r="GY16" s="416">
        <v>1</v>
      </c>
      <c r="GZ16" s="416">
        <v>1.0000000000000002</v>
      </c>
      <c r="HA16" s="416">
        <v>1.1000000000000005</v>
      </c>
      <c r="HB16" s="416">
        <f>1</f>
        <v>1</v>
      </c>
      <c r="HC16" s="416">
        <v>1</v>
      </c>
      <c r="HD16" s="416">
        <f>1</f>
        <v>1</v>
      </c>
      <c r="HE16" s="416">
        <f>IF(INPUTS[Direction analysed ?]="up",TWO_LANE_HIGHWAY[fG_PTSF_D_UP '[20-14']],TWO_LANE_HIGHWAY[fG_PTSF_D_DOWN '[20-8']])</f>
        <v>1</v>
      </c>
      <c r="HF16" s="416">
        <f>IF(INPUTS[Direction analysed ?]="up",TWO_LANE_HIGHWAY[ET_PTSF_D_UP '[20-16']],TWO_LANE_HIGHWAY[ET_PTSF_D_DOWN '[20-10']])</f>
        <v>1</v>
      </c>
      <c r="HG16" s="416">
        <f>IF(INPUTS[Direction analysed ?]="up",TWO_LANE_HIGHWAY[ER_PTSF_D_UP '[20-16']],TWO_LANE_HIGHWAY[ER_PTSF_D_DOWN  '[20-10']])</f>
        <v>1</v>
      </c>
      <c r="HH16" s="416">
        <f>1/(1+INPUTS[PT '[%']]*(TWO_LANE_HIGHWAY[ET_PTSF_D]-1)+INPUTS[PR '[%']]*(TWO_LANE_HIGHWAY[ER_PTSF_D]-1))</f>
        <v>1</v>
      </c>
      <c r="HI16" s="416">
        <f>TWO_LANE_HIGHWAY[Vd_ATS_init '[pc/h']]</f>
        <v>331.81818181818181</v>
      </c>
      <c r="HJ16" s="416">
        <v>331.81818181818181</v>
      </c>
      <c r="HK16" s="416">
        <f>IFERROR(GENERAL[VD '[veh/h']]/(GENERAL[PHF]*TWO_LANE_HIGHWAY[FG_PTSF_D]*TWO_LANE_HIGHWAY[fHV_PTSF_D]),0)</f>
        <v>331.81818181818181</v>
      </c>
      <c r="HL16" s="416">
        <v>15.565764015151466</v>
      </c>
      <c r="HM16" s="416">
        <v>-3.2215500000000008E-2</v>
      </c>
      <c r="HN16" s="416">
        <v>0.58546069318181815</v>
      </c>
      <c r="HO16" s="416">
        <f>100*EXP(TWO_LANE_HIGHWAY[a '[20-21']]*TWO_LANE_HIGHWAY[Vd_PTSF '[pc/h']]^TWO_LANE_HIGHWAY[b '[20-21']])</f>
        <v>38.146950230660593</v>
      </c>
      <c r="HP16" s="416">
        <f>TWO_LANE_HIGHWAY[BPTSFd '[%']]+TWO_LANE_HIGHWAY[fnp_PTSF '[20-20']]</f>
        <v>53.712714245812059</v>
      </c>
      <c r="HQ16" s="416"/>
    </row>
    <row r="17" spans="2:225" s="294" customFormat="1">
      <c r="B17" s="383">
        <v>4</v>
      </c>
      <c r="C17" s="389"/>
      <c r="D17" s="384"/>
      <c r="E17" s="385">
        <v>24201</v>
      </c>
      <c r="F17" s="385">
        <v>24501</v>
      </c>
      <c r="G17" s="390">
        <v>300</v>
      </c>
      <c r="H17" s="383" t="s">
        <v>263</v>
      </c>
      <c r="I17" s="383" t="s">
        <v>379</v>
      </c>
      <c r="J17" s="383">
        <v>2</v>
      </c>
      <c r="K17" s="386">
        <v>4.5999999999999996</v>
      </c>
      <c r="L17" s="383" t="s">
        <v>143</v>
      </c>
      <c r="M17" s="386">
        <v>4.2</v>
      </c>
      <c r="N17" s="386">
        <v>1</v>
      </c>
      <c r="O17" s="383">
        <v>1</v>
      </c>
      <c r="P17" s="383" t="s">
        <v>366</v>
      </c>
      <c r="Q17" s="383" t="s">
        <v>144</v>
      </c>
      <c r="R17" s="392" t="s">
        <v>73</v>
      </c>
      <c r="S17" s="310">
        <v>2</v>
      </c>
      <c r="T17" s="420"/>
      <c r="U17" s="382">
        <v>24</v>
      </c>
      <c r="V17" s="399">
        <v>6473.9966140621727</v>
      </c>
      <c r="W17" s="399">
        <v>2824.5698392986178</v>
      </c>
      <c r="X17" s="420"/>
      <c r="Y17" s="398">
        <f t="shared" si="0"/>
        <v>1</v>
      </c>
      <c r="Z17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17" s="182" t="s">
        <v>644</v>
      </c>
      <c r="AB17" s="391" t="s">
        <v>654</v>
      </c>
      <c r="AC17" s="31">
        <v>3.5</v>
      </c>
      <c r="AD17" s="31">
        <v>2.5</v>
      </c>
      <c r="AE17" s="399"/>
      <c r="AF17" s="399"/>
      <c r="AG17" s="421">
        <v>0</v>
      </c>
      <c r="AH17" s="441">
        <v>0.67</v>
      </c>
      <c r="AI17" s="25">
        <v>0.03</v>
      </c>
      <c r="AJ17" s="435">
        <v>8.7999999999999995E-2</v>
      </c>
      <c r="AK17" s="330">
        <v>359</v>
      </c>
      <c r="AL17" s="263">
        <v>0.55000000000000004</v>
      </c>
      <c r="AM17" s="414">
        <v>197.45000000000002</v>
      </c>
      <c r="AN17" s="417">
        <v>2</v>
      </c>
      <c r="AO17" s="467" t="s">
        <v>73</v>
      </c>
      <c r="AP17" s="439">
        <v>88</v>
      </c>
      <c r="AQ17" s="442">
        <v>0.32</v>
      </c>
      <c r="AR17" s="422">
        <v>0.88</v>
      </c>
      <c r="AS17" s="316"/>
      <c r="AT17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17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17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17" s="23">
        <f>1/(1+(Tabela24[[#This Row],[Pt]])*(Tabela24[[#This Row],[Et]]-1)+(Tabela24[[#This Row],[PRv]])*(Tabela24[[#This Row],[Er]]-1))</f>
        <v>0.68073519400953031</v>
      </c>
      <c r="AX17" s="423">
        <f>Tabela24[veic/h]/Tabela24[PHF]</f>
        <v>407.95454545454544</v>
      </c>
      <c r="AY17" s="423">
        <v>599.2852272727273</v>
      </c>
      <c r="AZ17" s="21">
        <f>Tabela24[veic/h]/(Tabela24[PHF]*Tabela24[fg ats]*Tabela24[fhv ats])</f>
        <v>599.2852272727273</v>
      </c>
      <c r="BA17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17" s="322" t="str">
        <f>IF(AND(Tabela24[[#This Row],[vp1]]*Tabela24[[#This Row],[distrib. direc.]]&lt;1700,Tabela24[[#This Row],[vp1]]&lt;3200),"OK!","FAIL")</f>
        <v>OK!</v>
      </c>
      <c r="BC17" s="23">
        <f>INDEX('HCM2000'!$L$68:$AF$83,MATCH(Tabela24[[#This Row],[faixa (m)]],'HCM2000'!$K$68:$K$83),MATCH(Tabela24[[#This Row],[acost (m)]],'HCM2000'!$L$67:$AF$67))</f>
        <v>0.7</v>
      </c>
      <c r="BD17" s="23">
        <f>MIN(16,(2/3)*Tabela24[[#This Row],[acessos/km]])</f>
        <v>1.3333333333333333</v>
      </c>
      <c r="BE17" s="22">
        <f>Tabela24[BFFS]-Tabela24[fLS]-Tabela24[fA]</f>
        <v>85.966666666666669</v>
      </c>
      <c r="BF17" s="23">
        <v>2.2000000000000002</v>
      </c>
      <c r="BG17" s="463">
        <f>IFERROR(Tabela24[[#This Row],[vp1]],0)</f>
        <v>599.2852272727273</v>
      </c>
      <c r="BH17" s="463">
        <f>IFERROR(Tabela24[[#This Row],[% zonas s/ultra]],0)</f>
        <v>0.32</v>
      </c>
      <c r="BI17" s="23" t="str">
        <f t="shared" si="5"/>
        <v>FNP</v>
      </c>
      <c r="BJ17" s="23">
        <v>3.281358068181822</v>
      </c>
      <c r="BK17" s="43">
        <f>Tabela24[FFS]-0.0125*MAX(Tabela24[[#This Row],[vp1]],Tabela24[[#This Row],[vp1'']])-Tabela24[fnp'']</f>
        <v>75.194243257575764</v>
      </c>
      <c r="BL17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17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17" s="23">
        <v>1</v>
      </c>
      <c r="BO17" s="23">
        <f>1/(1+Tabela24[[#This Row],[Pt]]*(Tabela24[[#This Row],[Et time]]-1)+Tabela24[[#This Row],[PRv]]*(Tabela24[[#This Row],[Er time]]-1))</f>
        <v>0.93720712277413298</v>
      </c>
      <c r="BP17" s="23">
        <f>Tabela24[veic/h]/Tabela24[PHF]</f>
        <v>407.95454545454544</v>
      </c>
      <c r="BQ17" s="23">
        <v>435.28750000000002</v>
      </c>
      <c r="BR17" s="438">
        <f>Tabela24[veic/h]/(Tabela24[PHF]*Tabela24[fg time]*Tabela24[fhv follow])</f>
        <v>435.28750000000002</v>
      </c>
      <c r="BS17" s="438" t="str">
        <f>IF(AND(Tabela24[[#This Row],[vp2]]*Tabela24[[#This Row],[distrib. direc.]]&lt;1700,Tabela24[[#This Row],[vp2]]&lt;3200),"OK!","FAIL")</f>
        <v>OK!</v>
      </c>
      <c r="BT17" s="23">
        <f>100*(1-EXP(-0.000879*MAX(Tabela24[[#This Row],[vp2]],Tabela24[[#This Row],[vp2'']])))</f>
        <v>31.79264023375833</v>
      </c>
      <c r="BU17" s="304" t="e">
        <v>#DIV/0!</v>
      </c>
      <c r="BV17" s="304">
        <f>IF(TYPE(Tabela24[distrib. direc.])&lt;&gt;1,0,Tabela24[distrib. direc.])</f>
        <v>0.55000000000000004</v>
      </c>
      <c r="BW17" s="304">
        <f>IF(TYPE(Tabela24[vp2])&lt;&gt;1,0,Tabela24[vp2])</f>
        <v>435.28750000000002</v>
      </c>
      <c r="BX17" s="304">
        <f>IF(TYPE(Tabela24[% zonas s/ultra])&lt;&gt;1,0,Tabela24[% zonas s/ultra])</f>
        <v>0.32</v>
      </c>
      <c r="BY17" s="304" t="str">
        <f t="shared" si="6"/>
        <v>FDNP</v>
      </c>
      <c r="BZ17" s="31">
        <v>14.280022499999937</v>
      </c>
      <c r="CA17" s="305">
        <f>Tabela24[BPTSF]+Tabela24[fd/np'']</f>
        <v>46.072662733758264</v>
      </c>
      <c r="CB17" s="424">
        <f>Tabela24[vp1]/3200</f>
        <v>0.18727663352272728</v>
      </c>
      <c r="CC17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17" s="332">
        <f>VLOOKUP(Tabela24[faixa (m)],'HCM2000'!$B$541:$C$547,2,TRUE)</f>
        <v>1</v>
      </c>
      <c r="CE17" s="332">
        <f>IF(Tabela24[acost (m)]&gt;0,1.8,1.2)</f>
        <v>1.8</v>
      </c>
      <c r="CF17" s="332">
        <f>IF(Tabela24[Separador]=$CB$6,$CD$6,IF(Tabela24[Separador]=$CB$7,$CD$7,$CD$8))</f>
        <v>0</v>
      </c>
      <c r="CG17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17" s="332">
        <f>IF(Tabela24[Separador]="Sinalização horizontal",'HCM2000'!$C$590,'HCM2000'!$C$591)</f>
        <v>2.6</v>
      </c>
      <c r="CI17" s="332">
        <f>MIN((2/3)*Tabela24[[#This Row],[acessos/km]],16)</f>
        <v>1.3333333333333333</v>
      </c>
      <c r="CJ17" s="332">
        <f>IF(Tabela24[fLC]="Pista simples","-",Tabela24[BFFS]-Tabela24[fLW]-Tabela24[fLC]-Tabela24[fM]-Tabela24[fA2])</f>
        <v>80.966666666666683</v>
      </c>
      <c r="CK17" s="332">
        <f>IF(Tabela24[plano/ondulado]="Montanhoso",Tabela24[Para PT&lt;],VLOOKUP(Tabela24[plano/ondulado],'HCM2000'!$B$606:$C$608,2,FALSE))</f>
        <v>1.5</v>
      </c>
      <c r="CL17" s="332">
        <f>IF(Tabela24[[#This Row],[plano/ondulado]]="Montanhoso",Tabela24[[#This Row],[Para PT&lt;]],VLOOKUP(Tabela24[[#This Row],[plano/ondulado]],'HCM2000'!$E$606:$F$608,2,FALSE))</f>
        <v>1.2</v>
      </c>
      <c r="CM17" s="433">
        <f>1/(1+(Tabela24[Pt]*(Tabela24[Et2]-1))+(Tabela24[PRv]*(Tabela24[Er2]-1)))</f>
        <v>0.74571215510812827</v>
      </c>
      <c r="CN17" s="329">
        <f>K17+IF(Tabela24[[#This Row],[Num. Faixas Marg.]]="-",0,Tabela24[[#This Row],[Num. Faixas Marg.]])</f>
        <v>4.5999999999999996</v>
      </c>
      <c r="CO17" s="331">
        <f>Tabela24[[#This Row],[Vzão]]/(Tabela24[[#This Row],[PHF]]*Tabela24[[#This Row],[N]]*Tabela24[[#This Row],[fHV]])</f>
        <v>65.410190217391303</v>
      </c>
      <c r="CP17" s="332">
        <f>IF(Tabela24[fLC]="Pista simples","-",Tabela24[vp3]/Tabela24[S])</f>
        <v>0.8078656675676158</v>
      </c>
      <c r="CQ17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17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17" s="308" t="str">
        <f>IF(Tabela24[LOS_vp3]="F","F",VLOOKUP(Tabela24[LOS_vp3],'HCM2000'!$R$655:$S$659,2))</f>
        <v>A</v>
      </c>
      <c r="CT17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17" s="425" t="str">
        <f>IF(Tabela24[[#This Row],[LOS_vp3]]="F","F",IF(Tabela24[[#This Row],[fLC]]="Pista simples","-",VLOOKUP(Tabela24[[#This Row],[LOS_D3]],'HCM2000'!$R$655:$S$659,2)))</f>
        <v>A</v>
      </c>
      <c r="CV17" s="280" t="str">
        <f>IF(OR(Tabela24[[#This Row],[LOS_vp3]]="F",Tabela24[[#This Row],[LOS_D3]]="F"),"F",IF(Tabela24[[#This Row],[Pista]]="Pista Simples","-",VLOOKUP(MINA(Tabela24[LOS_vp],Tabela24[LOS_D]),'HCM2000'!$R$655:$S$659,2)))</f>
        <v>-</v>
      </c>
      <c r="CW17" s="381">
        <v>8</v>
      </c>
      <c r="CX17" s="381">
        <v>1.3</v>
      </c>
      <c r="CY17" s="22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3.5</v>
      </c>
      <c r="CZ17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#REF!</v>
      </c>
      <c r="DA17" s="22">
        <f>ABS(INDEX('HCM2000'!$E$611:$M$611,1,MATCH(Tabela24[Pt]*100,'HCM2000'!$E$611:$M$611,1))-Tabela24[Pt]*100)</f>
        <v>42</v>
      </c>
      <c r="DB17" s="22" t="e">
        <f>INDEX('HCM2000'!$E$611:$M$611,1,MATCH(Tabela24[[#This Row],[Pt]]*100,'HCM2000'!$E$611:$M$611,1)+1)-Tabela24[[#This Row],[Pt]]*100</f>
        <v>#REF!</v>
      </c>
      <c r="DC17" s="22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3.5</v>
      </c>
      <c r="DD17" s="440">
        <v>4.2</v>
      </c>
      <c r="DE17" s="423">
        <f>1/(1+(Tabela24[Pt]*(Tabela24[ETsu]-1))+(Tabela24[PRv]*(Tabela24[ERsu]-1)))</f>
        <v>0.36088054853843377</v>
      </c>
      <c r="DF17" s="438">
        <f>Tabela24[Vzão]/(Tabela24[PHF]*Tabela24[N]*Tabela24[fHVsu])</f>
        <v>135.16154891304348</v>
      </c>
      <c r="DG17" s="332">
        <f>IF(Tabela24[fLC]="Pista simples","-",Tabela24[vpsu]/Tabela24[S])</f>
        <v>1.669348072207206</v>
      </c>
      <c r="DH17" s="332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80.966666666666683</v>
      </c>
      <c r="DI17" s="426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5</v>
      </c>
      <c r="DJ17" s="425" t="str">
        <f>IF(Tabela24[[#This Row],[LOS_vp3]]="F","F",VLOOKUP(Tabela24[[#This Row],[LOS_vp3]],'HCM2000'!$R$655:$S$659,2))</f>
        <v>A</v>
      </c>
      <c r="DK17" s="426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5</v>
      </c>
      <c r="DL17" s="425" t="str">
        <f>IF(Tabela24[[#This Row],[LOS_vp3]]="F","F",IF(Tabela24[[#This Row],[fLC]]="Pista simples","-",VLOOKUP(Tabela24[[#This Row],[LOS_D3]],'HCM2000'!$R$655:$S$659,2)))</f>
        <v>A</v>
      </c>
      <c r="DM17" s="416" t="str">
        <f>IF(OR(Tabela24[[#This Row],[LOS_vp3]]="F",Tabela24[[#This Row],[LOS_D3]]="F"),"F",IF(Tabela24[[#This Row],[Pista]]="Pista Simples","-",VLOOKUP(MINA(Tabela24[LOS_vp3],Tabela24[LOS_D3]),'HCM2000'!$R$655:$S$659,2)))</f>
        <v>-</v>
      </c>
      <c r="DN17" s="416"/>
      <c r="DO17" s="22">
        <f>Tabela24[[#This Row],[ATS]]</f>
        <v>75.194243257575764</v>
      </c>
      <c r="DP17" s="416">
        <v>75.2</v>
      </c>
      <c r="DQ17" s="22">
        <f t="shared" si="11"/>
        <v>5.7567424242392917E-3</v>
      </c>
      <c r="DR17" s="22">
        <f>Tabela24[[#This Row],[PTSF]]</f>
        <v>46.072662733758264</v>
      </c>
      <c r="DS17" s="416">
        <v>46.9</v>
      </c>
      <c r="DT17" s="22">
        <f t="shared" si="12"/>
        <v>0.82733726624173443</v>
      </c>
      <c r="DU17" s="22"/>
      <c r="DV17" s="22">
        <v>75.194243257575764</v>
      </c>
      <c r="DW17" s="416">
        <v>75.2</v>
      </c>
      <c r="DX17" s="22">
        <v>5.7567424242392917E-3</v>
      </c>
      <c r="DY17" s="22">
        <v>46.072662733758264</v>
      </c>
      <c r="DZ17" s="416">
        <v>46.9</v>
      </c>
      <c r="EA17" s="22">
        <v>0.82733726624173443</v>
      </c>
      <c r="EC17" s="517">
        <v>5</v>
      </c>
      <c r="ED17" s="517">
        <v>0.81</v>
      </c>
      <c r="EE17" s="517" t="s">
        <v>580</v>
      </c>
      <c r="EF17" s="517" t="str">
        <f t="shared" si="7"/>
        <v>level</v>
      </c>
      <c r="EG17" s="517">
        <v>3.4</v>
      </c>
      <c r="EH17" s="517">
        <v>1.8</v>
      </c>
      <c r="EI17" s="517" t="s">
        <v>552</v>
      </c>
      <c r="EJ17" s="517">
        <v>2</v>
      </c>
      <c r="EK17" s="517">
        <v>0.47</v>
      </c>
      <c r="EL17" s="522">
        <v>1858.5</v>
      </c>
      <c r="EM17" s="522">
        <v>2566.5</v>
      </c>
      <c r="EN17" s="517">
        <f t="shared" si="8"/>
        <v>0.54990583804143123</v>
      </c>
      <c r="EO17" s="517">
        <f>70</f>
        <v>70</v>
      </c>
      <c r="EP17" s="517">
        <v>0.57999999999999996</v>
      </c>
      <c r="EQ17" s="517">
        <v>0.57999999999999996</v>
      </c>
      <c r="ER17" s="517">
        <v>0.03</v>
      </c>
      <c r="ET17" s="523">
        <f>0.88</f>
        <v>0.88</v>
      </c>
      <c r="EU17" s="520">
        <f>(INPUTS[Cars '[VDMA']]+INPUTS[Trucks '[VDMA']])*GENERAL[VDMA to veh/h ]*INPUTS[Direction Split '[%']]</f>
        <v>292</v>
      </c>
      <c r="EV17" s="520">
        <f>(INPUTS[Cars '[VDMA']]+INPUTS[Trucks '[VDMA']])*GENERAL[VDMA to veh/h ]*(1-INPUTS[Direction Split '[%']])</f>
        <v>239.00000000000003</v>
      </c>
      <c r="EW17" s="523">
        <f>88</f>
        <v>88</v>
      </c>
      <c r="EX17" s="520">
        <f>INDEX('HCM2000'!$L$68:$AF$83,MATCH(INPUTS[Lane width '[m']],'HCM2000'!$K$68:$K$83),MATCH(INPUTS[Shoulder width '[m']],'HCM2000'!$L$67:$AF$67)+1)</f>
        <v>0.7</v>
      </c>
      <c r="EY17" s="520">
        <f>MIN(16,2/3*INPUTS[Access points /km '[1']])</f>
        <v>1.3333333333333333</v>
      </c>
      <c r="EZ17" s="520">
        <f>GENERAL[BFFS  '[km/h']]-GENERAL[fLS '[20-5']]-GENERAL[fA '[20-6']]</f>
        <v>85.966666666666669</v>
      </c>
      <c r="FA17" s="520">
        <f>0.12</f>
        <v>0.12</v>
      </c>
      <c r="FB17" s="520">
        <f>GENERAL[FFS  '[km/h']] - INPUTS[Truck crawl speed '[km/h']]</f>
        <v>15.966666666666669</v>
      </c>
      <c r="FC17" s="416"/>
      <c r="FD17" s="520">
        <f>IF(INPUTS[Type of terrain]="level",0,1)</f>
        <v>0</v>
      </c>
      <c r="FE17" s="520">
        <v>0.99999999999999034</v>
      </c>
      <c r="FF17" s="520">
        <v>1</v>
      </c>
      <c r="FG17" s="520">
        <v>1.4</v>
      </c>
      <c r="FH17" s="520">
        <v>1.1000000000000001</v>
      </c>
      <c r="FI17" s="520">
        <v>1</v>
      </c>
      <c r="FJ17" s="520">
        <v>5.1599999999999433</v>
      </c>
      <c r="FK17" s="520">
        <v>0.99999999999999034</v>
      </c>
      <c r="FL17" s="520">
        <f>IF(INPUTS[Direction analysed ?]="up",TWO_LANE_HIGHWAY[fG_ATS_O_DOWN '[20-7']],TWO_LANE_HIGHWAY[fG_ATS_O_UP '[20-13']])</f>
        <v>0.99999999999999034</v>
      </c>
      <c r="FM17" s="520">
        <f>IF(INPUTS[Direction analysed ?]="up",TWO_LANE_HIGHWAY[ET_ATS_O_DOWN '[20-9']],TWO_LANE_HIGHWAY[ET_ATS_O_UP '[20-15']])</f>
        <v>5.1599999999999433</v>
      </c>
      <c r="FN17" s="520">
        <f>IF(INPUTS[Direction analysed ?]="up",TWO_LANE_HIGHWAY[ER_ATS_O_DOWN '[20-9']],TWO_LANE_HIGHWAY[ER_ATS_O_UP '[20-17']])</f>
        <v>0.99999999999999034</v>
      </c>
      <c r="FO17" s="520">
        <f>IF(INPUTS[Direction analysed ?]="up",1,0)*INPUTS[PTC '[%']]</f>
        <v>0</v>
      </c>
      <c r="FP17" s="520">
        <f>1/(1+TWO_LANE_HIGHWAY[PTC_O'' '[%']]*INPUTS[PT '[%']]*(TWO_LANE_HIGHWAY[ETC_ATS_O '[20-18']]-1)+(1-TWO_LANE_HIGHWAY[PTC_O'' '[%']])*INPUTS[PT '[%']]*(TWO_LANE_HIGHWAY[ET_ATS_O]-1)+INPUTS[PR '[%']]*(TWO_LANE_HIGHWAY[ER_ATS_O]-1))</f>
        <v>0.29301453352086548</v>
      </c>
      <c r="FQ17" s="520">
        <f>GENERAL[VO '[veh/h']]/GENERAL[PHF]</f>
        <v>271.59090909090912</v>
      </c>
      <c r="FR17" s="520">
        <v>926.88545454545476</v>
      </c>
      <c r="FS17" s="520">
        <f>IFERROR(GENERAL[VO '[veh/h']]/(GENERAL[PHF]*TWO_LANE_HIGHWAY[fG_ATS_O]*TWO_LANE_HIGHWAY[fHV_ATS_O '[(20-14)']]),0)</f>
        <v>926.88545454545476</v>
      </c>
      <c r="FT17" s="520">
        <v>0.92900000000000038</v>
      </c>
      <c r="FU17" s="520">
        <v>1.0000000000000002</v>
      </c>
      <c r="FV17" s="520">
        <v>2.8000000000000003</v>
      </c>
      <c r="FW17" s="520">
        <v>1.2000000000000002</v>
      </c>
      <c r="FX17" s="520">
        <v>1.0000000000000002</v>
      </c>
      <c r="FY17" s="520">
        <v>6.0375000000000139</v>
      </c>
      <c r="FZ17" s="520">
        <v>1</v>
      </c>
      <c r="GA17" s="520">
        <f>IF(INPUTS[Direction analysed ?]="up",TWO_LANE_HIGHWAY[fG_ATS_D_UP '[20-13']],TWO_LANE_HIGHWAY[fG_ATS_D_DOWN '[20-7']])</f>
        <v>1.0000000000000002</v>
      </c>
      <c r="GB17" s="280">
        <f>IF(INPUTS[Direction analysed ?]="up",TWO_LANE_HIGHWAY[ET_ATS_D_UP '[20-15']],TWO_LANE_HIGHWAY[ET_ATS_D_DOWN '[20-9']])</f>
        <v>1.2000000000000002</v>
      </c>
      <c r="GC17" s="520">
        <f>IF(INPUTS[Direction analysed ?]="up",TWO_LANE_HIGHWAY[ER_ATS_D_UP '[20-17']],TWO_LANE_HIGHWAY[ER_ATS_D_DOWN '[20-9']])</f>
        <v>1.0000000000000002</v>
      </c>
      <c r="GD17" s="520">
        <f>IF(INPUTS[Direction analysed ?]="up",0,1)*INPUTS[PTC '[%']]</f>
        <v>0.57999999999999996</v>
      </c>
      <c r="GE17" s="520">
        <f>1/(1+TWO_LANE_HIGHWAY[PTC_D'' '[%']]*INPUTS[PT '[%']]*(TWO_LANE_HIGHWAY[ETC_ATS_D '[20-18']]-1)+(1-TWO_LANE_HIGHWAY[PTC_D'' '[%']])*INPUTS[PT '[%']]*(TWO_LANE_HIGHWAY[ET_ATS_D]-1)+INPUTS[PR '[%']]*(TWO_LANE_HIGHWAY[ER_ATS_D]-1))</f>
        <v>0.60450720572589223</v>
      </c>
      <c r="GF17" s="520">
        <f>GENERAL[VD '[veh/h']]/GENERAL[PHF]</f>
        <v>331.81818181818181</v>
      </c>
      <c r="GG17" s="520">
        <v>548.90690909090904</v>
      </c>
      <c r="GH17" s="520">
        <f>IFERROR(GENERAL[VD '[veh/h']]/(GENERAL[PHF]*TWO_LANE_HIGHWAY[fG_ATS_D]*TWO_LANE_HIGHWAY[fHV_ATS_D '[(20-14)']]),0)</f>
        <v>548.90690909090904</v>
      </c>
      <c r="GI17" s="520">
        <v>1.0772061663636308</v>
      </c>
      <c r="GJ17" s="520">
        <f>GENERAL[[#This Row],[FFS  '[km/h']]]</f>
        <v>85.966666666666669</v>
      </c>
      <c r="GK17" s="520">
        <f>TWO_LANE_HIGHWAY[FFSd '[km/h']]-0.0125*(GENERAL[VD '[veh/h']]+GENERAL[VO '[veh/h']])-TWO_LANE_HIGHWAY[fnp_ATS '[20-19']]</f>
        <v>78.251960500303028</v>
      </c>
      <c r="GL17" s="520">
        <v>1.0000000000000036</v>
      </c>
      <c r="GM17" s="520">
        <v>1</v>
      </c>
      <c r="GN17" s="520">
        <v>1.1000000000000001</v>
      </c>
      <c r="GO17" s="520">
        <f>1</f>
        <v>1</v>
      </c>
      <c r="GP17" s="520">
        <v>1.0000000000000036</v>
      </c>
      <c r="GQ17" s="520">
        <f>1</f>
        <v>1</v>
      </c>
      <c r="GR17" s="520">
        <f>IF(INPUTS[Direction analysed ?]="up",TWO_LANE_HIGHWAY[fG_PTSF_O_DOWN '[20-8']],TWO_LANE_HIGHWAY[fG_PTSF_O_UP '[20-14']])</f>
        <v>1.0000000000000036</v>
      </c>
      <c r="GS17" s="520">
        <f>IF(INPUTS[Direction analysed ?]="up",TWO_LANE_HIGHWAY[ET_PTSF_O_DOWN '[20-10']],TWO_LANE_HIGHWAY[ET_PTSF_O_UP '[20-16']])</f>
        <v>1.0000000000000036</v>
      </c>
      <c r="GT17" s="520">
        <f>IF(INPUTS[Direction analysed ?]="up",TWO_LANE_HIGHWAY[ER_PTSF_O_DOWN '[20-10']],TWO_LANE_HIGHWAY[ER_PTSF_O_UP '[20-16']])</f>
        <v>1</v>
      </c>
      <c r="GU17" s="520">
        <f>1/(1+INPUTS[PT '[%']]*(TWO_LANE_HIGHWAY[ET_PTSF_O]-1)+INPUTS[PR '[%']]*(TWO_LANE_HIGHWAY[ER_PTSF_O]-1))</f>
        <v>0.999999999999998</v>
      </c>
      <c r="GV17" s="520">
        <f>TWO_LANE_HIGHWAY[Vo_ATS_init '[pc/h']]</f>
        <v>271.59090909090912</v>
      </c>
      <c r="GW17" s="520">
        <v>271.59090909090872</v>
      </c>
      <c r="GX17" s="520">
        <f>IFERROR(GENERAL[VO '[veh/h']]/(GENERAL[PHF]*TWO_LANE_HIGHWAY[FG_PTSF_O]*TWO_LANE_HIGHWAY[fHV_PTSF_O]),0)</f>
        <v>271.59090909090872</v>
      </c>
      <c r="GY17" s="520">
        <v>1</v>
      </c>
      <c r="GZ17" s="520">
        <v>1.0000000000000002</v>
      </c>
      <c r="HA17" s="520">
        <v>1.1000000000000005</v>
      </c>
      <c r="HB17" s="520">
        <f>1</f>
        <v>1</v>
      </c>
      <c r="HC17" s="520">
        <v>1</v>
      </c>
      <c r="HD17" s="520">
        <f>1</f>
        <v>1</v>
      </c>
      <c r="HE17" s="520">
        <f>IF(INPUTS[Direction analysed ?]="up",TWO_LANE_HIGHWAY[fG_PTSF_D_UP '[20-14']],TWO_LANE_HIGHWAY[fG_PTSF_D_DOWN '[20-8']])</f>
        <v>1.0000000000000002</v>
      </c>
      <c r="HF17" s="520">
        <f>IF(INPUTS[Direction analysed ?]="up",TWO_LANE_HIGHWAY[ET_PTSF_D_UP '[20-16']],TWO_LANE_HIGHWAY[ET_PTSF_D_DOWN '[20-10']])</f>
        <v>1.1000000000000005</v>
      </c>
      <c r="HG17" s="520">
        <f>IF(INPUTS[Direction analysed ?]="up",TWO_LANE_HIGHWAY[ER_PTSF_D_UP '[20-16']],TWO_LANE_HIGHWAY[ER_PTSF_D_DOWN  '[20-10']])</f>
        <v>1</v>
      </c>
      <c r="HH17" s="520">
        <f>1/(1+INPUTS[PT '[%']]*(TWO_LANE_HIGHWAY[ET_PTSF_D]-1)+INPUTS[PR '[%']]*(TWO_LANE_HIGHWAY[ER_PTSF_D]-1))</f>
        <v>0.9451795841209828</v>
      </c>
      <c r="HI17" s="520">
        <f>TWO_LANE_HIGHWAY[Vd_ATS_init '[pc/h']]</f>
        <v>331.81818181818181</v>
      </c>
      <c r="HJ17" s="520">
        <v>351.06363636363636</v>
      </c>
      <c r="HK17" s="520">
        <f>IFERROR(GENERAL[VD '[veh/h']]/(GENERAL[PHF]*TWO_LANE_HIGHWAY[FG_PTSF_D]*TWO_LANE_HIGHWAY[fHV_PTSF_D]),0)</f>
        <v>351.06363636363636</v>
      </c>
      <c r="HL17" s="520">
        <v>14.881442161363537</v>
      </c>
      <c r="HM17" s="520">
        <v>-2.8749999999999921E-2</v>
      </c>
      <c r="HN17" s="520">
        <v>0.60034659090909126</v>
      </c>
      <c r="HO17" s="520">
        <f>100*EXP(TWO_LANE_HIGHWAY[a '[20-21']]*TWO_LANE_HIGHWAY[Vd_PTSF '[pc/h']]^TWO_LANE_HIGHWAY[b '[20-21']])</f>
        <v>37.910011525655833</v>
      </c>
      <c r="HP17" s="520">
        <f>TWO_LANE_HIGHWAY[BPTSFd '[%']]+TWO_LANE_HIGHWAY[fnp_PTSF '[20-20']]</f>
        <v>52.79145368701937</v>
      </c>
      <c r="HQ17" s="520"/>
    </row>
    <row r="18" spans="2:225" s="294" customFormat="1">
      <c r="B18" s="383">
        <v>5</v>
      </c>
      <c r="C18" s="389"/>
      <c r="D18" s="384"/>
      <c r="E18" s="385">
        <v>24201</v>
      </c>
      <c r="F18" s="385">
        <v>24501</v>
      </c>
      <c r="G18" s="390">
        <v>300</v>
      </c>
      <c r="H18" s="383" t="s">
        <v>263</v>
      </c>
      <c r="I18" s="383" t="s">
        <v>379</v>
      </c>
      <c r="J18" s="383">
        <v>2</v>
      </c>
      <c r="K18" s="386">
        <v>4.5999999999999996</v>
      </c>
      <c r="L18" s="383" t="s">
        <v>143</v>
      </c>
      <c r="M18" s="386">
        <v>4.2</v>
      </c>
      <c r="N18" s="386">
        <v>1</v>
      </c>
      <c r="O18" s="383">
        <v>1</v>
      </c>
      <c r="P18" s="383" t="s">
        <v>366</v>
      </c>
      <c r="Q18" s="383" t="s">
        <v>144</v>
      </c>
      <c r="R18" s="392" t="s">
        <v>73</v>
      </c>
      <c r="S18" s="310">
        <v>3</v>
      </c>
      <c r="T18" s="420"/>
      <c r="U18" s="382">
        <v>24</v>
      </c>
      <c r="V18" s="399">
        <v>6473.9966140621727</v>
      </c>
      <c r="W18" s="399">
        <v>2824.5698392986178</v>
      </c>
      <c r="X18" s="420"/>
      <c r="Y18" s="398">
        <f t="shared" si="0"/>
        <v>1</v>
      </c>
      <c r="Z18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18" s="182" t="s">
        <v>644</v>
      </c>
      <c r="AB18" s="391" t="s">
        <v>654</v>
      </c>
      <c r="AC18" s="31">
        <v>3.5</v>
      </c>
      <c r="AD18" s="31">
        <v>2.5</v>
      </c>
      <c r="AE18" s="421"/>
      <c r="AF18" s="421"/>
      <c r="AG18" s="421">
        <v>0</v>
      </c>
      <c r="AH18" s="441">
        <v>0.54</v>
      </c>
      <c r="AI18" s="25">
        <v>0.03</v>
      </c>
      <c r="AJ18" s="435">
        <v>8.7999999999999995E-2</v>
      </c>
      <c r="AK18" s="330">
        <v>405</v>
      </c>
      <c r="AL18" s="263">
        <v>0.55000000000000004</v>
      </c>
      <c r="AM18" s="414">
        <v>222.75000000000003</v>
      </c>
      <c r="AN18" s="417">
        <v>2</v>
      </c>
      <c r="AO18" s="467" t="s">
        <v>73</v>
      </c>
      <c r="AP18" s="439">
        <v>88</v>
      </c>
      <c r="AQ18" s="442">
        <v>0.37</v>
      </c>
      <c r="AR18" s="422">
        <v>0.88</v>
      </c>
      <c r="AS18" s="316"/>
      <c r="AT18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18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18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18" s="23">
        <f>1/(1+(Tabela24[[#This Row],[Pt]])*(Tabela24[[#This Row],[Et]]-1)+(Tabela24[[#This Row],[PRv]])*(Tabela24[[#This Row],[Er]]-1))</f>
        <v>0.90252707581227432</v>
      </c>
      <c r="AX18" s="423">
        <f>Tabela24[veic/h]/Tabela24[PHF]</f>
        <v>460.22727272727275</v>
      </c>
      <c r="AY18" s="423">
        <v>634.19318181818187</v>
      </c>
      <c r="AZ18" s="438">
        <f>Tabela24[veic/h]/(Tabela24[PHF]*Tabela24[fg ats]*Tabela24[fhv ats])</f>
        <v>509.93181818181819</v>
      </c>
      <c r="BA18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18" s="322" t="str">
        <f>IF(AND(Tabela24[[#This Row],[vp1]]*Tabela24[[#This Row],[distrib. direc.]]&lt;1700,Tabela24[[#This Row],[vp1]]&lt;3200),"OK!","FAIL")</f>
        <v>OK!</v>
      </c>
      <c r="BC18" s="23">
        <f>INDEX('HCM2000'!$L$68:$AF$83,MATCH(Tabela24[[#This Row],[faixa (m)]],'HCM2000'!$K$68:$K$83),MATCH(Tabela24[[#This Row],[acost (m)]],'HCM2000'!$L$67:$AF$67))</f>
        <v>0.7</v>
      </c>
      <c r="BD18" s="23">
        <f>MIN(16,(2/3)*Tabela24[[#This Row],[acessos/km]])</f>
        <v>1.3333333333333333</v>
      </c>
      <c r="BE18" s="22">
        <f>Tabela24[BFFS]-Tabela24[fLS]-Tabela24[fA]</f>
        <v>85.966666666666669</v>
      </c>
      <c r="BF18" s="23">
        <v>2.2000000000000002</v>
      </c>
      <c r="BG18" s="463">
        <f>IFERROR(Tabela24[[#This Row],[vp1]],0)</f>
        <v>509.93181818181819</v>
      </c>
      <c r="BH18" s="463">
        <f>IFERROR(Tabela24[[#This Row],[% zonas s/ultra]],0)</f>
        <v>0.37</v>
      </c>
      <c r="BI18" s="23" t="str">
        <f t="shared" si="5"/>
        <v>FNP</v>
      </c>
      <c r="BJ18" s="23">
        <v>3.8099051136363675</v>
      </c>
      <c r="BK18" s="43">
        <f>Tabela24[FFS]-0.0125*MAX(Tabela24[[#This Row],[vp1]],Tabela24[[#This Row],[vp1'']])-Tabela24[fnp'']</f>
        <v>74.229346780303032</v>
      </c>
      <c r="BL18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18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18" s="23">
        <v>1</v>
      </c>
      <c r="BO18" s="23">
        <f>1/(1+Tabela24[[#This Row],[Pt]]*(Tabela24[[#This Row],[Et time]]-1)+Tabela24[[#This Row],[PRv]]*(Tabela24[[#This Row],[Er time]]-1))</f>
        <v>0.94876660341555974</v>
      </c>
      <c r="BP18" s="23">
        <f>Tabela24[veic/h]/Tabela24[PHF]</f>
        <v>460.22727272727275</v>
      </c>
      <c r="BQ18" s="23">
        <v>485.0795454545455</v>
      </c>
      <c r="BR18" s="438">
        <f>Tabela24[veic/h]/(Tabela24[PHF]*Tabela24[fg time]*Tabela24[fhv follow])</f>
        <v>485.0795454545455</v>
      </c>
      <c r="BS18" s="438" t="str">
        <f>IF(AND(Tabela24[[#This Row],[vp2]]*Tabela24[[#This Row],[distrib. direc.]]&lt;1700,Tabela24[[#This Row],[vp2]]&lt;3200),"OK!","FAIL")</f>
        <v>OK!</v>
      </c>
      <c r="BT18" s="23">
        <f>100*(1-EXP(-0.000879*MAX(Tabela24[[#This Row],[vp2]],Tabela24[[#This Row],[vp2'']])))</f>
        <v>34.713500734072674</v>
      </c>
      <c r="BU18" s="304" t="e">
        <v>#DIV/0!</v>
      </c>
      <c r="BV18" s="304">
        <f>IF(TYPE(Tabela24[distrib. direc.])&lt;&gt;1,0,Tabela24[distrib. direc.])</f>
        <v>0.55000000000000004</v>
      </c>
      <c r="BW18" s="304">
        <f>IF(TYPE(Tabela24[vp2])&lt;&gt;1,0,Tabela24[vp2])</f>
        <v>485.0795454545455</v>
      </c>
      <c r="BX18" s="304">
        <f>IF(TYPE(Tabela24[% zonas s/ultra])&lt;&gt;1,0,Tabela24[% zonas s/ultra])</f>
        <v>0.37</v>
      </c>
      <c r="BY18" s="304" t="str">
        <f t="shared" si="6"/>
        <v>FDNP</v>
      </c>
      <c r="BZ18" s="31">
        <v>15.150649999999919</v>
      </c>
      <c r="CA18" s="305">
        <f>Tabela24[BPTSF]+Tabela24[fd/np'']</f>
        <v>49.864150734072595</v>
      </c>
      <c r="CB18" s="424">
        <f>Tabela24[vp1]/3200</f>
        <v>0.15935369318181819</v>
      </c>
      <c r="CC18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18" s="332">
        <f>VLOOKUP(Tabela24[faixa (m)],'HCM2000'!$B$541:$C$547,2,TRUE)</f>
        <v>1</v>
      </c>
      <c r="CE18" s="332">
        <f>IF(Tabela24[acost (m)]&gt;0,1.8,1.2)</f>
        <v>1.8</v>
      </c>
      <c r="CF18" s="332">
        <f>IF(Tabela24[Separador]=$CB$6,$CD$6,IF(Tabela24[Separador]=$CB$7,$CD$7,$CD$8))</f>
        <v>0</v>
      </c>
      <c r="CG18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18" s="332">
        <f>IF(Tabela24[Separador]="Sinalização horizontal",'HCM2000'!$C$590,'HCM2000'!$C$591)</f>
        <v>2.6</v>
      </c>
      <c r="CI18" s="332">
        <f>MIN((2/3)*Tabela24[[#This Row],[acessos/km]],16)</f>
        <v>1.3333333333333333</v>
      </c>
      <c r="CJ18" s="332">
        <f>IF(Tabela24[fLC]="Pista simples","-",Tabela24[BFFS]-Tabela24[fLW]-Tabela24[fLC]-Tabela24[fM]-Tabela24[fA2])</f>
        <v>80.966666666666683</v>
      </c>
      <c r="CK18" s="332">
        <f>IF(Tabela24[plano/ondulado]="Montanhoso",Tabela24[Para PT&lt;],VLOOKUP(Tabela24[plano/ondulado],'HCM2000'!$B$606:$C$608,2,FALSE))</f>
        <v>1.5</v>
      </c>
      <c r="CL18" s="332">
        <f>IF(Tabela24[[#This Row],[plano/ondulado]]="Montanhoso",Tabela24[[#This Row],[Para PT&lt;]],VLOOKUP(Tabela24[[#This Row],[plano/ondulado]],'HCM2000'!$E$606:$F$608,2,FALSE))</f>
        <v>1.2</v>
      </c>
      <c r="CM18" s="433">
        <f>1/(1+(Tabela24[Pt]*(Tabela24[Et2]-1))+(Tabela24[PRv]*(Tabela24[Er2]-1)))</f>
        <v>0.78369905956112851</v>
      </c>
      <c r="CN18" s="329">
        <f>K18+IF(Tabela24[[#This Row],[Num. Faixas Marg.]]="-",0,Tabela24[[#This Row],[Num. Faixas Marg.]])</f>
        <v>4.5999999999999996</v>
      </c>
      <c r="CO18" s="331">
        <f>Tabela24[[#This Row],[Vzão]]/(Tabela24[[#This Row],[PHF]]*Tabela24[[#This Row],[N]]*Tabela24[[#This Row],[fHV]])</f>
        <v>70.214673913043484</v>
      </c>
      <c r="CP18" s="332">
        <f>IF(Tabela24[fLC]="Pista simples","-",Tabela24[vp3]/Tabela24[S])</f>
        <v>0.86720470044928122</v>
      </c>
      <c r="CQ18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18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18" s="308" t="str">
        <f>IF(Tabela24[LOS_vp3]="F","F",VLOOKUP(Tabela24[LOS_vp3],'HCM2000'!$R$655:$S$659,2))</f>
        <v>A</v>
      </c>
      <c r="CT18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18" s="425" t="str">
        <f>IF(Tabela24[[#This Row],[LOS_vp3]]="F","F",IF(Tabela24[[#This Row],[fLC]]="Pista simples","-",VLOOKUP(Tabela24[[#This Row],[LOS_D3]],'HCM2000'!$R$655:$S$659,2)))</f>
        <v>A</v>
      </c>
      <c r="CV18" s="280" t="str">
        <f>IF(OR(Tabela24[[#This Row],[LOS_vp3]]="F",Tabela24[[#This Row],[LOS_D3]]="F"),"F",IF(Tabela24[[#This Row],[Pista]]="Pista Simples","-",VLOOKUP(MINA(Tabela24[LOS_vp],Tabela24[LOS_D]),'HCM2000'!$R$655:$S$659,2)))</f>
        <v>-</v>
      </c>
      <c r="CW18" s="381">
        <v>8</v>
      </c>
      <c r="CX18" s="381">
        <v>1.3</v>
      </c>
      <c r="CY18" s="22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3.5</v>
      </c>
      <c r="CZ18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#REF!</v>
      </c>
      <c r="DA18" s="22">
        <f>ABS(INDEX('HCM2000'!$E$611:$M$611,1,MATCH(Tabela24[Pt]*100,'HCM2000'!$E$611:$M$611,1))-Tabela24[Pt]*100)</f>
        <v>29</v>
      </c>
      <c r="DB18" s="22" t="e">
        <f>INDEX('HCM2000'!$E$611:$M$611,1,MATCH(Tabela24[[#This Row],[Pt]]*100,'HCM2000'!$E$611:$M$611,1)+1)-Tabela24[[#This Row],[Pt]]*100</f>
        <v>#REF!</v>
      </c>
      <c r="DC18" s="22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3.5</v>
      </c>
      <c r="DD18" s="440">
        <v>5.2</v>
      </c>
      <c r="DE18" s="423">
        <f>1/(1+(Tabela24[Pt]*(Tabela24[ETsu]-1))+(Tabela24[PRv]*(Tabela24[ERsu]-1)))</f>
        <v>0.40387722132471732</v>
      </c>
      <c r="DF18" s="438">
        <f>Tabela24[Vzão]/(Tabela24[PHF]*Tabela24[N]*Tabela24[fHVsu])</f>
        <v>136.24728260869566</v>
      </c>
      <c r="DG18" s="332">
        <f>IF(Tabela24[fLC]="Pista simples","-",Tabela24[vpsu]/Tabela24[S])</f>
        <v>1.6827577102761915</v>
      </c>
      <c r="DH18" s="332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80.966666666666683</v>
      </c>
      <c r="DI18" s="426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5</v>
      </c>
      <c r="DJ18" s="425" t="str">
        <f>IF(Tabela24[[#This Row],[LOS_vp3]]="F","F",VLOOKUP(Tabela24[[#This Row],[LOS_vp3]],'HCM2000'!$R$655:$S$659,2))</f>
        <v>A</v>
      </c>
      <c r="DK18" s="426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5</v>
      </c>
      <c r="DL18" s="425" t="str">
        <f>IF(Tabela24[[#This Row],[LOS_vp3]]="F","F",IF(Tabela24[[#This Row],[fLC]]="Pista simples","-",VLOOKUP(Tabela24[[#This Row],[LOS_D3]],'HCM2000'!$R$655:$S$659,2)))</f>
        <v>A</v>
      </c>
      <c r="DM18" s="416" t="str">
        <f>IF(OR(Tabela24[[#This Row],[LOS_vp3]]="F",Tabela24[[#This Row],[LOS_D3]]="F"),"F",IF(Tabela24[[#This Row],[Pista]]="Pista Simples","-",VLOOKUP(MINA(Tabela24[LOS_vp3],Tabela24[LOS_D3]),'HCM2000'!$R$655:$S$659,2)))</f>
        <v>-</v>
      </c>
      <c r="DN18" s="416"/>
      <c r="DO18" s="22">
        <f>Tabela24[[#This Row],[ATS]]</f>
        <v>74.229346780303032</v>
      </c>
      <c r="DP18" s="416">
        <v>74.5</v>
      </c>
      <c r="DQ18" s="22">
        <f t="shared" si="11"/>
        <v>0.27065321969696754</v>
      </c>
      <c r="DR18" s="22">
        <f>Tabela24[[#This Row],[PTSF]]</f>
        <v>49.864150734072595</v>
      </c>
      <c r="DS18" s="416">
        <v>50.7</v>
      </c>
      <c r="DT18" s="22">
        <f t="shared" si="12"/>
        <v>0.83584926592740771</v>
      </c>
      <c r="DU18" s="22"/>
      <c r="DV18" s="22">
        <v>74.543670075757575</v>
      </c>
      <c r="DW18" s="416">
        <v>74.5</v>
      </c>
      <c r="DX18" s="22">
        <v>4.3670075757574978E-2</v>
      </c>
      <c r="DY18" s="22">
        <v>49.864150734072595</v>
      </c>
      <c r="DZ18" s="416">
        <v>50.7</v>
      </c>
      <c r="EA18" s="22">
        <v>0.83584926592740771</v>
      </c>
      <c r="EC18" s="523">
        <v>4.2</v>
      </c>
      <c r="ED18" s="523">
        <v>1.17</v>
      </c>
      <c r="EE18" s="507" t="s">
        <v>579</v>
      </c>
      <c r="EF18" s="507" t="str">
        <f t="shared" si="7"/>
        <v>level</v>
      </c>
      <c r="EG18" s="517">
        <v>3.4</v>
      </c>
      <c r="EH18" s="517">
        <v>1.8</v>
      </c>
      <c r="EI18" s="517" t="s">
        <v>552</v>
      </c>
      <c r="EJ18" s="517">
        <v>2</v>
      </c>
      <c r="EK18" s="517">
        <v>0.47</v>
      </c>
      <c r="EL18" s="522">
        <v>1858.5</v>
      </c>
      <c r="EM18" s="522">
        <v>2566.5</v>
      </c>
      <c r="EN18" s="517">
        <f t="shared" si="8"/>
        <v>0.54990583804143123</v>
      </c>
      <c r="EO18" s="517">
        <f>70</f>
        <v>70</v>
      </c>
      <c r="EP18" s="517">
        <v>0.57999999999999996</v>
      </c>
      <c r="EQ18" s="517">
        <v>0.57999999999999996</v>
      </c>
      <c r="ER18" s="517">
        <v>0.03</v>
      </c>
      <c r="ET18" s="523">
        <f t="shared" ref="ET18:ET21" si="13">0.88</f>
        <v>0.88</v>
      </c>
      <c r="EU18" s="520">
        <f>(INPUTS[Cars '[VDMA']]+INPUTS[Trucks '[VDMA']])*GENERAL[VDMA to veh/h ]*INPUTS[Direction Split '[%']]</f>
        <v>292</v>
      </c>
      <c r="EV18" s="520">
        <f>(INPUTS[Cars '[VDMA']]+INPUTS[Trucks '[VDMA']])*GENERAL[VDMA to veh/h ]*(1-INPUTS[Direction Split '[%']])</f>
        <v>239.00000000000003</v>
      </c>
      <c r="EW18" s="523">
        <f>88</f>
        <v>88</v>
      </c>
      <c r="EX18" s="520">
        <f>INDEX('HCM2000'!$L$68:$AF$83,MATCH(INPUTS[Lane width '[m']],'HCM2000'!$K$68:$K$83),MATCH(INPUTS[Shoulder width '[m']],'HCM2000'!$L$67:$AF$67)+1)</f>
        <v>0.7</v>
      </c>
      <c r="EY18" s="520">
        <f>MIN(16,2/3*INPUTS[Access points /km '[1']])</f>
        <v>1.3333333333333333</v>
      </c>
      <c r="EZ18" s="520">
        <f>GENERAL[BFFS  '[km/h']]-GENERAL[fLS '[20-5']]-GENERAL[fA '[20-6']]</f>
        <v>85.966666666666669</v>
      </c>
      <c r="FA18" s="520">
        <f t="shared" ref="FA18:FA21" si="14">0.12</f>
        <v>0.12</v>
      </c>
      <c r="FB18" s="520">
        <f>GENERAL[FFS  '[km/h']] - INPUTS[Truck crawl speed '[km/h']]</f>
        <v>15.966666666666669</v>
      </c>
      <c r="FC18" s="416"/>
      <c r="FD18" s="520">
        <f>IF(INPUTS[Type of terrain]="level",0,1)</f>
        <v>0</v>
      </c>
      <c r="FE18" s="520">
        <v>0.99999999999998557</v>
      </c>
      <c r="FF18" s="520">
        <v>1.0000000000000002</v>
      </c>
      <c r="FG18" s="520">
        <v>2.8000000000000003</v>
      </c>
      <c r="FH18" s="520">
        <v>1.2000000000000002</v>
      </c>
      <c r="FI18" s="520">
        <v>1.0000000000000002</v>
      </c>
      <c r="FJ18" s="520">
        <v>6.4499999999999238</v>
      </c>
      <c r="FK18" s="520">
        <v>0.99999999999998557</v>
      </c>
      <c r="FL18" s="520">
        <f>IF(INPUTS[Direction analysed ?]="up",TWO_LANE_HIGHWAY[fG_ATS_O_DOWN '[20-7']],TWO_LANE_HIGHWAY[fG_ATS_O_UP '[20-13']])</f>
        <v>1.0000000000000002</v>
      </c>
      <c r="FM18" s="520">
        <f>IF(INPUTS[Direction analysed ?]="up",TWO_LANE_HIGHWAY[ET_ATS_O_DOWN '[20-9']],TWO_LANE_HIGHWAY[ET_ATS_O_UP '[20-15']])</f>
        <v>1.2000000000000002</v>
      </c>
      <c r="FN18" s="520">
        <f>IF(INPUTS[Direction analysed ?]="up",TWO_LANE_HIGHWAY[ER_ATS_O_DOWN '[20-9']],TWO_LANE_HIGHWAY[ER_ATS_O_UP '[20-17']])</f>
        <v>1.0000000000000002</v>
      </c>
      <c r="FO18" s="520">
        <f>IF(INPUTS[Direction analysed ?]="up",1,0)*INPUTS[PTC '[%']]</f>
        <v>0.57999999999999996</v>
      </c>
      <c r="FP18" s="520">
        <f>1/(1+TWO_LANE_HIGHWAY[PTC_O'' '[%']]*INPUTS[PT '[%']]*(TWO_LANE_HIGHWAY[ETC_ATS_O '[20-18']]-1)+(1-TWO_LANE_HIGHWAY[PTC_O'' '[%']])*INPUTS[PT '[%']]*(TWO_LANE_HIGHWAY[ET_ATS_O]-1)+INPUTS[PR '[%']]*(TWO_LANE_HIGHWAY[ER_ATS_O]-1))</f>
        <v>0.60450720572589223</v>
      </c>
      <c r="FQ18" s="520">
        <f>GENERAL[VO '[veh/h']]/GENERAL[PHF]</f>
        <v>271.59090909090912</v>
      </c>
      <c r="FR18" s="520">
        <v>449.27654545454544</v>
      </c>
      <c r="FS18" s="520">
        <f>IFERROR(GENERAL[VO '[veh/h']]/(GENERAL[PHF]*TWO_LANE_HIGHWAY[fG_ATS_O]*TWO_LANE_HIGHWAY[fHV_ATS_O '[(20-14)']]),0)</f>
        <v>449.27654545454544</v>
      </c>
      <c r="FT18" s="520">
        <v>0.99999999999999756</v>
      </c>
      <c r="FU18" s="520">
        <v>1</v>
      </c>
      <c r="FV18" s="520">
        <v>1.4</v>
      </c>
      <c r="FW18" s="520">
        <v>1.1000000000000001</v>
      </c>
      <c r="FX18" s="520">
        <v>1</v>
      </c>
      <c r="FY18" s="520">
        <v>4.5099999999999891</v>
      </c>
      <c r="FZ18" s="520">
        <v>0.99999999999999756</v>
      </c>
      <c r="GA18" s="520">
        <f>IF(INPUTS[Direction analysed ?]="up",TWO_LANE_HIGHWAY[fG_ATS_D_UP '[20-13']],TWO_LANE_HIGHWAY[fG_ATS_D_DOWN '[20-7']])</f>
        <v>0.99999999999999756</v>
      </c>
      <c r="GB18" s="280">
        <f>IF(INPUTS[Direction analysed ?]="up",TWO_LANE_HIGHWAY[ET_ATS_D_UP '[20-15']],TWO_LANE_HIGHWAY[ET_ATS_D_DOWN '[20-9']])</f>
        <v>4.5099999999999891</v>
      </c>
      <c r="GC18" s="520">
        <f>IF(INPUTS[Direction analysed ?]="up",TWO_LANE_HIGHWAY[ER_ATS_D_UP '[20-17']],TWO_LANE_HIGHWAY[ER_ATS_D_DOWN '[20-9']])</f>
        <v>0.99999999999999756</v>
      </c>
      <c r="GD18" s="520">
        <f>IF(INPUTS[Direction analysed ?]="up",0,1)*INPUTS[PTC '[%']]</f>
        <v>0</v>
      </c>
      <c r="GE18" s="520">
        <f>1/(1+TWO_LANE_HIGHWAY[PTC_D'' '[%']]*INPUTS[PT '[%']]*(TWO_LANE_HIGHWAY[ETC_ATS_D '[20-18']]-1)+(1-TWO_LANE_HIGHWAY[PTC_D'' '[%']])*INPUTS[PT '[%']]*(TWO_LANE_HIGHWAY[ET_ATS_D]-1)+INPUTS[PR '[%']]*(TWO_LANE_HIGHWAY[ER_ATS_D]-1))</f>
        <v>0.32940246393043093</v>
      </c>
      <c r="GF18" s="520">
        <f>GENERAL[VD '[veh/h']]/GENERAL[PHF]</f>
        <v>331.81818181818181</v>
      </c>
      <c r="GG18" s="520">
        <v>1007.3336363636365</v>
      </c>
      <c r="GH18" s="520">
        <f>IFERROR(GENERAL[VD '[veh/h']]/(GENERAL[PHF]*TWO_LANE_HIGHWAY[fG_ATS_D]*TWO_LANE_HIGHWAY[fHV_ATS_D '[(20-14)']]),0)</f>
        <v>1007.3336363636365</v>
      </c>
      <c r="GI18" s="520">
        <v>2.9332054738636018</v>
      </c>
      <c r="GJ18" s="520">
        <f>GENERAL[[#This Row],[FFS  '[km/h']]]</f>
        <v>85.966666666666669</v>
      </c>
      <c r="GK18" s="520">
        <f>TWO_LANE_HIGHWAY[FFSd '[km/h']]-0.0125*(GENERAL[VD '[veh/h']]+GENERAL[VO '[veh/h']])-TWO_LANE_HIGHWAY[fnp_ATS '[20-19']]</f>
        <v>76.395961192803071</v>
      </c>
      <c r="GL18" s="520">
        <v>0.99999999999999911</v>
      </c>
      <c r="GM18" s="520">
        <v>1</v>
      </c>
      <c r="GN18" s="520">
        <v>1.1000000000000001</v>
      </c>
      <c r="GO18" s="520">
        <f>1</f>
        <v>1</v>
      </c>
      <c r="GP18" s="520">
        <v>0.99999999999999911</v>
      </c>
      <c r="GQ18" s="520">
        <f>1</f>
        <v>1</v>
      </c>
      <c r="GR18" s="520">
        <f>IF(INPUTS[Direction analysed ?]="up",TWO_LANE_HIGHWAY[fG_PTSF_O_DOWN '[20-8']],TWO_LANE_HIGHWAY[fG_PTSF_O_UP '[20-14']])</f>
        <v>1</v>
      </c>
      <c r="GS18" s="520">
        <f>IF(INPUTS[Direction analysed ?]="up",TWO_LANE_HIGHWAY[ET_PTSF_O_DOWN '[20-10']],TWO_LANE_HIGHWAY[ET_PTSF_O_UP '[20-16']])</f>
        <v>1.1000000000000001</v>
      </c>
      <c r="GT18" s="520">
        <f>IF(INPUTS[Direction analysed ?]="up",TWO_LANE_HIGHWAY[ER_PTSF_O_DOWN '[20-10']],TWO_LANE_HIGHWAY[ER_PTSF_O_UP '[20-16']])</f>
        <v>1</v>
      </c>
      <c r="GU18" s="520">
        <f>1/(1+INPUTS[PT '[%']]*(TWO_LANE_HIGHWAY[ET_PTSF_O]-1)+INPUTS[PR '[%']]*(TWO_LANE_HIGHWAY[ER_PTSF_O]-1))</f>
        <v>0.94517958412098291</v>
      </c>
      <c r="GV18" s="520">
        <f>TWO_LANE_HIGHWAY[Vo_ATS_init '[pc/h']]</f>
        <v>271.59090909090912</v>
      </c>
      <c r="GW18" s="520">
        <v>287.34318181818185</v>
      </c>
      <c r="GX18" s="520">
        <f>IFERROR(GENERAL[VO '[veh/h']]/(GENERAL[PHF]*TWO_LANE_HIGHWAY[FG_PTSF_O]*TWO_LANE_HIGHWAY[fHV_PTSF_O]),0)</f>
        <v>287.34318181818185</v>
      </c>
      <c r="GY18" s="520">
        <v>0.96999999999998288</v>
      </c>
      <c r="GZ18" s="520">
        <v>1.0000000000000002</v>
      </c>
      <c r="HA18" s="520">
        <v>1.1000000000000005</v>
      </c>
      <c r="HB18" s="520">
        <f>1</f>
        <v>1</v>
      </c>
      <c r="HC18" s="520">
        <v>0.99999999999998523</v>
      </c>
      <c r="HD18" s="520">
        <f>1</f>
        <v>1</v>
      </c>
      <c r="HE18" s="520">
        <f>IF(INPUTS[Direction analysed ?]="up",TWO_LANE_HIGHWAY[fG_PTSF_D_UP '[20-14']],TWO_LANE_HIGHWAY[fG_PTSF_D_DOWN '[20-8']])</f>
        <v>0.96999999999998288</v>
      </c>
      <c r="HF18" s="520">
        <f>IF(INPUTS[Direction analysed ?]="up",TWO_LANE_HIGHWAY[ET_PTSF_D_UP '[20-16']],TWO_LANE_HIGHWAY[ET_PTSF_D_DOWN '[20-10']])</f>
        <v>0.99999999999998523</v>
      </c>
      <c r="HG18" s="520">
        <f>IF(INPUTS[Direction analysed ?]="up",TWO_LANE_HIGHWAY[ER_PTSF_D_UP '[20-16']],TWO_LANE_HIGHWAY[ER_PTSF_D_DOWN  '[20-10']])</f>
        <v>1</v>
      </c>
      <c r="HH18" s="520">
        <f>1/(1+INPUTS[PT '[%']]*(TWO_LANE_HIGHWAY[ET_PTSF_D]-1)+INPUTS[PR '[%']]*(TWO_LANE_HIGHWAY[ER_PTSF_D]-1))</f>
        <v>1.0000000000000084</v>
      </c>
      <c r="HI18" s="520">
        <f>TWO_LANE_HIGHWAY[Vd_ATS_init '[pc/h']]</f>
        <v>331.81818181818181</v>
      </c>
      <c r="HJ18" s="520">
        <v>342.08059981256173</v>
      </c>
      <c r="HK18" s="520">
        <f>IFERROR(GENERAL[VD '[veh/h']]/(GENERAL[PHF]*TWO_LANE_HIGHWAY[FG_PTSF_D]*TWO_LANE_HIGHWAY[fHV_PTSF_D]),0)</f>
        <v>342.08059981256173</v>
      </c>
      <c r="HL18" s="520">
        <v>15.200857232114799</v>
      </c>
      <c r="HM18" s="520">
        <v>-3.2215500000000008E-2</v>
      </c>
      <c r="HN18" s="520">
        <v>0.58546069318181815</v>
      </c>
      <c r="HO18" s="520">
        <f>100*EXP(TWO_LANE_HIGHWAY[a '[20-21']]*TWO_LANE_HIGHWAY[Vd_PTSF '[pc/h']]^TWO_LANE_HIGHWAY[b '[20-21']])</f>
        <v>37.491186790906731</v>
      </c>
      <c r="HP18" s="520">
        <f>TWO_LANE_HIGHWAY[BPTSFd '[%']]+TWO_LANE_HIGHWAY[fnp_PTSF '[20-20']]</f>
        <v>52.692044023021531</v>
      </c>
      <c r="HQ18" s="520"/>
    </row>
    <row r="19" spans="2:225" s="294" customFormat="1">
      <c r="B19" s="383">
        <v>6</v>
      </c>
      <c r="C19" s="389"/>
      <c r="D19" s="384"/>
      <c r="E19" s="385">
        <v>24201</v>
      </c>
      <c r="F19" s="385">
        <v>24501</v>
      </c>
      <c r="G19" s="390">
        <v>300</v>
      </c>
      <c r="H19" s="383" t="s">
        <v>263</v>
      </c>
      <c r="I19" s="383" t="s">
        <v>379</v>
      </c>
      <c r="J19" s="383">
        <v>2</v>
      </c>
      <c r="K19" s="386">
        <v>4.5999999999999996</v>
      </c>
      <c r="L19" s="383" t="s">
        <v>143</v>
      </c>
      <c r="M19" s="386">
        <v>4.2</v>
      </c>
      <c r="N19" s="386">
        <v>1</v>
      </c>
      <c r="O19" s="383">
        <v>1</v>
      </c>
      <c r="P19" s="383" t="s">
        <v>366</v>
      </c>
      <c r="Q19" s="383" t="s">
        <v>144</v>
      </c>
      <c r="R19" s="392" t="s">
        <v>73</v>
      </c>
      <c r="S19" s="310">
        <v>4</v>
      </c>
      <c r="T19" s="420"/>
      <c r="U19" s="382">
        <v>24</v>
      </c>
      <c r="V19" s="399">
        <v>6473.9966140621727</v>
      </c>
      <c r="W19" s="399">
        <v>2824.5698392986178</v>
      </c>
      <c r="X19" s="420"/>
      <c r="Y19" s="398">
        <f t="shared" si="0"/>
        <v>1</v>
      </c>
      <c r="Z19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19" s="182" t="s">
        <v>644</v>
      </c>
      <c r="AB19" s="391" t="s">
        <v>654</v>
      </c>
      <c r="AC19" s="31">
        <v>3.5</v>
      </c>
      <c r="AD19" s="31">
        <v>2.5</v>
      </c>
      <c r="AE19" s="421"/>
      <c r="AF19" s="421"/>
      <c r="AG19" s="421">
        <v>0</v>
      </c>
      <c r="AH19" s="441">
        <v>0.53</v>
      </c>
      <c r="AI19" s="25">
        <v>0.03</v>
      </c>
      <c r="AJ19" s="435">
        <v>8.7999999999999995E-2</v>
      </c>
      <c r="AK19" s="330">
        <v>416</v>
      </c>
      <c r="AL19" s="263">
        <v>0.55000000000000004</v>
      </c>
      <c r="AM19" s="414">
        <v>228.8</v>
      </c>
      <c r="AN19" s="417">
        <v>2</v>
      </c>
      <c r="AO19" s="467" t="s">
        <v>73</v>
      </c>
      <c r="AP19" s="439">
        <v>88</v>
      </c>
      <c r="AQ19" s="442">
        <v>0.52</v>
      </c>
      <c r="AR19" s="422">
        <v>0.88</v>
      </c>
      <c r="AS19" s="316"/>
      <c r="AT19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19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19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19" s="23">
        <f>1/(1+(Tabela24[[#This Row],[Pt]])*(Tabela24[[#This Row],[Et]]-1)+(Tabela24[[#This Row],[PRv]])*(Tabela24[[#This Row],[Er]]-1))</f>
        <v>0.90415913200723341</v>
      </c>
      <c r="AX19" s="423">
        <f>Tabela24[veic/h]/Tabela24[PHF]</f>
        <v>472.72727272727275</v>
      </c>
      <c r="AY19" s="423">
        <v>648.10909090909092</v>
      </c>
      <c r="AZ19" s="21">
        <f>Tabela24[veic/h]/(Tabela24[PHF]*Tabela24[fg ats]*Tabela24[fhv ats])</f>
        <v>522.83636363636356</v>
      </c>
      <c r="BA19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19" s="322" t="str">
        <f>IF(AND(Tabela24[[#This Row],[vp1]]*Tabela24[[#This Row],[distrib. direc.]]&lt;1700,Tabela24[[#This Row],[vp1]]&lt;3200),"OK!","FAIL")</f>
        <v>OK!</v>
      </c>
      <c r="BC19" s="23">
        <f>INDEX('HCM2000'!$L$68:$AF$83,MATCH(Tabela24[[#This Row],[faixa (m)]],'HCM2000'!$K$68:$K$83),MATCH(Tabela24[[#This Row],[acost (m)]],'HCM2000'!$L$67:$AF$67))</f>
        <v>0.7</v>
      </c>
      <c r="BD19" s="23">
        <f>MIN(16,(2/3)*Tabela24[[#This Row],[acessos/km]])</f>
        <v>1.3333333333333333</v>
      </c>
      <c r="BE19" s="22">
        <f>Tabela24[BFFS]-Tabela24[fLS]-Tabela24[fA]</f>
        <v>85.966666666666669</v>
      </c>
      <c r="BF19" s="23">
        <v>3.1</v>
      </c>
      <c r="BG19" s="463">
        <f>IFERROR(Tabela24[[#This Row],[vp1]],0)</f>
        <v>522.83636363636356</v>
      </c>
      <c r="BH19" s="463">
        <f>IFERROR(Tabela24[[#This Row],[% zonas s/ultra]],0)</f>
        <v>0.52</v>
      </c>
      <c r="BI19" s="23" t="str">
        <f t="shared" si="5"/>
        <v>FNP</v>
      </c>
      <c r="BJ19" s="23">
        <v>4.7223563636363632</v>
      </c>
      <c r="BK19" s="43">
        <f>Tabela24[FFS]-0.0125*MAX(Tabela24[[#This Row],[vp1]],Tabela24[[#This Row],[vp1'']])-Tabela24[fnp'']</f>
        <v>73.142946666666674</v>
      </c>
      <c r="BL19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19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19" s="23">
        <v>1</v>
      </c>
      <c r="BO19" s="23">
        <f>1/(1+Tabela24[[#This Row],[Pt]]*(Tabela24[[#This Row],[Et time]]-1)+Tabela24[[#This Row],[PRv]]*(Tabela24[[#This Row],[Er time]]-1))</f>
        <v>0.94966761633428309</v>
      </c>
      <c r="BP19" s="23">
        <f>Tabela24[veic/h]/Tabela24[PHF]</f>
        <v>472.72727272727275</v>
      </c>
      <c r="BQ19" s="23">
        <v>497.78181818181815</v>
      </c>
      <c r="BR19" s="438">
        <f>Tabela24[veic/h]/(Tabela24[PHF]*Tabela24[fg time]*Tabela24[fhv follow])</f>
        <v>497.78181818181815</v>
      </c>
      <c r="BS19" s="438" t="str">
        <f>IF(AND(Tabela24[[#This Row],[vp2]]*Tabela24[[#This Row],[distrib. direc.]]&lt;1700,Tabela24[[#This Row],[vp2]]&lt;3200),"OK!","FAIL")</f>
        <v>OK!</v>
      </c>
      <c r="BT19" s="23">
        <f>100*(1-EXP(-0.000879*MAX(Tabela24[[#This Row],[vp2]],Tabela24[[#This Row],[vp2'']])))</f>
        <v>35.438389605309297</v>
      </c>
      <c r="BU19" s="304" t="e">
        <v>#DIV/0!</v>
      </c>
      <c r="BV19" s="304">
        <f>IF(TYPE(Tabela24[distrib. direc.])&lt;&gt;1,0,Tabela24[distrib. direc.])</f>
        <v>0.55000000000000004</v>
      </c>
      <c r="BW19" s="304">
        <f>IF(TYPE(Tabela24[vp2])&lt;&gt;1,0,Tabela24[vp2])</f>
        <v>497.78181818181815</v>
      </c>
      <c r="BX19" s="304">
        <f>IF(TYPE(Tabela24[% zonas s/ultra])&lt;&gt;1,0,Tabela24[% zonas s/ultra])</f>
        <v>0.52</v>
      </c>
      <c r="BY19" s="304" t="str">
        <f t="shared" si="6"/>
        <v>FDNP</v>
      </c>
      <c r="BZ19" s="31">
        <v>18.176414545454378</v>
      </c>
      <c r="CA19" s="305">
        <f>Tabela24[BPTSF]+Tabela24[fd/np'']</f>
        <v>53.614804150763675</v>
      </c>
      <c r="CB19" s="424">
        <f>Tabela24[vp1]/3200</f>
        <v>0.16338636363636361</v>
      </c>
      <c r="CC19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19" s="332">
        <f>VLOOKUP(Tabela24[faixa (m)],'HCM2000'!$B$541:$C$547,2,TRUE)</f>
        <v>1</v>
      </c>
      <c r="CE19" s="332">
        <f>IF(Tabela24[acost (m)]&gt;0,1.8,1.2)</f>
        <v>1.8</v>
      </c>
      <c r="CF19" s="332">
        <f>IF(Tabela24[Separador]=$CB$6,$CD$6,IF(Tabela24[Separador]=$CB$7,$CD$7,$CD$8))</f>
        <v>0</v>
      </c>
      <c r="CG19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19" s="332">
        <f>IF(Tabela24[Separador]="Sinalização horizontal",'HCM2000'!$C$590,'HCM2000'!$C$591)</f>
        <v>2.6</v>
      </c>
      <c r="CI19" s="332">
        <f>MIN((2/3)*Tabela24[[#This Row],[acessos/km]],16)</f>
        <v>1.3333333333333333</v>
      </c>
      <c r="CJ19" s="332">
        <f>IF(Tabela24[fLC]="Pista simples","-",Tabela24[BFFS]-Tabela24[fLW]-Tabela24[fLC]-Tabela24[fM]-Tabela24[fA2])</f>
        <v>80.966666666666683</v>
      </c>
      <c r="CK19" s="332">
        <f>IF(Tabela24[plano/ondulado]="Montanhoso",Tabela24[Para PT&lt;],VLOOKUP(Tabela24[plano/ondulado],'HCM2000'!$B$606:$C$608,2,FALSE))</f>
        <v>1.5</v>
      </c>
      <c r="CL19" s="332">
        <f>IF(Tabela24[[#This Row],[plano/ondulado]]="Montanhoso",Tabela24[[#This Row],[Para PT&lt;]],VLOOKUP(Tabela24[[#This Row],[plano/ondulado]],'HCM2000'!$E$606:$F$608,2,FALSE))</f>
        <v>1.2</v>
      </c>
      <c r="CM19" s="433">
        <f>1/(1+(Tabela24[Pt]*(Tabela24[Et2]-1))+(Tabela24[PRv]*(Tabela24[Er2]-1)))</f>
        <v>0.78678206136900075</v>
      </c>
      <c r="CN19" s="329">
        <f>K19+IF(Tabela24[[#This Row],[Num. Faixas Marg.]]="-",0,Tabela24[[#This Row],[Num. Faixas Marg.]])</f>
        <v>4.5999999999999996</v>
      </c>
      <c r="CO19" s="331">
        <f>Tabela24[[#This Row],[Vzão]]/(Tabela24[[#This Row],[PHF]]*Tabela24[[#This Row],[N]]*Tabela24[[#This Row],[fHV]])</f>
        <v>71.839130434782618</v>
      </c>
      <c r="CP19" s="332">
        <f>IF(Tabela24[fLC]="Pista simples","-",Tabela24[vp3]/Tabela24[S])</f>
        <v>0.88726797572806837</v>
      </c>
      <c r="CQ19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19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19" s="308" t="str">
        <f>IF(Tabela24[LOS_vp3]="F","F",VLOOKUP(Tabela24[LOS_vp3],'HCM2000'!$R$655:$S$659,2))</f>
        <v>A</v>
      </c>
      <c r="CT19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19" s="425" t="str">
        <f>IF(Tabela24[[#This Row],[LOS_vp3]]="F","F",IF(Tabela24[[#This Row],[fLC]]="Pista simples","-",VLOOKUP(Tabela24[[#This Row],[LOS_D3]],'HCM2000'!$R$655:$S$659,2)))</f>
        <v>A</v>
      </c>
      <c r="CV19" s="280" t="str">
        <f>IF(OR(Tabela24[[#This Row],[LOS_vp3]]="F",Tabela24[[#This Row],[LOS_D3]]="F"),"F",IF(Tabela24[[#This Row],[Pista]]="Pista Simples","-",VLOOKUP(MINA(Tabela24[LOS_vp],Tabela24[LOS_D]),'HCM2000'!$R$655:$S$659,2)))</f>
        <v>-</v>
      </c>
      <c r="CW19" s="381">
        <v>8</v>
      </c>
      <c r="CX19" s="381">
        <v>1.3</v>
      </c>
      <c r="CY19" s="22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3.5</v>
      </c>
      <c r="CZ19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#REF!</v>
      </c>
      <c r="DA19" s="22">
        <f>ABS(INDEX('HCM2000'!$E$611:$M$611,1,MATCH(Tabela24[Pt]*100,'HCM2000'!$E$611:$M$611,1))-Tabela24[Pt]*100)</f>
        <v>28</v>
      </c>
      <c r="DB19" s="22" t="e">
        <f>INDEX('HCM2000'!$E$611:$M$611,1,MATCH(Tabela24[[#This Row],[Pt]]*100,'HCM2000'!$E$611:$M$611,1)+1)-Tabela24[[#This Row],[Pt]]*100</f>
        <v>#REF!</v>
      </c>
      <c r="DC19" s="22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3.5</v>
      </c>
      <c r="DD19" s="440">
        <v>6.2</v>
      </c>
      <c r="DE19" s="423">
        <f>1/(1+(Tabela24[Pt]*(Tabela24[ETsu]-1))+(Tabela24[PRv]*(Tabela24[ERsu]-1)))</f>
        <v>0.40306328093510674</v>
      </c>
      <c r="DF19" s="438">
        <f>Tabela24[Vzão]/(Tabela24[PHF]*Tabela24[N]*Tabela24[fHVsu])</f>
        <v>140.23043478260871</v>
      </c>
      <c r="DG19" s="332">
        <f>IF(Tabela24[fLC]="Pista simples","-",Tabela24[vpsu]/Tabela24[S])</f>
        <v>1.731952673313405</v>
      </c>
      <c r="DH19" s="332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80.966666666666683</v>
      </c>
      <c r="DI19" s="426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5</v>
      </c>
      <c r="DJ19" s="425" t="str">
        <f>IF(Tabela24[[#This Row],[LOS_vp3]]="F","F",VLOOKUP(Tabela24[[#This Row],[LOS_vp3]],'HCM2000'!$R$655:$S$659,2))</f>
        <v>A</v>
      </c>
      <c r="DK19" s="426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5</v>
      </c>
      <c r="DL19" s="425" t="str">
        <f>IF(Tabela24[[#This Row],[LOS_vp3]]="F","F",IF(Tabela24[[#This Row],[fLC]]="Pista simples","-",VLOOKUP(Tabela24[[#This Row],[LOS_D3]],'HCM2000'!$R$655:$S$659,2)))</f>
        <v>A</v>
      </c>
      <c r="DM19" s="416" t="str">
        <f>IF(OR(Tabela24[[#This Row],[LOS_vp3]]="F",Tabela24[[#This Row],[LOS_D3]]="F"),"F",IF(Tabela24[[#This Row],[Pista]]="Pista Simples","-",VLOOKUP(MINA(Tabela24[LOS_vp3],Tabela24[LOS_D3]),'HCM2000'!$R$655:$S$659,2)))</f>
        <v>-</v>
      </c>
      <c r="DN19" s="416"/>
      <c r="DO19" s="22">
        <f>Tabela24[[#This Row],[ATS]]</f>
        <v>73.142946666666674</v>
      </c>
      <c r="DP19" s="416">
        <v>73.599999999999994</v>
      </c>
      <c r="DQ19" s="22">
        <f t="shared" si="11"/>
        <v>0.45705333333332021</v>
      </c>
      <c r="DR19" s="22">
        <f>Tabela24[[#This Row],[PTSF]]</f>
        <v>53.614804150763675</v>
      </c>
      <c r="DS19" s="416">
        <v>54.3</v>
      </c>
      <c r="DT19" s="22">
        <f t="shared" si="12"/>
        <v>0.68519584923632237</v>
      </c>
      <c r="DU19" s="22"/>
      <c r="DV19" s="22">
        <v>73.616983030303047</v>
      </c>
      <c r="DW19" s="416">
        <v>73.599999999999994</v>
      </c>
      <c r="DX19" s="22">
        <v>1.698303030305226E-2</v>
      </c>
      <c r="DY19" s="22">
        <v>53.614804150763675</v>
      </c>
      <c r="DZ19" s="416">
        <v>54.3</v>
      </c>
      <c r="EA19" s="22">
        <v>0.68519584923632237</v>
      </c>
      <c r="EC19" s="523">
        <v>4.2</v>
      </c>
      <c r="ED19" s="523">
        <v>1.17</v>
      </c>
      <c r="EE19" s="517" t="s">
        <v>580</v>
      </c>
      <c r="EF19" s="517" t="str">
        <f t="shared" si="7"/>
        <v>level</v>
      </c>
      <c r="EG19" s="517">
        <v>3.4</v>
      </c>
      <c r="EH19" s="517">
        <v>1.8</v>
      </c>
      <c r="EI19" s="517" t="s">
        <v>552</v>
      </c>
      <c r="EJ19" s="517">
        <v>2</v>
      </c>
      <c r="EK19" s="517">
        <v>0.47</v>
      </c>
      <c r="EL19" s="522">
        <v>1858.5</v>
      </c>
      <c r="EM19" s="522">
        <v>2566.5</v>
      </c>
      <c r="EN19" s="517">
        <f t="shared" si="8"/>
        <v>0.54990583804143123</v>
      </c>
      <c r="EO19" s="517">
        <f>70</f>
        <v>70</v>
      </c>
      <c r="EP19" s="517">
        <v>0.57999999999999996</v>
      </c>
      <c r="EQ19" s="517">
        <v>0.57999999999999996</v>
      </c>
      <c r="ER19" s="517">
        <v>0.03</v>
      </c>
      <c r="ET19" s="523">
        <f t="shared" si="13"/>
        <v>0.88</v>
      </c>
      <c r="EU19" s="520">
        <f>(INPUTS[Cars '[VDMA']]+INPUTS[Trucks '[VDMA']])*GENERAL[VDMA to veh/h ]*INPUTS[Direction Split '[%']]</f>
        <v>292</v>
      </c>
      <c r="EV19" s="520">
        <f>(INPUTS[Cars '[VDMA']]+INPUTS[Trucks '[VDMA']])*GENERAL[VDMA to veh/h ]*(1-INPUTS[Direction Split '[%']])</f>
        <v>239.00000000000003</v>
      </c>
      <c r="EW19" s="523">
        <f>88</f>
        <v>88</v>
      </c>
      <c r="EX19" s="520">
        <f>INDEX('HCM2000'!$L$68:$AF$83,MATCH(INPUTS[Lane width '[m']],'HCM2000'!$K$68:$K$83),MATCH(INPUTS[Shoulder width '[m']],'HCM2000'!$L$67:$AF$67)+1)</f>
        <v>0.7</v>
      </c>
      <c r="EY19" s="520">
        <f>MIN(16,2/3*INPUTS[Access points /km '[1']])</f>
        <v>1.3333333333333333</v>
      </c>
      <c r="EZ19" s="520">
        <f>GENERAL[BFFS  '[km/h']]-GENERAL[fLS '[20-5']]-GENERAL[fA '[20-6']]</f>
        <v>85.966666666666669</v>
      </c>
      <c r="FA19" s="520">
        <f t="shared" si="14"/>
        <v>0.12</v>
      </c>
      <c r="FB19" s="520">
        <f>GENERAL[FFS  '[km/h']] - INPUTS[Truck crawl speed '[km/h']]</f>
        <v>15.966666666666669</v>
      </c>
      <c r="FC19" s="416"/>
      <c r="FD19" s="520">
        <f>IF(INPUTS[Type of terrain]="level",0,1)</f>
        <v>0</v>
      </c>
      <c r="FE19" s="520">
        <v>0.99999999999999756</v>
      </c>
      <c r="FF19" s="520">
        <v>1</v>
      </c>
      <c r="FG19" s="520">
        <v>1.4</v>
      </c>
      <c r="FH19" s="520">
        <v>1.1000000000000001</v>
      </c>
      <c r="FI19" s="520">
        <v>1</v>
      </c>
      <c r="FJ19" s="520">
        <v>4.5099999999999891</v>
      </c>
      <c r="FK19" s="520">
        <v>0.99999999999999756</v>
      </c>
      <c r="FL19" s="520">
        <f>IF(INPUTS[Direction analysed ?]="up",TWO_LANE_HIGHWAY[fG_ATS_O_DOWN '[20-7']],TWO_LANE_HIGHWAY[fG_ATS_O_UP '[20-13']])</f>
        <v>0.99999999999999756</v>
      </c>
      <c r="FM19" s="520">
        <f>IF(INPUTS[Direction analysed ?]="up",TWO_LANE_HIGHWAY[ET_ATS_O_DOWN '[20-9']],TWO_LANE_HIGHWAY[ET_ATS_O_UP '[20-15']])</f>
        <v>4.5099999999999891</v>
      </c>
      <c r="FN19" s="520">
        <f>IF(INPUTS[Direction analysed ?]="up",TWO_LANE_HIGHWAY[ER_ATS_O_DOWN '[20-9']],TWO_LANE_HIGHWAY[ER_ATS_O_UP '[20-17']])</f>
        <v>0.99999999999999756</v>
      </c>
      <c r="FO19" s="520">
        <f>IF(INPUTS[Direction analysed ?]="up",1,0)*INPUTS[PTC '[%']]</f>
        <v>0</v>
      </c>
      <c r="FP19" s="520">
        <f>1/(1+TWO_LANE_HIGHWAY[PTC_O'' '[%']]*INPUTS[PT '[%']]*(TWO_LANE_HIGHWAY[ETC_ATS_O '[20-18']]-1)+(1-TWO_LANE_HIGHWAY[PTC_O'' '[%']])*INPUTS[PT '[%']]*(TWO_LANE_HIGHWAY[ET_ATS_O]-1)+INPUTS[PR '[%']]*(TWO_LANE_HIGHWAY[ER_ATS_O]-1))</f>
        <v>0.32940246393043093</v>
      </c>
      <c r="FQ19" s="520">
        <f>GENERAL[VO '[veh/h']]/GENERAL[PHF]</f>
        <v>271.59090909090912</v>
      </c>
      <c r="FR19" s="520">
        <v>824.49568181818199</v>
      </c>
      <c r="FS19" s="520">
        <f>IFERROR(GENERAL[VO '[veh/h']]/(GENERAL[PHF]*TWO_LANE_HIGHWAY[fG_ATS_O]*TWO_LANE_HIGHWAY[fHV_ATS_O '[(20-14)']]),0)</f>
        <v>824.49568181818199</v>
      </c>
      <c r="FT19" s="520">
        <v>0.9999999999999859</v>
      </c>
      <c r="FU19" s="520">
        <v>1.0000000000000002</v>
      </c>
      <c r="FV19" s="520">
        <v>2.8000000000000003</v>
      </c>
      <c r="FW19" s="520">
        <v>1.2000000000000002</v>
      </c>
      <c r="FX19" s="520">
        <v>1.0000000000000002</v>
      </c>
      <c r="FY19" s="520">
        <v>6.4499999999999238</v>
      </c>
      <c r="FZ19" s="520">
        <v>0.9999999999999859</v>
      </c>
      <c r="GA19" s="520">
        <f>IF(INPUTS[Direction analysed ?]="up",TWO_LANE_HIGHWAY[fG_ATS_D_UP '[20-13']],TWO_LANE_HIGHWAY[fG_ATS_D_DOWN '[20-7']])</f>
        <v>1.0000000000000002</v>
      </c>
      <c r="GB19" s="280">
        <f>IF(INPUTS[Direction analysed ?]="up",TWO_LANE_HIGHWAY[ET_ATS_D_UP '[20-15']],TWO_LANE_HIGHWAY[ET_ATS_D_DOWN '[20-9']])</f>
        <v>1.2000000000000002</v>
      </c>
      <c r="GC19" s="520">
        <f>IF(INPUTS[Direction analysed ?]="up",TWO_LANE_HIGHWAY[ER_ATS_D_UP '[20-17']],TWO_LANE_HIGHWAY[ER_ATS_D_DOWN '[20-9']])</f>
        <v>1.0000000000000002</v>
      </c>
      <c r="GD19" s="520">
        <f>IF(INPUTS[Direction analysed ?]="up",0,1)*INPUTS[PTC '[%']]</f>
        <v>0.57999999999999996</v>
      </c>
      <c r="GE19" s="520">
        <f>1/(1+TWO_LANE_HIGHWAY[PTC_D'' '[%']]*INPUTS[PT '[%']]*(TWO_LANE_HIGHWAY[ETC_ATS_D '[20-18']]-1)+(1-TWO_LANE_HIGHWAY[PTC_D'' '[%']])*INPUTS[PT '[%']]*(TWO_LANE_HIGHWAY[ET_ATS_D]-1)+INPUTS[PR '[%']]*(TWO_LANE_HIGHWAY[ER_ATS_D]-1))</f>
        <v>0.60450720572589223</v>
      </c>
      <c r="GF19" s="520">
        <f>GENERAL[VD '[veh/h']]/GENERAL[PHF]</f>
        <v>331.81818181818181</v>
      </c>
      <c r="GG19" s="520">
        <v>548.90690909090904</v>
      </c>
      <c r="GH19" s="520">
        <f>IFERROR(GENERAL[VD '[veh/h']]/(GENERAL[PHF]*TWO_LANE_HIGHWAY[fG_ATS_D]*TWO_LANE_HIGHWAY[fHV_ATS_D '[(20-14)']]),0)</f>
        <v>548.90690909090904</v>
      </c>
      <c r="GI19" s="520">
        <v>1.2422755449621157</v>
      </c>
      <c r="GJ19" s="520">
        <f>GENERAL[[#This Row],[FFS  '[km/h']]]</f>
        <v>85.966666666666669</v>
      </c>
      <c r="GK19" s="520">
        <f>TWO_LANE_HIGHWAY[FFSd '[km/h']]-0.0125*(GENERAL[VD '[veh/h']]+GENERAL[VO '[veh/h']])-TWO_LANE_HIGHWAY[fnp_ATS '[20-19']]</f>
        <v>78.086891121704554</v>
      </c>
      <c r="GL19" s="520">
        <v>0.99999999999999911</v>
      </c>
      <c r="GM19" s="520">
        <v>1</v>
      </c>
      <c r="GN19" s="520">
        <v>1.1000000000000001</v>
      </c>
      <c r="GO19" s="520">
        <f>1</f>
        <v>1</v>
      </c>
      <c r="GP19" s="520">
        <v>0.99999999999999911</v>
      </c>
      <c r="GQ19" s="520">
        <f>1</f>
        <v>1</v>
      </c>
      <c r="GR19" s="520">
        <f>IF(INPUTS[Direction analysed ?]="up",TWO_LANE_HIGHWAY[fG_PTSF_O_DOWN '[20-8']],TWO_LANE_HIGHWAY[fG_PTSF_O_UP '[20-14']])</f>
        <v>0.99999999999999911</v>
      </c>
      <c r="GS19" s="520">
        <f>IF(INPUTS[Direction analysed ?]="up",TWO_LANE_HIGHWAY[ET_PTSF_O_DOWN '[20-10']],TWO_LANE_HIGHWAY[ET_PTSF_O_UP '[20-16']])</f>
        <v>0.99999999999999911</v>
      </c>
      <c r="GT19" s="520">
        <f>IF(INPUTS[Direction analysed ?]="up",TWO_LANE_HIGHWAY[ER_PTSF_O_DOWN '[20-10']],TWO_LANE_HIGHWAY[ER_PTSF_O_UP '[20-16']])</f>
        <v>1</v>
      </c>
      <c r="GU19" s="520">
        <f>1/(1+INPUTS[PT '[%']]*(TWO_LANE_HIGHWAY[ET_PTSF_O]-1)+INPUTS[PR '[%']]*(TWO_LANE_HIGHWAY[ER_PTSF_O]-1))</f>
        <v>1.0000000000000004</v>
      </c>
      <c r="GV19" s="520">
        <f>TWO_LANE_HIGHWAY[Vo_ATS_init '[pc/h']]</f>
        <v>271.59090909090912</v>
      </c>
      <c r="GW19" s="520">
        <v>271.59090909090924</v>
      </c>
      <c r="GX19" s="520">
        <f>IFERROR(GENERAL[VO '[veh/h']]/(GENERAL[PHF]*TWO_LANE_HIGHWAY[FG_PTSF_O]*TWO_LANE_HIGHWAY[fHV_PTSF_O]),0)</f>
        <v>271.59090909090924</v>
      </c>
      <c r="GY19" s="520">
        <v>0.96999999999998288</v>
      </c>
      <c r="GZ19" s="520">
        <v>1.0000000000000002</v>
      </c>
      <c r="HA19" s="520">
        <v>1.1000000000000005</v>
      </c>
      <c r="HB19" s="520">
        <f>1</f>
        <v>1</v>
      </c>
      <c r="HC19" s="520">
        <v>0.99999999999998523</v>
      </c>
      <c r="HD19" s="520">
        <f>1</f>
        <v>1</v>
      </c>
      <c r="HE19" s="520">
        <f>IF(INPUTS[Direction analysed ?]="up",TWO_LANE_HIGHWAY[fG_PTSF_D_UP '[20-14']],TWO_LANE_HIGHWAY[fG_PTSF_D_DOWN '[20-8']])</f>
        <v>1.0000000000000002</v>
      </c>
      <c r="HF19" s="520">
        <f>IF(INPUTS[Direction analysed ?]="up",TWO_LANE_HIGHWAY[ET_PTSF_D_UP '[20-16']],TWO_LANE_HIGHWAY[ET_PTSF_D_DOWN '[20-10']])</f>
        <v>1.1000000000000005</v>
      </c>
      <c r="HG19" s="520">
        <f>IF(INPUTS[Direction analysed ?]="up",TWO_LANE_HIGHWAY[ER_PTSF_D_UP '[20-16']],TWO_LANE_HIGHWAY[ER_PTSF_D_DOWN  '[20-10']])</f>
        <v>1</v>
      </c>
      <c r="HH19" s="520">
        <f>1/(1+INPUTS[PT '[%']]*(TWO_LANE_HIGHWAY[ET_PTSF_D]-1)+INPUTS[PR '[%']]*(TWO_LANE_HIGHWAY[ER_PTSF_D]-1))</f>
        <v>0.9451795841209828</v>
      </c>
      <c r="HI19" s="520">
        <f>TWO_LANE_HIGHWAY[Vd_ATS_init '[pc/h']]</f>
        <v>331.81818181818181</v>
      </c>
      <c r="HJ19" s="520">
        <v>351.06363636363636</v>
      </c>
      <c r="HK19" s="520">
        <f>IFERROR(GENERAL[VD '[veh/h']]/(GENERAL[PHF]*TWO_LANE_HIGHWAY[FG_PTSF_D]*TWO_LANE_HIGHWAY[fHV_PTSF_D]),0)</f>
        <v>351.06363636363636</v>
      </c>
      <c r="HL19" s="520">
        <v>14.881442161363537</v>
      </c>
      <c r="HM19" s="520">
        <v>-2.8750000000000032E-2</v>
      </c>
      <c r="HN19" s="520">
        <v>0.60034659090909082</v>
      </c>
      <c r="HO19" s="520">
        <f>100*EXP(TWO_LANE_HIGHWAY[a '[20-21']]*TWO_LANE_HIGHWAY[Vd_PTSF '[pc/h']]^TWO_LANE_HIGHWAY[b '[20-21']])</f>
        <v>37.910011525655783</v>
      </c>
      <c r="HP19" s="520">
        <f>TWO_LANE_HIGHWAY[BPTSFd '[%']]+TWO_LANE_HIGHWAY[fnp_PTSF '[20-20']]</f>
        <v>52.79145368701932</v>
      </c>
      <c r="HQ19" s="520"/>
    </row>
    <row r="20" spans="2:225" s="294" customFormat="1">
      <c r="B20" s="383">
        <v>7</v>
      </c>
      <c r="C20" s="389"/>
      <c r="D20" s="384"/>
      <c r="E20" s="385">
        <v>24201</v>
      </c>
      <c r="F20" s="385">
        <v>24501</v>
      </c>
      <c r="G20" s="390">
        <v>300</v>
      </c>
      <c r="H20" s="383" t="s">
        <v>263</v>
      </c>
      <c r="I20" s="383" t="s">
        <v>379</v>
      </c>
      <c r="J20" s="383">
        <v>2</v>
      </c>
      <c r="K20" s="386">
        <v>4.5999999999999996</v>
      </c>
      <c r="L20" s="383" t="s">
        <v>143</v>
      </c>
      <c r="M20" s="386">
        <v>4.2</v>
      </c>
      <c r="N20" s="386">
        <v>1</v>
      </c>
      <c r="O20" s="383">
        <v>1</v>
      </c>
      <c r="P20" s="383" t="s">
        <v>366</v>
      </c>
      <c r="Q20" s="383" t="s">
        <v>144</v>
      </c>
      <c r="R20" s="392" t="s">
        <v>73</v>
      </c>
      <c r="S20" s="310">
        <v>5</v>
      </c>
      <c r="T20" s="420"/>
      <c r="U20" s="382">
        <v>24</v>
      </c>
      <c r="V20" s="399">
        <v>6473.9966140621727</v>
      </c>
      <c r="W20" s="399">
        <v>2824.5698392986178</v>
      </c>
      <c r="X20" s="420"/>
      <c r="Y20" s="398">
        <f t="shared" si="0"/>
        <v>1</v>
      </c>
      <c r="Z20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20" s="182" t="s">
        <v>644</v>
      </c>
      <c r="AB20" s="391" t="s">
        <v>654</v>
      </c>
      <c r="AC20" s="31">
        <v>3.5</v>
      </c>
      <c r="AD20" s="31">
        <v>2.5</v>
      </c>
      <c r="AE20" s="421"/>
      <c r="AF20" s="421"/>
      <c r="AG20" s="421">
        <v>0</v>
      </c>
      <c r="AH20" s="441">
        <v>0.53</v>
      </c>
      <c r="AI20" s="25">
        <v>0.03</v>
      </c>
      <c r="AJ20" s="435">
        <v>8.7999999999999995E-2</v>
      </c>
      <c r="AK20" s="330">
        <v>416</v>
      </c>
      <c r="AL20" s="263">
        <v>0.55000000000000004</v>
      </c>
      <c r="AM20" s="414">
        <v>228.8</v>
      </c>
      <c r="AN20" s="417">
        <v>1</v>
      </c>
      <c r="AO20" s="467" t="s">
        <v>73</v>
      </c>
      <c r="AP20" s="439">
        <v>88</v>
      </c>
      <c r="AQ20" s="442">
        <v>0.34</v>
      </c>
      <c r="AR20" s="422">
        <v>0.88</v>
      </c>
      <c r="AS20" s="316"/>
      <c r="AT20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20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20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20" s="23">
        <f>1/(1+(Tabela24[[#This Row],[Pt]])*(Tabela24[[#This Row],[Et]]-1)+(Tabela24[[#This Row],[PRv]])*(Tabela24[[#This Row],[Er]]-1))</f>
        <v>0.90415913200723341</v>
      </c>
      <c r="AX20" s="423">
        <f>Tabela24[veic/h]/Tabela24[PHF]</f>
        <v>472.72727272727275</v>
      </c>
      <c r="AY20" s="423">
        <v>648.10909090909092</v>
      </c>
      <c r="AZ20" s="21">
        <f>Tabela24[veic/h]/(Tabela24[PHF]*Tabela24[fg ats]*Tabela24[fhv ats])</f>
        <v>522.83636363636356</v>
      </c>
      <c r="BA20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20" s="322" t="str">
        <f>IF(AND(Tabela24[[#This Row],[vp1]]*Tabela24[[#This Row],[distrib. direc.]]&lt;1700,Tabela24[[#This Row],[vp1]]&lt;3200),"OK!","FAIL")</f>
        <v>OK!</v>
      </c>
      <c r="BC20" s="23">
        <f>INDEX('HCM2000'!$L$68:$AF$83,MATCH(Tabela24[[#This Row],[faixa (m)]],'HCM2000'!$K$68:$K$83),MATCH(Tabela24[[#This Row],[acost (m)]],'HCM2000'!$L$67:$AF$67))</f>
        <v>0.7</v>
      </c>
      <c r="BD20" s="23">
        <f>MIN(16,(2/3)*Tabela24[[#This Row],[acessos/km]])</f>
        <v>0.66666666666666663</v>
      </c>
      <c r="BE20" s="22">
        <f>Tabela24[BFFS]-Tabela24[fLS]-Tabela24[fA]</f>
        <v>86.633333333333326</v>
      </c>
      <c r="BF20" s="23">
        <v>2.2000000000000002</v>
      </c>
      <c r="BG20" s="463">
        <f>IFERROR(Tabela24[[#This Row],[vp1]],0)</f>
        <v>522.83636363636356</v>
      </c>
      <c r="BH20" s="463">
        <f>IFERROR(Tabela24[[#This Row],[% zonas s/ultra]],0)</f>
        <v>0.34</v>
      </c>
      <c r="BI20" s="23" t="str">
        <f t="shared" si="5"/>
        <v>FNP</v>
      </c>
      <c r="BJ20" s="23">
        <v>3.5681854545454583</v>
      </c>
      <c r="BK20" s="43">
        <f>Tabela24[FFS]-0.0125*MAX(Tabela24[[#This Row],[vp1]],Tabela24[[#This Row],[vp1'']])-Tabela24[fnp'']</f>
        <v>74.963784242424239</v>
      </c>
      <c r="BL20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20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20" s="23">
        <v>1</v>
      </c>
      <c r="BO20" s="23">
        <f>1/(1+Tabela24[[#This Row],[Pt]]*(Tabela24[[#This Row],[Et time]]-1)+Tabela24[[#This Row],[PRv]]*(Tabela24[[#This Row],[Er time]]-1))</f>
        <v>0.94966761633428309</v>
      </c>
      <c r="BP20" s="23">
        <f>Tabela24[veic/h]/Tabela24[PHF]</f>
        <v>472.72727272727275</v>
      </c>
      <c r="BQ20" s="23">
        <v>497.78181818181815</v>
      </c>
      <c r="BR20" s="438">
        <f>Tabela24[veic/h]/(Tabela24[PHF]*Tabela24[fg time]*Tabela24[fhv follow])</f>
        <v>497.78181818181815</v>
      </c>
      <c r="BS20" s="438" t="str">
        <f>IF(AND(Tabela24[[#This Row],[vp2]]*Tabela24[[#This Row],[distrib. direc.]]&lt;1700,Tabela24[[#This Row],[vp2]]&lt;3200),"OK!","FAIL")</f>
        <v>OK!</v>
      </c>
      <c r="BT20" s="23">
        <f>100*(1-EXP(-0.000879*MAX(Tabela24[[#This Row],[vp2]],Tabela24[[#This Row],[vp2'']])))</f>
        <v>35.438389605309297</v>
      </c>
      <c r="BU20" s="304" t="e">
        <v>#DIV/0!</v>
      </c>
      <c r="BV20" s="304">
        <f>IF(TYPE(Tabela24[distrib. direc.])&lt;&gt;1,0,Tabela24[distrib. direc.])</f>
        <v>0.55000000000000004</v>
      </c>
      <c r="BW20" s="304">
        <f>IF(TYPE(Tabela24[vp2])&lt;&gt;1,0,Tabela24[vp2])</f>
        <v>497.78181818181815</v>
      </c>
      <c r="BX20" s="304">
        <f>IF(TYPE(Tabela24[% zonas s/ultra])&lt;&gt;1,0,Tabela24[% zonas s/ultra])</f>
        <v>0.34</v>
      </c>
      <c r="BY20" s="304" t="str">
        <f t="shared" si="6"/>
        <v>FDNP</v>
      </c>
      <c r="BZ20" s="31">
        <v>14.478429090909014</v>
      </c>
      <c r="CA20" s="305">
        <f>Tabela24[BPTSF]+Tabela24[fd/np'']</f>
        <v>49.916818696218314</v>
      </c>
      <c r="CB20" s="424">
        <f>Tabela24[vp1]/3200</f>
        <v>0.16338636363636361</v>
      </c>
      <c r="CC20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20" s="332">
        <f>VLOOKUP(Tabela24[faixa (m)],'HCM2000'!$B$541:$C$547,2,TRUE)</f>
        <v>1</v>
      </c>
      <c r="CE20" s="332">
        <f>IF(Tabela24[acost (m)]&gt;0,1.8,1.2)</f>
        <v>1.8</v>
      </c>
      <c r="CF20" s="332">
        <f>IF(Tabela24[Separador]=$CB$6,$CD$6,IF(Tabela24[Separador]=$CB$7,$CD$7,$CD$8))</f>
        <v>0</v>
      </c>
      <c r="CG20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20" s="332">
        <f>IF(Tabela24[Separador]="Sinalização horizontal",'HCM2000'!$C$590,'HCM2000'!$C$591)</f>
        <v>2.6</v>
      </c>
      <c r="CI20" s="332">
        <f>MIN((2/3)*Tabela24[[#This Row],[acessos/km]],16)</f>
        <v>0.66666666666666663</v>
      </c>
      <c r="CJ20" s="332">
        <f>IF(Tabela24[fLC]="Pista simples","-",Tabela24[BFFS]-Tabela24[fLW]-Tabela24[fLC]-Tabela24[fM]-Tabela24[fA2])</f>
        <v>81.63333333333334</v>
      </c>
      <c r="CK20" s="332">
        <f>IF(Tabela24[plano/ondulado]="Montanhoso",Tabela24[Para PT&lt;],VLOOKUP(Tabela24[plano/ondulado],'HCM2000'!$B$606:$C$608,2,FALSE))</f>
        <v>1.5</v>
      </c>
      <c r="CL20" s="332">
        <f>IF(Tabela24[[#This Row],[plano/ondulado]]="Montanhoso",Tabela24[[#This Row],[Para PT&lt;]],VLOOKUP(Tabela24[[#This Row],[plano/ondulado]],'HCM2000'!$E$606:$F$608,2,FALSE))</f>
        <v>1.2</v>
      </c>
      <c r="CM20" s="433">
        <f>1/(1+(Tabela24[Pt]*(Tabela24[Et2]-1))+(Tabela24[PRv]*(Tabela24[Er2]-1)))</f>
        <v>0.78678206136900075</v>
      </c>
      <c r="CN20" s="329">
        <f>K20+IF(Tabela24[[#This Row],[Num. Faixas Marg.]]="-",0,Tabela24[[#This Row],[Num. Faixas Marg.]])</f>
        <v>4.5999999999999996</v>
      </c>
      <c r="CO20" s="331">
        <f>Tabela24[[#This Row],[Vzão]]/(Tabela24[[#This Row],[PHF]]*Tabela24[[#This Row],[N]]*Tabela24[[#This Row],[fHV]])</f>
        <v>71.839130434782618</v>
      </c>
      <c r="CP20" s="332">
        <f>IF(Tabela24[fLC]="Pista simples","-",Tabela24[vp3]/Tabela24[S])</f>
        <v>0.88002201430930105</v>
      </c>
      <c r="CQ20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81.63333333333334</v>
      </c>
      <c r="CR20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20" s="308" t="str">
        <f>IF(Tabela24[LOS_vp3]="F","F",VLOOKUP(Tabela24[LOS_vp3],'HCM2000'!$R$655:$S$659,2))</f>
        <v>A</v>
      </c>
      <c r="CT20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20" s="425" t="str">
        <f>IF(Tabela24[[#This Row],[LOS_vp3]]="F","F",IF(Tabela24[[#This Row],[fLC]]="Pista simples","-",VLOOKUP(Tabela24[[#This Row],[LOS_D3]],'HCM2000'!$R$655:$S$659,2)))</f>
        <v>A</v>
      </c>
      <c r="CV20" s="280" t="str">
        <f>IF(OR(Tabela24[[#This Row],[LOS_vp3]]="F",Tabela24[[#This Row],[LOS_D3]]="F"),"F",IF(Tabela24[[#This Row],[Pista]]="Pista Simples","-",VLOOKUP(MINA(Tabela24[LOS_vp],Tabela24[LOS_D]),'HCM2000'!$R$655:$S$659,2)))</f>
        <v>-</v>
      </c>
      <c r="CW20" s="381">
        <v>8</v>
      </c>
      <c r="CX20" s="381">
        <v>1.3</v>
      </c>
      <c r="CY20" s="22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3.5</v>
      </c>
      <c r="CZ20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#REF!</v>
      </c>
      <c r="DA20" s="22">
        <f>ABS(INDEX('HCM2000'!$E$611:$M$611,1,MATCH(Tabela24[Pt]*100,'HCM2000'!$E$611:$M$611,1))-Tabela24[Pt]*100)</f>
        <v>28</v>
      </c>
      <c r="DB20" s="22" t="e">
        <f>INDEX('HCM2000'!$E$611:$M$611,1,MATCH(Tabela24[[#This Row],[Pt]]*100,'HCM2000'!$E$611:$M$611,1)+1)-Tabela24[[#This Row],[Pt]]*100</f>
        <v>#REF!</v>
      </c>
      <c r="DC20" s="22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3.5</v>
      </c>
      <c r="DD20" s="440">
        <v>7.2</v>
      </c>
      <c r="DE20" s="423">
        <f>1/(1+(Tabela24[Pt]*(Tabela24[ETsu]-1))+(Tabela24[PRv]*(Tabela24[ERsu]-1)))</f>
        <v>0.39824771007566706</v>
      </c>
      <c r="DF20" s="438">
        <f>Tabela24[Vzão]/(Tabela24[PHF]*Tabela24[N]*Tabela24[fHVsu])</f>
        <v>141.92608695652174</v>
      </c>
      <c r="DG20" s="332">
        <f>IF(Tabela24[fLC]="Pista simples","-",Tabela24[vpsu]/Tabela24[S])</f>
        <v>1.7385800770500826</v>
      </c>
      <c r="DH20" s="332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81.63333333333334</v>
      </c>
      <c r="DI20" s="426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5</v>
      </c>
      <c r="DJ20" s="425" t="str">
        <f>IF(Tabela24[[#This Row],[LOS_vp3]]="F","F",VLOOKUP(Tabela24[[#This Row],[LOS_vp3]],'HCM2000'!$R$655:$S$659,2))</f>
        <v>A</v>
      </c>
      <c r="DK20" s="426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5</v>
      </c>
      <c r="DL20" s="425" t="str">
        <f>IF(Tabela24[[#This Row],[LOS_vp3]]="F","F",IF(Tabela24[[#This Row],[fLC]]="Pista simples","-",VLOOKUP(Tabela24[[#This Row],[LOS_D3]],'HCM2000'!$R$655:$S$659,2)))</f>
        <v>A</v>
      </c>
      <c r="DM20" s="416" t="str">
        <f>IF(OR(Tabela24[[#This Row],[LOS_vp3]]="F",Tabela24[[#This Row],[LOS_D3]]="F"),"F",IF(Tabela24[[#This Row],[Pista]]="Pista Simples","-",VLOOKUP(MINA(Tabela24[LOS_vp3],Tabela24[LOS_D3]),'HCM2000'!$R$655:$S$659,2)))</f>
        <v>-</v>
      </c>
      <c r="DN20" s="416"/>
      <c r="DO20" s="22">
        <f>Tabela24[[#This Row],[ATS]]</f>
        <v>74.963784242424239</v>
      </c>
      <c r="DP20" s="416">
        <v>75.3</v>
      </c>
      <c r="DQ20" s="22">
        <f t="shared" si="11"/>
        <v>0.33621575757575783</v>
      </c>
      <c r="DR20" s="22">
        <f>Tabela24[[#This Row],[PTSF]]</f>
        <v>49.916818696218314</v>
      </c>
      <c r="DS20" s="416">
        <v>50.6</v>
      </c>
      <c r="DT20" s="22">
        <f t="shared" si="12"/>
        <v>0.68318130378168718</v>
      </c>
      <c r="DU20" s="22"/>
      <c r="DV20" s="22">
        <v>75.26148606060606</v>
      </c>
      <c r="DW20" s="416">
        <v>75.3</v>
      </c>
      <c r="DX20" s="22">
        <v>3.851393939393688E-2</v>
      </c>
      <c r="DY20" s="22">
        <v>49.916818696218314</v>
      </c>
      <c r="DZ20" s="416">
        <v>50.6</v>
      </c>
      <c r="EA20" s="22">
        <v>0.68318130378168718</v>
      </c>
      <c r="EC20" s="523">
        <v>3</v>
      </c>
      <c r="ED20" s="523">
        <v>0.92</v>
      </c>
      <c r="EE20" s="507" t="s">
        <v>579</v>
      </c>
      <c r="EF20" s="507" t="str">
        <f t="shared" si="7"/>
        <v>level</v>
      </c>
      <c r="EG20" s="517">
        <v>3.4</v>
      </c>
      <c r="EH20" s="517">
        <v>1.8</v>
      </c>
      <c r="EI20" s="517" t="s">
        <v>552</v>
      </c>
      <c r="EJ20" s="517">
        <v>2</v>
      </c>
      <c r="EK20" s="517">
        <v>0.47</v>
      </c>
      <c r="EL20" s="522">
        <v>1858.5</v>
      </c>
      <c r="EM20" s="522">
        <v>2566.5</v>
      </c>
      <c r="EN20" s="517">
        <f t="shared" si="8"/>
        <v>0.54990583804143123</v>
      </c>
      <c r="EO20" s="517">
        <f>70</f>
        <v>70</v>
      </c>
      <c r="EP20" s="517">
        <v>0.57999999999999996</v>
      </c>
      <c r="EQ20" s="517">
        <v>0.57999999999999996</v>
      </c>
      <c r="ER20" s="517">
        <v>0.03</v>
      </c>
      <c r="ET20" s="523">
        <f t="shared" si="13"/>
        <v>0.88</v>
      </c>
      <c r="EU20" s="520">
        <f>(INPUTS[Cars '[VDMA']]+INPUTS[Trucks '[VDMA']])*GENERAL[VDMA to veh/h ]*INPUTS[Direction Split '[%']]</f>
        <v>292</v>
      </c>
      <c r="EV20" s="520">
        <f>(INPUTS[Cars '[VDMA']]+INPUTS[Trucks '[VDMA']])*GENERAL[VDMA to veh/h ]*(1-INPUTS[Direction Split '[%']])</f>
        <v>239.00000000000003</v>
      </c>
      <c r="EW20" s="523">
        <f>88</f>
        <v>88</v>
      </c>
      <c r="EX20" s="520">
        <f>INDEX('HCM2000'!$L$68:$AF$83,MATCH(INPUTS[Lane width '[m']],'HCM2000'!$K$68:$K$83),MATCH(INPUTS[Shoulder width '[m']],'HCM2000'!$L$67:$AF$67)+1)</f>
        <v>0.7</v>
      </c>
      <c r="EY20" s="520">
        <f>MIN(16,2/3*INPUTS[Access points /km '[1']])</f>
        <v>1.3333333333333333</v>
      </c>
      <c r="EZ20" s="520">
        <f>GENERAL[BFFS  '[km/h']]-GENERAL[fLS '[20-5']]-GENERAL[fA '[20-6']]</f>
        <v>85.966666666666669</v>
      </c>
      <c r="FA20" s="520">
        <f t="shared" si="14"/>
        <v>0.12</v>
      </c>
      <c r="FB20" s="520">
        <f>GENERAL[FFS  '[km/h']] - INPUTS[Truck crawl speed '[km/h']]</f>
        <v>15.966666666666669</v>
      </c>
      <c r="FC20" s="416"/>
      <c r="FD20" s="520">
        <f>IF(INPUTS[Type of terrain]="level",0,1)</f>
        <v>0</v>
      </c>
      <c r="FE20" s="520">
        <v>1.0000000000000058</v>
      </c>
      <c r="FF20" s="520">
        <v>1.0000000000000002</v>
      </c>
      <c r="FG20" s="520">
        <v>2.8000000000000003</v>
      </c>
      <c r="FH20" s="520">
        <v>1.2000000000000002</v>
      </c>
      <c r="FI20" s="520">
        <v>1.0000000000000002</v>
      </c>
      <c r="FJ20" s="520">
        <v>3.1300000000000288</v>
      </c>
      <c r="FK20" s="520">
        <v>1.0000000000000058</v>
      </c>
      <c r="FL20" s="520">
        <f>IF(INPUTS[Direction analysed ?]="up",TWO_LANE_HIGHWAY[fG_ATS_O_DOWN '[20-7']],TWO_LANE_HIGHWAY[fG_ATS_O_UP '[20-13']])</f>
        <v>1.0000000000000002</v>
      </c>
      <c r="FM20" s="520">
        <f>IF(INPUTS[Direction analysed ?]="up",TWO_LANE_HIGHWAY[ET_ATS_O_DOWN '[20-9']],TWO_LANE_HIGHWAY[ET_ATS_O_UP '[20-15']])</f>
        <v>1.2000000000000002</v>
      </c>
      <c r="FN20" s="520">
        <f>IF(INPUTS[Direction analysed ?]="up",TWO_LANE_HIGHWAY[ER_ATS_O_DOWN '[20-9']],TWO_LANE_HIGHWAY[ER_ATS_O_UP '[20-17']])</f>
        <v>1.0000000000000002</v>
      </c>
      <c r="FO20" s="520">
        <f>IF(INPUTS[Direction analysed ?]="up",1,0)*INPUTS[PTC '[%']]</f>
        <v>0.57999999999999996</v>
      </c>
      <c r="FP20" s="520">
        <f>1/(1+TWO_LANE_HIGHWAY[PTC_O'' '[%']]*INPUTS[PT '[%']]*(TWO_LANE_HIGHWAY[ETC_ATS_O '[20-18']]-1)+(1-TWO_LANE_HIGHWAY[PTC_O'' '[%']])*INPUTS[PT '[%']]*(TWO_LANE_HIGHWAY[ET_ATS_O]-1)+INPUTS[PR '[%']]*(TWO_LANE_HIGHWAY[ER_ATS_O]-1))</f>
        <v>0.60450720572589223</v>
      </c>
      <c r="FQ20" s="520">
        <f>GENERAL[VO '[veh/h']]/GENERAL[PHF]</f>
        <v>271.59090909090912</v>
      </c>
      <c r="FR20" s="520">
        <v>449.27654545454544</v>
      </c>
      <c r="FS20" s="520">
        <f>IFERROR(GENERAL[VO '[veh/h']]/(GENERAL[PHF]*TWO_LANE_HIGHWAY[fG_ATS_O]*TWO_LANE_HIGHWAY[fHV_ATS_O '[(20-14)']]),0)</f>
        <v>449.27654545454544</v>
      </c>
      <c r="FT20" s="520">
        <v>0.99999999999999234</v>
      </c>
      <c r="FU20" s="520">
        <v>1</v>
      </c>
      <c r="FV20" s="520">
        <v>1.4</v>
      </c>
      <c r="FW20" s="520">
        <v>1.1000000000000001</v>
      </c>
      <c r="FX20" s="520">
        <v>1</v>
      </c>
      <c r="FY20" s="520">
        <v>2.4799999999999747</v>
      </c>
      <c r="FZ20" s="520">
        <v>0.99999999999999234</v>
      </c>
      <c r="GA20" s="520">
        <f>IF(INPUTS[Direction analysed ?]="up",TWO_LANE_HIGHWAY[fG_ATS_D_UP '[20-13']],TWO_LANE_HIGHWAY[fG_ATS_D_DOWN '[20-7']])</f>
        <v>0.99999999999999234</v>
      </c>
      <c r="GB20" s="280">
        <f>IF(INPUTS[Direction analysed ?]="up",TWO_LANE_HIGHWAY[ET_ATS_D_UP '[20-15']],TWO_LANE_HIGHWAY[ET_ATS_D_DOWN '[20-9']])</f>
        <v>2.4799999999999747</v>
      </c>
      <c r="GC20" s="520">
        <f>IF(INPUTS[Direction analysed ?]="up",TWO_LANE_HIGHWAY[ER_ATS_D_UP '[20-17']],TWO_LANE_HIGHWAY[ER_ATS_D_DOWN '[20-9']])</f>
        <v>0.99999999999999234</v>
      </c>
      <c r="GD20" s="520">
        <f>IF(INPUTS[Direction analysed ?]="up",0,1)*INPUTS[PTC '[%']]</f>
        <v>0</v>
      </c>
      <c r="GE20" s="520">
        <f>1/(1+TWO_LANE_HIGHWAY[PTC_D'' '[%']]*INPUTS[PT '[%']]*(TWO_LANE_HIGHWAY[ETC_ATS_D '[20-18']]-1)+(1-TWO_LANE_HIGHWAY[PTC_D'' '[%']])*INPUTS[PT '[%']]*(TWO_LANE_HIGHWAY[ET_ATS_D]-1)+INPUTS[PR '[%']]*(TWO_LANE_HIGHWAY[ER_ATS_D]-1))</f>
        <v>0.53809728798967282</v>
      </c>
      <c r="GF20" s="520">
        <f>GENERAL[VD '[veh/h']]/GENERAL[PHF]</f>
        <v>331.81818181818181</v>
      </c>
      <c r="GG20" s="520">
        <v>616.65090909090895</v>
      </c>
      <c r="GH20" s="520">
        <f>IFERROR(GENERAL[VD '[veh/h']]/(GENERAL[PHF]*TWO_LANE_HIGHWAY[fG_ATS_D]*TWO_LANE_HIGHWAY[fHV_ATS_D '[(20-14)']]),0)</f>
        <v>616.65090909090895</v>
      </c>
      <c r="GI20" s="520">
        <v>2.9332054738636018</v>
      </c>
      <c r="GJ20" s="520">
        <f>GENERAL[[#This Row],[FFS  '[km/h']]]</f>
        <v>85.966666666666669</v>
      </c>
      <c r="GK20" s="520">
        <f>TWO_LANE_HIGHWAY[FFSd '[km/h']]-0.0125*(GENERAL[VD '[veh/h']]+GENERAL[VO '[veh/h']])-TWO_LANE_HIGHWAY[fnp_ATS '[20-19']]</f>
        <v>76.395961192803071</v>
      </c>
      <c r="GL20" s="520">
        <v>1</v>
      </c>
      <c r="GM20" s="520">
        <v>1</v>
      </c>
      <c r="GN20" s="520">
        <v>1.1000000000000001</v>
      </c>
      <c r="GO20" s="520">
        <f>1</f>
        <v>1</v>
      </c>
      <c r="GP20" s="520">
        <v>1</v>
      </c>
      <c r="GQ20" s="520">
        <f>1</f>
        <v>1</v>
      </c>
      <c r="GR20" s="520">
        <f>IF(INPUTS[Direction analysed ?]="up",TWO_LANE_HIGHWAY[fG_PTSF_O_DOWN '[20-8']],TWO_LANE_HIGHWAY[fG_PTSF_O_UP '[20-14']])</f>
        <v>1</v>
      </c>
      <c r="GS20" s="520">
        <f>IF(INPUTS[Direction analysed ?]="up",TWO_LANE_HIGHWAY[ET_PTSF_O_DOWN '[20-10']],TWO_LANE_HIGHWAY[ET_PTSF_O_UP '[20-16']])</f>
        <v>1.1000000000000001</v>
      </c>
      <c r="GT20" s="520">
        <f>IF(INPUTS[Direction analysed ?]="up",TWO_LANE_HIGHWAY[ER_PTSF_O_DOWN '[20-10']],TWO_LANE_HIGHWAY[ER_PTSF_O_UP '[20-16']])</f>
        <v>1</v>
      </c>
      <c r="GU20" s="520">
        <f>1/(1+INPUTS[PT '[%']]*(TWO_LANE_HIGHWAY[ET_PTSF_O]-1)+INPUTS[PR '[%']]*(TWO_LANE_HIGHWAY[ER_PTSF_O]-1))</f>
        <v>0.94517958412098291</v>
      </c>
      <c r="GV20" s="520">
        <f>TWO_LANE_HIGHWAY[Vo_ATS_init '[pc/h']]</f>
        <v>271.59090909090912</v>
      </c>
      <c r="GW20" s="520">
        <v>287.34318181818185</v>
      </c>
      <c r="GX20" s="520">
        <f>IFERROR(GENERAL[VO '[veh/h']]/(GENERAL[PHF]*TWO_LANE_HIGHWAY[FG_PTSF_O]*TWO_LANE_HIGHWAY[fHV_PTSF_O]),0)</f>
        <v>287.34318181818185</v>
      </c>
      <c r="GY20" s="520">
        <v>0.93000000000000793</v>
      </c>
      <c r="GZ20" s="520">
        <v>1.0000000000000002</v>
      </c>
      <c r="HA20" s="520">
        <v>1.1000000000000005</v>
      </c>
      <c r="HB20" s="520">
        <f>1</f>
        <v>1</v>
      </c>
      <c r="HC20" s="520">
        <v>1.0000000000000064</v>
      </c>
      <c r="HD20" s="520">
        <f>1</f>
        <v>1</v>
      </c>
      <c r="HE20" s="520">
        <f>IF(INPUTS[Direction analysed ?]="up",TWO_LANE_HIGHWAY[fG_PTSF_D_UP '[20-14']],TWO_LANE_HIGHWAY[fG_PTSF_D_DOWN '[20-8']])</f>
        <v>0.93000000000000793</v>
      </c>
      <c r="HF20" s="520">
        <f>IF(INPUTS[Direction analysed ?]="up",TWO_LANE_HIGHWAY[ET_PTSF_D_UP '[20-16']],TWO_LANE_HIGHWAY[ET_PTSF_D_DOWN '[20-10']])</f>
        <v>1.0000000000000064</v>
      </c>
      <c r="HG20" s="520">
        <f>IF(INPUTS[Direction analysed ?]="up",TWO_LANE_HIGHWAY[ER_PTSF_D_UP '[20-16']],TWO_LANE_HIGHWAY[ER_PTSF_D_DOWN  '[20-10']])</f>
        <v>1</v>
      </c>
      <c r="HH20" s="520">
        <f>1/(1+INPUTS[PT '[%']]*(TWO_LANE_HIGHWAY[ET_PTSF_D]-1)+INPUTS[PR '[%']]*(TWO_LANE_HIGHWAY[ER_PTSF_D]-1))</f>
        <v>0.99999999999999623</v>
      </c>
      <c r="HI20" s="520">
        <f>TWO_LANE_HIGHWAY[Vd_ATS_init '[pc/h']]</f>
        <v>331.81818181818181</v>
      </c>
      <c r="HJ20" s="520">
        <v>356.7937438905164</v>
      </c>
      <c r="HK20" s="520">
        <f>IFERROR(GENERAL[VD '[veh/h']]/(GENERAL[PHF]*TWO_LANE_HIGHWAY[FG_PTSF_D]*TWO_LANE_HIGHWAY[fHV_PTSF_D]),0)</f>
        <v>356.7937438905164</v>
      </c>
      <c r="HL20" s="520">
        <v>14.67769338546757</v>
      </c>
      <c r="HM20" s="520">
        <v>-3.2215500000000008E-2</v>
      </c>
      <c r="HN20" s="520">
        <v>0.58546069318181815</v>
      </c>
      <c r="HO20" s="520">
        <f>100*EXP(TWO_LANE_HIGHWAY[a '[20-21']]*TWO_LANE_HIGHWAY[Vd_PTSF '[pc/h']]^TWO_LANE_HIGHWAY[b '[20-21']])</f>
        <v>36.584237704529912</v>
      </c>
      <c r="HP20" s="520">
        <f>TWO_LANE_HIGHWAY[BPTSFd '[%']]+TWO_LANE_HIGHWAY[fnp_PTSF '[20-20']]</f>
        <v>51.261931089997482</v>
      </c>
      <c r="HQ20" s="520"/>
    </row>
    <row r="21" spans="2:225">
      <c r="B21" s="383">
        <v>8</v>
      </c>
      <c r="C21" s="389"/>
      <c r="D21" s="384"/>
      <c r="E21" s="385">
        <v>24201</v>
      </c>
      <c r="F21" s="385">
        <v>24501</v>
      </c>
      <c r="G21" s="390">
        <v>300</v>
      </c>
      <c r="H21" s="383" t="s">
        <v>263</v>
      </c>
      <c r="I21" s="383" t="s">
        <v>379</v>
      </c>
      <c r="J21" s="383">
        <v>2</v>
      </c>
      <c r="K21" s="386">
        <v>4.5999999999999996</v>
      </c>
      <c r="L21" s="383" t="s">
        <v>143</v>
      </c>
      <c r="M21" s="386">
        <v>4.2</v>
      </c>
      <c r="N21" s="386">
        <v>1</v>
      </c>
      <c r="O21" s="383">
        <v>1</v>
      </c>
      <c r="P21" s="383" t="s">
        <v>366</v>
      </c>
      <c r="Q21" s="383" t="s">
        <v>144</v>
      </c>
      <c r="R21" s="392" t="s">
        <v>73</v>
      </c>
      <c r="S21" s="310">
        <v>6</v>
      </c>
      <c r="T21" s="420"/>
      <c r="U21" s="382">
        <v>24</v>
      </c>
      <c r="V21" s="399">
        <v>6473.9966140621727</v>
      </c>
      <c r="W21" s="399">
        <v>2824.5698392986178</v>
      </c>
      <c r="X21" s="420"/>
      <c r="Y21" s="398">
        <f t="shared" si="0"/>
        <v>1</v>
      </c>
      <c r="Z21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21" s="182" t="s">
        <v>644</v>
      </c>
      <c r="AB21" s="391" t="s">
        <v>654</v>
      </c>
      <c r="AC21" s="31">
        <v>3.5</v>
      </c>
      <c r="AD21" s="31">
        <v>2.5</v>
      </c>
      <c r="AE21" s="421"/>
      <c r="AF21" s="421"/>
      <c r="AG21" s="421">
        <v>0</v>
      </c>
      <c r="AH21" s="441">
        <v>0.67</v>
      </c>
      <c r="AI21" s="25">
        <v>0.03</v>
      </c>
      <c r="AJ21" s="435">
        <v>8.7999999999999995E-2</v>
      </c>
      <c r="AK21" s="330">
        <v>351</v>
      </c>
      <c r="AL21" s="263">
        <v>0.55000000000000004</v>
      </c>
      <c r="AM21" s="414">
        <v>193.05</v>
      </c>
      <c r="AN21" s="417">
        <v>2</v>
      </c>
      <c r="AO21" s="467" t="s">
        <v>73</v>
      </c>
      <c r="AP21" s="439">
        <v>88</v>
      </c>
      <c r="AQ21" s="442">
        <v>0.46</v>
      </c>
      <c r="AR21" s="422">
        <v>0.88</v>
      </c>
      <c r="AS21" s="316"/>
      <c r="AT21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21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21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21" s="23">
        <f>1/(1+(Tabela24[[#This Row],[Pt]])*(Tabela24[[#This Row],[Et]]-1)+(Tabela24[[#This Row],[PRv]])*(Tabela24[[#This Row],[Er]]-1))</f>
        <v>0.68073519400953031</v>
      </c>
      <c r="AX21" s="423">
        <f>Tabela24[veic/h]/Tabela24[PHF]</f>
        <v>398.86363636363637</v>
      </c>
      <c r="AY21" s="423">
        <v>585.93068181818182</v>
      </c>
      <c r="AZ21" s="21">
        <f>Tabela24[veic/h]/(Tabela24[PHF]*Tabela24[fg ats]*Tabela24[fhv ats])</f>
        <v>585.93068181818182</v>
      </c>
      <c r="BA21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21" s="322" t="str">
        <f>IF(AND(Tabela24[[#This Row],[vp1]]*Tabela24[[#This Row],[distrib. direc.]]&lt;1700,Tabela24[[#This Row],[vp1]]&lt;3200),"OK!","FAIL")</f>
        <v>OK!</v>
      </c>
      <c r="BC21" s="23">
        <f>INDEX('HCM2000'!$L$68:$AF$83,MATCH(Tabela24[[#This Row],[faixa (m)]],'HCM2000'!$K$68:$K$83),MATCH(Tabela24[[#This Row],[acost (m)]],'HCM2000'!$L$67:$AF$67))</f>
        <v>0.7</v>
      </c>
      <c r="BD21" s="23">
        <f>MIN(16,(2/3)*Tabela24[[#This Row],[acessos/km]])</f>
        <v>1.3333333333333333</v>
      </c>
      <c r="BE21" s="22">
        <f>Tabela24[BFFS]-Tabela24[fLS]-Tabela24[fA]</f>
        <v>85.966666666666669</v>
      </c>
      <c r="BF21" s="23">
        <v>3.1</v>
      </c>
      <c r="BG21" s="463">
        <f>IFERROR(Tabela24[[#This Row],[vp1]],0)</f>
        <v>585.93068181818182</v>
      </c>
      <c r="BH21" s="463">
        <f>IFERROR(Tabela24[[#This Row],[% zonas s/ultra]],0)</f>
        <v>0.46</v>
      </c>
      <c r="BI21" s="23" t="str">
        <f t="shared" si="5"/>
        <v>FNP</v>
      </c>
      <c r="BJ21" s="23">
        <v>4.1715044886363621</v>
      </c>
      <c r="BK21" s="43">
        <f>Tabela24[FFS]-0.0125*MAX(Tabela24[[#This Row],[vp1]],Tabela24[[#This Row],[vp1'']])-Tabela24[fnp'']</f>
        <v>74.471028655303044</v>
      </c>
      <c r="BL21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21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21" s="23">
        <v>1</v>
      </c>
      <c r="BO21" s="23">
        <f>1/(1+Tabela24[[#This Row],[Pt]]*(Tabela24[[#This Row],[Et time]]-1)+Tabela24[[#This Row],[PRv]]*(Tabela24[[#This Row],[Er time]]-1))</f>
        <v>0.93720712277413298</v>
      </c>
      <c r="BP21" s="23">
        <f>Tabela24[veic/h]/Tabela24[PHF]</f>
        <v>398.86363636363637</v>
      </c>
      <c r="BQ21" s="23">
        <v>425.58750000000003</v>
      </c>
      <c r="BR21" s="438">
        <f>Tabela24[veic/h]/(Tabela24[PHF]*Tabela24[fg time]*Tabela24[fhv follow])</f>
        <v>425.58750000000003</v>
      </c>
      <c r="BS21" s="438" t="str">
        <f>IF(AND(Tabela24[[#This Row],[vp2]]*Tabela24[[#This Row],[distrib. direc.]]&lt;1700,Tabela24[[#This Row],[vp2]]&lt;3200),"OK!","FAIL")</f>
        <v>OK!</v>
      </c>
      <c r="BT21" s="23">
        <f>100*(1-EXP(-0.000879*MAX(Tabela24[[#This Row],[vp2]],Tabela24[[#This Row],[vp2'']])))</f>
        <v>31.208597498610892</v>
      </c>
      <c r="BU21" s="304" t="e">
        <v>#DIV/0!</v>
      </c>
      <c r="BV21" s="304">
        <f>IF(TYPE(Tabela24[distrib. direc.])&lt;&gt;1,0,Tabela24[distrib. direc.])</f>
        <v>0.55000000000000004</v>
      </c>
      <c r="BW21" s="304">
        <f>IF(TYPE(Tabela24[vp2])&lt;&gt;1,0,Tabela24[vp2])</f>
        <v>425.58750000000003</v>
      </c>
      <c r="BX21" s="304">
        <f>IF(TYPE(Tabela24[% zonas s/ultra])&lt;&gt;1,0,Tabela24[% zonas s/ultra])</f>
        <v>0.46</v>
      </c>
      <c r="BY21" s="304" t="str">
        <f t="shared" si="6"/>
        <v>FDNP</v>
      </c>
      <c r="BZ21" s="31">
        <v>17.391357499999831</v>
      </c>
      <c r="CA21" s="305">
        <f>Tabela24[BPTSF]+Tabela24[fd/np'']</f>
        <v>48.599954998610727</v>
      </c>
      <c r="CB21" s="424">
        <f>Tabela24[vp1]/3200</f>
        <v>0.18310333806818183</v>
      </c>
      <c r="CC21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21" s="332">
        <f>VLOOKUP(Tabela24[faixa (m)],'HCM2000'!$B$541:$C$547,2,TRUE)</f>
        <v>1</v>
      </c>
      <c r="CE21" s="332">
        <f>IF(Tabela24[acost (m)]&gt;0,1.8,1.2)</f>
        <v>1.8</v>
      </c>
      <c r="CF21" s="332">
        <f>IF(Tabela24[Separador]=$CB$6,$CD$6,IF(Tabela24[Separador]=$CB$7,$CD$7,$CD$8))</f>
        <v>0</v>
      </c>
      <c r="CG21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21" s="332">
        <f>IF(Tabela24[Separador]="Sinalização horizontal",'HCM2000'!$C$590,'HCM2000'!$C$591)</f>
        <v>2.6</v>
      </c>
      <c r="CI21" s="332">
        <f>MIN((2/3)*Tabela24[[#This Row],[acessos/km]],16)</f>
        <v>1.3333333333333333</v>
      </c>
      <c r="CJ21" s="332">
        <f>IF(Tabela24[fLC]="Pista simples","-",Tabela24[BFFS]-Tabela24[fLW]-Tabela24[fLC]-Tabela24[fM]-Tabela24[fA2])</f>
        <v>80.966666666666683</v>
      </c>
      <c r="CK21" s="332">
        <f>IF(Tabela24[plano/ondulado]="Montanhoso",Tabela24[Para PT&lt;],VLOOKUP(Tabela24[plano/ondulado],'HCM2000'!$B$606:$C$608,2,FALSE))</f>
        <v>1.5</v>
      </c>
      <c r="CL21" s="332">
        <f>IF(Tabela24[[#This Row],[plano/ondulado]]="Montanhoso",Tabela24[[#This Row],[Para PT&lt;]],VLOOKUP(Tabela24[[#This Row],[plano/ondulado]],'HCM2000'!$E$606:$F$608,2,FALSE))</f>
        <v>1.2</v>
      </c>
      <c r="CM21" s="433">
        <f>1/(1+(Tabela24[Pt]*(Tabela24[Et2]-1))+(Tabela24[PRv]*(Tabela24[Er2]-1)))</f>
        <v>0.74571215510812827</v>
      </c>
      <c r="CN21" s="329">
        <f>K21+IF(Tabela24[[#This Row],[Num. Faixas Marg.]]="-",0,Tabela24[[#This Row],[Num. Faixas Marg.]])</f>
        <v>4.5999999999999996</v>
      </c>
      <c r="CO21" s="331">
        <f>Tabela24[[#This Row],[Vzão]]/(Tabela24[[#This Row],[PHF]]*Tabela24[[#This Row],[N]]*Tabela24[[#This Row],[fHV]])</f>
        <v>63.952581521739134</v>
      </c>
      <c r="CP21" s="332">
        <f>IF(Tabela24[fLC]="Pista simples","-",Tabela24[vp3]/Tabela24[S])</f>
        <v>0.78986309001736255</v>
      </c>
      <c r="CQ21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21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21" s="308" t="str">
        <f>IF(Tabela24[LOS_vp3]="F","F",VLOOKUP(Tabela24[LOS_vp3],'HCM2000'!$R$655:$S$659,2))</f>
        <v>A</v>
      </c>
      <c r="CT21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21" s="425" t="str">
        <f>IF(Tabela24[[#This Row],[LOS_vp3]]="F","F",IF(Tabela24[[#This Row],[fLC]]="Pista simples","-",VLOOKUP(Tabela24[[#This Row],[LOS_D3]],'HCM2000'!$R$655:$S$659,2)))</f>
        <v>A</v>
      </c>
      <c r="CV21" s="280" t="str">
        <f>IF(OR(Tabela24[[#This Row],[LOS_vp3]]="F",Tabela24[[#This Row],[LOS_D3]]="F"),"F",IF(Tabela24[[#This Row],[Pista]]="Pista Simples","-",VLOOKUP(MINA(Tabela24[LOS_vp],Tabela24[LOS_D]),'HCM2000'!$R$655:$S$659,2)))</f>
        <v>-</v>
      </c>
      <c r="CW21" s="381">
        <v>8</v>
      </c>
      <c r="CX21" s="381">
        <v>1.3</v>
      </c>
      <c r="CY21" s="22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3.5</v>
      </c>
      <c r="CZ21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#REF!</v>
      </c>
      <c r="DA21" s="22">
        <f>ABS(INDEX('HCM2000'!$E$611:$M$611,1,MATCH(Tabela24[Pt]*100,'HCM2000'!$E$611:$M$611,1))-Tabela24[Pt]*100)</f>
        <v>42</v>
      </c>
      <c r="DB21" s="22" t="e">
        <f>INDEX('HCM2000'!$E$611:$M$611,1,MATCH(Tabela24[[#This Row],[Pt]]*100,'HCM2000'!$E$611:$M$611,1)+1)-Tabela24[[#This Row],[Pt]]*100</f>
        <v>#REF!</v>
      </c>
      <c r="DC21" s="22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3.5</v>
      </c>
      <c r="DD21" s="440">
        <v>8.1999999999999993</v>
      </c>
      <c r="DE21" s="423">
        <f>1/(1+(Tabela24[Pt]*(Tabela24[ETsu]-1))+(Tabela24[PRv]*(Tabela24[ERsu]-1)))</f>
        <v>0.34590107229332412</v>
      </c>
      <c r="DF21" s="438">
        <f>Tabela24[Vzão]/(Tabela24[PHF]*Tabela24[N]*Tabela24[fHVsu])</f>
        <v>137.87241847826087</v>
      </c>
      <c r="DG21" s="332">
        <f>IF(Tabela24[fLC]="Pista simples","-",Tabela24[vpsu]/Tabela24[S])</f>
        <v>1.7028293760180424</v>
      </c>
      <c r="DH21" s="332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80.966666666666683</v>
      </c>
      <c r="DI21" s="426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5</v>
      </c>
      <c r="DJ21" s="425" t="str">
        <f>IF(Tabela24[[#This Row],[LOS_vp3]]="F","F",VLOOKUP(Tabela24[[#This Row],[LOS_vp3]],'HCM2000'!$R$655:$S$659,2))</f>
        <v>A</v>
      </c>
      <c r="DK21" s="426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5</v>
      </c>
      <c r="DL21" s="425" t="str">
        <f>IF(Tabela24[[#This Row],[LOS_vp3]]="F","F",IF(Tabela24[[#This Row],[fLC]]="Pista simples","-",VLOOKUP(Tabela24[[#This Row],[LOS_D3]],'HCM2000'!$R$655:$S$659,2)))</f>
        <v>A</v>
      </c>
      <c r="DM21" s="416" t="str">
        <f>IF(OR(Tabela24[[#This Row],[LOS_vp3]]="F",Tabela24[[#This Row],[LOS_D3]]="F"),"F",IF(Tabela24[[#This Row],[Pista]]="Pista Simples","-",VLOOKUP(MINA(Tabela24[LOS_vp3],Tabela24[LOS_D3]),'HCM2000'!$R$655:$S$659,2)))</f>
        <v>-</v>
      </c>
      <c r="DN21" s="416"/>
      <c r="DO21" s="22">
        <f>Tabela24[[#This Row],[ATS]]</f>
        <v>74.471028655303044</v>
      </c>
      <c r="DP21" s="416">
        <v>74.5</v>
      </c>
      <c r="DQ21" s="22">
        <f t="shared" si="11"/>
        <v>2.8971344696955725E-2</v>
      </c>
      <c r="DR21" s="22">
        <f>Tabela24[[#This Row],[PTSF]]</f>
        <v>48.599954998610727</v>
      </c>
      <c r="DS21" s="416">
        <v>49.8</v>
      </c>
      <c r="DT21" s="22">
        <f t="shared" si="12"/>
        <v>1.2000450013892703</v>
      </c>
      <c r="DU21" s="22"/>
      <c r="DV21" s="22">
        <v>74.471028655303044</v>
      </c>
      <c r="DW21" s="416">
        <v>74.5</v>
      </c>
      <c r="DX21" s="22">
        <v>2.8971344696955725E-2</v>
      </c>
      <c r="DY21" s="22">
        <v>48.599954998610727</v>
      </c>
      <c r="DZ21" s="416">
        <v>49.8</v>
      </c>
      <c r="EA21" s="22">
        <v>1.2000450013892703</v>
      </c>
      <c r="EC21" s="523">
        <v>3</v>
      </c>
      <c r="ED21" s="523">
        <v>0.92</v>
      </c>
      <c r="EE21" s="517" t="s">
        <v>580</v>
      </c>
      <c r="EF21" s="517" t="str">
        <f t="shared" si="7"/>
        <v>level</v>
      </c>
      <c r="EG21" s="517">
        <v>3.4</v>
      </c>
      <c r="EH21" s="517">
        <v>1.8</v>
      </c>
      <c r="EI21" s="517" t="s">
        <v>552</v>
      </c>
      <c r="EJ21" s="517">
        <v>2</v>
      </c>
      <c r="EK21" s="517">
        <v>0.47</v>
      </c>
      <c r="EL21" s="522">
        <v>1858.5</v>
      </c>
      <c r="EM21" s="522">
        <v>2566.5</v>
      </c>
      <c r="EN21" s="517">
        <f t="shared" si="8"/>
        <v>0.54990583804143123</v>
      </c>
      <c r="EO21" s="517">
        <f>70</f>
        <v>70</v>
      </c>
      <c r="EP21" s="517">
        <v>0.57999999999999996</v>
      </c>
      <c r="EQ21" s="517">
        <v>0.57999999999999996</v>
      </c>
      <c r="ER21" s="517">
        <v>0.03</v>
      </c>
      <c r="ET21" s="523">
        <f t="shared" si="13"/>
        <v>0.88</v>
      </c>
      <c r="EU21" s="520">
        <f>(INPUTS[Cars '[VDMA']]+INPUTS[Trucks '[VDMA']])*GENERAL[VDMA to veh/h ]*INPUTS[Direction Split '[%']]</f>
        <v>292</v>
      </c>
      <c r="EV21" s="520">
        <f>(INPUTS[Cars '[VDMA']]+INPUTS[Trucks '[VDMA']])*GENERAL[VDMA to veh/h ]*(1-INPUTS[Direction Split '[%']])</f>
        <v>239.00000000000003</v>
      </c>
      <c r="EW21" s="523">
        <f>88</f>
        <v>88</v>
      </c>
      <c r="EX21" s="520">
        <f>INDEX('HCM2000'!$L$68:$AF$83,MATCH(INPUTS[Lane width '[m']],'HCM2000'!$K$68:$K$83),MATCH(INPUTS[Shoulder width '[m']],'HCM2000'!$L$67:$AF$67)+1)</f>
        <v>0.7</v>
      </c>
      <c r="EY21" s="520">
        <f>MIN(16,2/3*INPUTS[Access points /km '[1']])</f>
        <v>1.3333333333333333</v>
      </c>
      <c r="EZ21" s="520">
        <f>GENERAL[BFFS  '[km/h']]-GENERAL[fLS '[20-5']]-GENERAL[fA '[20-6']]</f>
        <v>85.966666666666669</v>
      </c>
      <c r="FA21" s="520">
        <f t="shared" si="14"/>
        <v>0.12</v>
      </c>
      <c r="FB21" s="520">
        <f>GENERAL[FFS  '[km/h']] - INPUTS[Truck crawl speed '[km/h']]</f>
        <v>15.966666666666669</v>
      </c>
      <c r="FC21" s="416"/>
      <c r="FD21" s="520">
        <f>IF(INPUTS[Type of terrain]="level",0,1)</f>
        <v>0</v>
      </c>
      <c r="FE21" s="520">
        <v>1.0000000000000053</v>
      </c>
      <c r="FF21" s="520">
        <v>1.0000000000000002</v>
      </c>
      <c r="FG21" s="520">
        <v>2.8000000000000003</v>
      </c>
      <c r="FH21" s="520">
        <v>1.2000000000000002</v>
      </c>
      <c r="FI21" s="520">
        <v>1.0000000000000002</v>
      </c>
      <c r="FJ21" s="520">
        <v>3.1300000000000288</v>
      </c>
      <c r="FK21" s="520">
        <v>1.0000000000000053</v>
      </c>
      <c r="FL21" s="520">
        <f>IF(INPUTS[Direction analysed ?]="up",TWO_LANE_HIGHWAY[fG_ATS_O_DOWN '[20-7']],TWO_LANE_HIGHWAY[fG_ATS_O_UP '[20-13']])</f>
        <v>1.0000000000000053</v>
      </c>
      <c r="FM21" s="520">
        <f>IF(INPUTS[Direction analysed ?]="up",TWO_LANE_HIGHWAY[ET_ATS_O_DOWN '[20-9']],TWO_LANE_HIGHWAY[ET_ATS_O_UP '[20-15']])</f>
        <v>3.1300000000000288</v>
      </c>
      <c r="FN21" s="520">
        <f>IF(INPUTS[Direction analysed ?]="up",TWO_LANE_HIGHWAY[ER_ATS_O_DOWN '[20-9']],TWO_LANE_HIGHWAY[ER_ATS_O_UP '[20-17']])</f>
        <v>1.0000000000000053</v>
      </c>
      <c r="FO21" s="520">
        <f>IF(INPUTS[Direction analysed ?]="up",1,0)*INPUTS[PTC '[%']]</f>
        <v>0</v>
      </c>
      <c r="FP21" s="520">
        <f>1/(1+TWO_LANE_HIGHWAY[PTC_O'' '[%']]*INPUTS[PT '[%']]*(TWO_LANE_HIGHWAY[ETC_ATS_O '[20-18']]-1)+(1-TWO_LANE_HIGHWAY[PTC_O'' '[%']])*INPUTS[PT '[%']]*(TWO_LANE_HIGHWAY[ET_ATS_O]-1)+INPUTS[PR '[%']]*(TWO_LANE_HIGHWAY[ER_ATS_O]-1))</f>
        <v>0.44734723092063733</v>
      </c>
      <c r="FQ21" s="520">
        <f>GENERAL[VO '[veh/h']]/GENERAL[PHF]</f>
        <v>271.59090909090912</v>
      </c>
      <c r="FR21" s="520">
        <v>607.1143181818195</v>
      </c>
      <c r="FS21" s="520">
        <f>IFERROR(GENERAL[VO '[veh/h']]/(GENERAL[PHF]*TWO_LANE_HIGHWAY[fG_ATS_O]*TWO_LANE_HIGHWAY[fHV_ATS_O '[(20-14)']]),0)</f>
        <v>607.1143181818195</v>
      </c>
      <c r="FT21" s="520">
        <v>1.0000000000000051</v>
      </c>
      <c r="FU21" s="520">
        <v>1.0000000000000002</v>
      </c>
      <c r="FV21" s="520">
        <v>2.8000000000000003</v>
      </c>
      <c r="FW21" s="520">
        <v>1.2000000000000002</v>
      </c>
      <c r="FX21" s="520">
        <v>1.0000000000000002</v>
      </c>
      <c r="FY21" s="520">
        <v>3.1300000000000288</v>
      </c>
      <c r="FZ21" s="520">
        <v>1.0000000000000051</v>
      </c>
      <c r="GA21" s="520">
        <f>IF(INPUTS[Direction analysed ?]="up",TWO_LANE_HIGHWAY[fG_ATS_D_UP '[20-13']],TWO_LANE_HIGHWAY[fG_ATS_D_DOWN '[20-7']])</f>
        <v>1.0000000000000002</v>
      </c>
      <c r="GB21" s="280">
        <f>IF(INPUTS[Direction analysed ?]="up",TWO_LANE_HIGHWAY[ET_ATS_D_UP '[20-15']],TWO_LANE_HIGHWAY[ET_ATS_D_DOWN '[20-9']])</f>
        <v>1.2000000000000002</v>
      </c>
      <c r="GC21" s="520">
        <f>IF(INPUTS[Direction analysed ?]="up",TWO_LANE_HIGHWAY[ER_ATS_D_UP '[20-17']],TWO_LANE_HIGHWAY[ER_ATS_D_DOWN '[20-9']])</f>
        <v>1.0000000000000002</v>
      </c>
      <c r="GD21" s="520">
        <f>IF(INPUTS[Direction analysed ?]="up",0,1)*INPUTS[PTC '[%']]</f>
        <v>0.57999999999999996</v>
      </c>
      <c r="GE21" s="520">
        <f>1/(1+TWO_LANE_HIGHWAY[PTC_D'' '[%']]*INPUTS[PT '[%']]*(TWO_LANE_HIGHWAY[ETC_ATS_D '[20-18']]-1)+(1-TWO_LANE_HIGHWAY[PTC_D'' '[%']])*INPUTS[PT '[%']]*(TWO_LANE_HIGHWAY[ET_ATS_D]-1)+INPUTS[PR '[%']]*(TWO_LANE_HIGHWAY[ER_ATS_D]-1))</f>
        <v>0.60450720572589223</v>
      </c>
      <c r="GF21" s="520">
        <f>GENERAL[VD '[veh/h']]/GENERAL[PHF]</f>
        <v>331.81818181818181</v>
      </c>
      <c r="GG21" s="520">
        <v>548.90690909090904</v>
      </c>
      <c r="GH21" s="520">
        <f>IFERROR(GENERAL[VD '[veh/h']]/(GENERAL[PHF]*TWO_LANE_HIGHWAY[fG_ATS_D]*TWO_LANE_HIGHWAY[fHV_ATS_D '[(20-14)']]),0)</f>
        <v>548.90690909090904</v>
      </c>
      <c r="GI21" s="520">
        <v>1.988756410265152</v>
      </c>
      <c r="GJ21" s="520">
        <f>GENERAL[[#This Row],[FFS  '[km/h']]]</f>
        <v>85.966666666666669</v>
      </c>
      <c r="GK21" s="520">
        <f>TWO_LANE_HIGHWAY[FFSd '[km/h']]-0.0125*(GENERAL[VD '[veh/h']]+GENERAL[VO '[veh/h']])-TWO_LANE_HIGHWAY[fnp_ATS '[20-19']]</f>
        <v>77.340410256401512</v>
      </c>
      <c r="GL21" s="520">
        <v>1</v>
      </c>
      <c r="GM21" s="520">
        <v>1</v>
      </c>
      <c r="GN21" s="520">
        <v>1.1000000000000001</v>
      </c>
      <c r="GO21" s="520">
        <f>1</f>
        <v>1</v>
      </c>
      <c r="GP21" s="520">
        <v>1</v>
      </c>
      <c r="GQ21" s="520">
        <f>1</f>
        <v>1</v>
      </c>
      <c r="GR21" s="520">
        <f>IF(INPUTS[Direction analysed ?]="up",TWO_LANE_HIGHWAY[fG_PTSF_O_DOWN '[20-8']],TWO_LANE_HIGHWAY[fG_PTSF_O_UP '[20-14']])</f>
        <v>1</v>
      </c>
      <c r="GS21" s="520">
        <f>IF(INPUTS[Direction analysed ?]="up",TWO_LANE_HIGHWAY[ET_PTSF_O_DOWN '[20-10']],TWO_LANE_HIGHWAY[ET_PTSF_O_UP '[20-16']])</f>
        <v>1</v>
      </c>
      <c r="GT21" s="520">
        <f>IF(INPUTS[Direction analysed ?]="up",TWO_LANE_HIGHWAY[ER_PTSF_O_DOWN '[20-10']],TWO_LANE_HIGHWAY[ER_PTSF_O_UP '[20-16']])</f>
        <v>1</v>
      </c>
      <c r="GU21" s="520">
        <f>1/(1+INPUTS[PT '[%']]*(TWO_LANE_HIGHWAY[ET_PTSF_O]-1)+INPUTS[PR '[%']]*(TWO_LANE_HIGHWAY[ER_PTSF_O]-1))</f>
        <v>1</v>
      </c>
      <c r="GV21" s="520">
        <f>TWO_LANE_HIGHWAY[Vo_ATS_init '[pc/h']]</f>
        <v>271.59090909090912</v>
      </c>
      <c r="GW21" s="520">
        <v>271.59090909090912</v>
      </c>
      <c r="GX21" s="520">
        <f>IFERROR(GENERAL[VO '[veh/h']]/(GENERAL[PHF]*TWO_LANE_HIGHWAY[FG_PTSF_O]*TWO_LANE_HIGHWAY[fHV_PTSF_O]),0)</f>
        <v>271.59090909090912</v>
      </c>
      <c r="GY21" s="520">
        <v>0.93000000000000793</v>
      </c>
      <c r="GZ21" s="520">
        <v>1.0000000000000002</v>
      </c>
      <c r="HA21" s="520">
        <v>1.1000000000000005</v>
      </c>
      <c r="HB21" s="520">
        <f>1</f>
        <v>1</v>
      </c>
      <c r="HC21" s="520">
        <v>1.0000000000000064</v>
      </c>
      <c r="HD21" s="520">
        <f>1</f>
        <v>1</v>
      </c>
      <c r="HE21" s="520">
        <f>IF(INPUTS[Direction analysed ?]="up",TWO_LANE_HIGHWAY[fG_PTSF_D_UP '[20-14']],TWO_LANE_HIGHWAY[fG_PTSF_D_DOWN '[20-8']])</f>
        <v>1.0000000000000002</v>
      </c>
      <c r="HF21" s="520">
        <f>IF(INPUTS[Direction analysed ?]="up",TWO_LANE_HIGHWAY[ET_PTSF_D_UP '[20-16']],TWO_LANE_HIGHWAY[ET_PTSF_D_DOWN '[20-10']])</f>
        <v>1.1000000000000005</v>
      </c>
      <c r="HG21" s="520">
        <f>IF(INPUTS[Direction analysed ?]="up",TWO_LANE_HIGHWAY[ER_PTSF_D_UP '[20-16']],TWO_LANE_HIGHWAY[ER_PTSF_D_DOWN  '[20-10']])</f>
        <v>1</v>
      </c>
      <c r="HH21" s="520">
        <f>1/(1+INPUTS[PT '[%']]*(TWO_LANE_HIGHWAY[ET_PTSF_D]-1)+INPUTS[PR '[%']]*(TWO_LANE_HIGHWAY[ER_PTSF_D]-1))</f>
        <v>0.9451795841209828</v>
      </c>
      <c r="HI21" s="520">
        <f>TWO_LANE_HIGHWAY[Vd_ATS_init '[pc/h']]</f>
        <v>331.81818181818181</v>
      </c>
      <c r="HJ21" s="520">
        <v>351.06363636363636</v>
      </c>
      <c r="HK21" s="520">
        <f>IFERROR(GENERAL[VD '[veh/h']]/(GENERAL[PHF]*TWO_LANE_HIGHWAY[FG_PTSF_D]*TWO_LANE_HIGHWAY[fHV_PTSF_D]),0)</f>
        <v>351.06363636363636</v>
      </c>
      <c r="HL21" s="520">
        <v>14.881442161363537</v>
      </c>
      <c r="HM21" s="520">
        <v>-2.8750000000000012E-2</v>
      </c>
      <c r="HN21" s="520">
        <v>0.60034659090909093</v>
      </c>
      <c r="HO21" s="520">
        <f>100*EXP(TWO_LANE_HIGHWAY[a '[20-21']]*TWO_LANE_HIGHWAY[Vd_PTSF '[pc/h']]^TWO_LANE_HIGHWAY[b '[20-21']])</f>
        <v>37.91001152565579</v>
      </c>
      <c r="HP21" s="520">
        <f>TWO_LANE_HIGHWAY[BPTSFd '[%']]+TWO_LANE_HIGHWAY[fnp_PTSF '[20-20']]</f>
        <v>52.791453687019327</v>
      </c>
      <c r="HQ21" s="520"/>
    </row>
    <row r="22" spans="2:225">
      <c r="B22" s="383">
        <v>9</v>
      </c>
      <c r="C22" s="389"/>
      <c r="D22" s="384"/>
      <c r="E22" s="385">
        <v>24201</v>
      </c>
      <c r="F22" s="385">
        <v>24501</v>
      </c>
      <c r="G22" s="390">
        <v>300</v>
      </c>
      <c r="H22" s="383" t="s">
        <v>263</v>
      </c>
      <c r="I22" s="383" t="s">
        <v>379</v>
      </c>
      <c r="J22" s="383">
        <v>2</v>
      </c>
      <c r="K22" s="386">
        <v>4.5999999999999996</v>
      </c>
      <c r="L22" s="383" t="s">
        <v>143</v>
      </c>
      <c r="M22" s="386">
        <v>4.2</v>
      </c>
      <c r="N22" s="386">
        <v>1</v>
      </c>
      <c r="O22" s="383">
        <v>1</v>
      </c>
      <c r="P22" s="383" t="s">
        <v>366</v>
      </c>
      <c r="Q22" s="383" t="s">
        <v>144</v>
      </c>
      <c r="R22" s="392" t="s">
        <v>73</v>
      </c>
      <c r="S22" s="310">
        <v>7</v>
      </c>
      <c r="T22" s="420"/>
      <c r="U22" s="382">
        <v>24</v>
      </c>
      <c r="V22" s="399">
        <v>6473.9966140621727</v>
      </c>
      <c r="W22" s="399">
        <v>2824.5698392986178</v>
      </c>
      <c r="X22" s="420"/>
      <c r="Y22" s="398">
        <f t="shared" si="0"/>
        <v>1</v>
      </c>
      <c r="Z22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22" s="182" t="s">
        <v>644</v>
      </c>
      <c r="AB22" s="391" t="s">
        <v>654</v>
      </c>
      <c r="AC22" s="31">
        <v>3.5</v>
      </c>
      <c r="AD22" s="31">
        <v>2.5</v>
      </c>
      <c r="AE22" s="421"/>
      <c r="AF22" s="421"/>
      <c r="AG22" s="421">
        <v>0</v>
      </c>
      <c r="AH22" s="441">
        <v>0.56999999999999995</v>
      </c>
      <c r="AI22" s="25">
        <v>0.03</v>
      </c>
      <c r="AJ22" s="435">
        <v>8.7999999999999995E-2</v>
      </c>
      <c r="AK22" s="330">
        <v>386</v>
      </c>
      <c r="AL22" s="263">
        <v>0.55000000000000004</v>
      </c>
      <c r="AM22" s="414">
        <v>212.3</v>
      </c>
      <c r="AN22" s="417">
        <v>2</v>
      </c>
      <c r="AO22" s="467" t="s">
        <v>73</v>
      </c>
      <c r="AP22" s="439">
        <v>88</v>
      </c>
      <c r="AQ22" s="442">
        <v>0.34</v>
      </c>
      <c r="AR22" s="422">
        <v>0.88</v>
      </c>
      <c r="AS22" s="316"/>
      <c r="AT22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22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22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22" s="23">
        <f>1/(1+(Tabela24[[#This Row],[Pt]])*(Tabela24[[#This Row],[Et]]-1)+(Tabela24[[#This Row],[PRv]])*(Tabela24[[#This Row],[Er]]-1))</f>
        <v>0.89766606822262129</v>
      </c>
      <c r="AX22" s="423">
        <f>Tabela24[veic/h]/Tabela24[PHF]</f>
        <v>438.63636363636363</v>
      </c>
      <c r="AY22" s="423">
        <v>613.6522727272727</v>
      </c>
      <c r="AZ22" s="21">
        <f>Tabela24[veic/h]/(Tabela24[PHF]*Tabela24[fg ats]*Tabela24[fhv ats])</f>
        <v>488.64090909090902</v>
      </c>
      <c r="BA22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22" s="322" t="str">
        <f>IF(AND(Tabela24[[#This Row],[vp1]]*Tabela24[[#This Row],[distrib. direc.]]&lt;1700,Tabela24[[#This Row],[vp1]]&lt;3200),"OK!","FAIL")</f>
        <v>OK!</v>
      </c>
      <c r="BC22" s="23">
        <f>INDEX('HCM2000'!$L$68:$AF$83,MATCH(Tabela24[[#This Row],[faixa (m)]],'HCM2000'!$K$68:$K$83),MATCH(Tabela24[[#This Row],[acost (m)]],'HCM2000'!$L$67:$AF$67))</f>
        <v>0.7</v>
      </c>
      <c r="BD22" s="23">
        <f>MIN(16,(2/3)*Tabela24[[#This Row],[acessos/km]])</f>
        <v>1.3333333333333333</v>
      </c>
      <c r="BE22" s="22">
        <f>Tabela24[BFFS]-Tabela24[fLS]-Tabela24[fA]</f>
        <v>85.966666666666669</v>
      </c>
      <c r="BF22" s="23">
        <v>2.2000000000000002</v>
      </c>
      <c r="BG22" s="463">
        <f>IFERROR(Tabela24[[#This Row],[vp1]],0)</f>
        <v>488.64090909090902</v>
      </c>
      <c r="BH22" s="463">
        <f>IFERROR(Tabela24[[#This Row],[% zonas s/ultra]],0)</f>
        <v>0.34</v>
      </c>
      <c r="BI22" s="23" t="str">
        <f t="shared" si="5"/>
        <v>FNP</v>
      </c>
      <c r="BJ22" s="23">
        <v>3.6382861363636403</v>
      </c>
      <c r="BK22" s="43">
        <f>Tabela24[FFS]-0.0125*MAX(Tabela24[[#This Row],[vp1]],Tabela24[[#This Row],[vp1'']])-Tabela24[fnp'']</f>
        <v>74.657727121212119</v>
      </c>
      <c r="BL22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22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22" s="23">
        <v>1</v>
      </c>
      <c r="BO22" s="23">
        <f>1/(1+Tabela24[[#This Row],[Pt]]*(Tabela24[[#This Row],[Et time]]-1)+Tabela24[[#This Row],[PRv]]*(Tabela24[[#This Row],[Er time]]-1))</f>
        <v>0.94607379375591305</v>
      </c>
      <c r="BP22" s="23">
        <f>Tabela24[veic/h]/Tabela24[PHF]</f>
        <v>438.63636363636363</v>
      </c>
      <c r="BQ22" s="23">
        <v>463.63863636363629</v>
      </c>
      <c r="BR22" s="438">
        <f>Tabela24[veic/h]/(Tabela24[PHF]*Tabela24[fg time]*Tabela24[fhv follow])</f>
        <v>463.63863636363629</v>
      </c>
      <c r="BS22" s="438" t="str">
        <f>IF(AND(Tabela24[[#This Row],[vp2]]*Tabela24[[#This Row],[distrib. direc.]]&lt;1700,Tabela24[[#This Row],[vp2]]&lt;3200),"OK!","FAIL")</f>
        <v>OK!</v>
      </c>
      <c r="BT22" s="23">
        <f>100*(1-EXP(-0.000879*MAX(Tabela24[[#This Row],[vp2]],Tabela24[[#This Row],[vp2'']])))</f>
        <v>33.471407036696213</v>
      </c>
      <c r="BU22" s="304" t="e">
        <v>#DIV/0!</v>
      </c>
      <c r="BV22" s="304">
        <f>IF(TYPE(Tabela24[distrib. direc.])&lt;&gt;1,0,Tabela24[distrib. direc.])</f>
        <v>0.55000000000000004</v>
      </c>
      <c r="BW22" s="304">
        <f>IF(TYPE(Tabela24[vp2])&lt;&gt;1,0,Tabela24[vp2])</f>
        <v>463.63863636363629</v>
      </c>
      <c r="BX22" s="304">
        <f>IF(TYPE(Tabela24[% zonas s/ultra])&lt;&gt;1,0,Tabela24[% zonas s/ultra])</f>
        <v>0.34</v>
      </c>
      <c r="BY22" s="304" t="str">
        <f t="shared" si="6"/>
        <v>FDNP</v>
      </c>
      <c r="BZ22" s="31">
        <v>14.608173181818112</v>
      </c>
      <c r="CA22" s="305">
        <f>Tabela24[BPTSF]+Tabela24[fd/np'']</f>
        <v>48.079580218514323</v>
      </c>
      <c r="CB22" s="424">
        <f>Tabela24[vp1]/3200</f>
        <v>0.15270028409090908</v>
      </c>
      <c r="CC22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22" s="332">
        <f>VLOOKUP(Tabela24[faixa (m)],'HCM2000'!$B$541:$C$547,2,TRUE)</f>
        <v>1</v>
      </c>
      <c r="CE22" s="332">
        <f>IF(Tabela24[acost (m)]&gt;0,1.8,1.2)</f>
        <v>1.8</v>
      </c>
      <c r="CF22" s="332">
        <f>IF(Tabela24[Separador]=$CB$6,$CD$6,IF(Tabela24[Separador]=$CB$7,$CD$7,$CD$8))</f>
        <v>0</v>
      </c>
      <c r="CG22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22" s="332">
        <f>IF(Tabela24[Separador]="Sinalização horizontal",'HCM2000'!$C$590,'HCM2000'!$C$591)</f>
        <v>2.6</v>
      </c>
      <c r="CI22" s="332">
        <f>MIN((2/3)*Tabela24[[#This Row],[acessos/km]],16)</f>
        <v>1.3333333333333333</v>
      </c>
      <c r="CJ22" s="332">
        <f>IF(Tabela24[fLC]="Pista simples","-",Tabela24[BFFS]-Tabela24[fLW]-Tabela24[fLC]-Tabela24[fM]-Tabela24[fA2])</f>
        <v>80.966666666666683</v>
      </c>
      <c r="CK22" s="332">
        <f>IF(Tabela24[plano/ondulado]="Montanhoso",Tabela24[Para PT&lt;],VLOOKUP(Tabela24[plano/ondulado],'HCM2000'!$B$606:$C$608,2,FALSE))</f>
        <v>1.5</v>
      </c>
      <c r="CL22" s="332">
        <f>IF(Tabela24[[#This Row],[plano/ondulado]]="Montanhoso",Tabela24[[#This Row],[Para PT&lt;]],VLOOKUP(Tabela24[[#This Row],[plano/ondulado]],'HCM2000'!$E$606:$F$608,2,FALSE))</f>
        <v>1.2</v>
      </c>
      <c r="CM22" s="433">
        <f>1/(1+(Tabela24[Pt]*(Tabela24[Et2]-1))+(Tabela24[PRv]*(Tabela24[Er2]-1)))</f>
        <v>0.77459333849728895</v>
      </c>
      <c r="CN22" s="329">
        <f>K22+IF(Tabela24[[#This Row],[Num. Faixas Marg.]]="-",0,Tabela24[[#This Row],[Num. Faixas Marg.]])</f>
        <v>4.5999999999999996</v>
      </c>
      <c r="CO22" s="331">
        <f>Tabela24[[#This Row],[Vzão]]/(Tabela24[[#This Row],[PHF]]*Tabela24[[#This Row],[N]]*Tabela24[[#This Row],[fHV]])</f>
        <v>67.707336956521743</v>
      </c>
      <c r="CP22" s="332">
        <f>IF(Tabela24[fLC]="Pista simples","-",Tabela24[vp3]/Tabela24[S])</f>
        <v>0.83623717937243802</v>
      </c>
      <c r="CQ22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22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22" s="308" t="str">
        <f>IF(Tabela24[LOS_vp3]="F","F",VLOOKUP(Tabela24[LOS_vp3],'HCM2000'!$R$655:$S$659,2))</f>
        <v>A</v>
      </c>
      <c r="CT22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22" s="425" t="str">
        <f>IF(Tabela24[[#This Row],[LOS_vp3]]="F","F",IF(Tabela24[[#This Row],[fLC]]="Pista simples","-",VLOOKUP(Tabela24[[#This Row],[LOS_D3]],'HCM2000'!$R$655:$S$659,2)))</f>
        <v>A</v>
      </c>
      <c r="CV22" s="280" t="str">
        <f>IF(OR(Tabela24[[#This Row],[LOS_vp3]]="F",Tabela24[[#This Row],[LOS_D3]]="F"),"F",IF(Tabela24[[#This Row],[Pista]]="Pista Simples","-",VLOOKUP(MINA(Tabela24[LOS_vp],Tabela24[LOS_D]),'HCM2000'!$R$655:$S$659,2)))</f>
        <v>-</v>
      </c>
      <c r="CW22" s="381">
        <v>8</v>
      </c>
      <c r="CX22" s="381">
        <v>1.3</v>
      </c>
      <c r="CY22" s="22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3.5</v>
      </c>
      <c r="CZ22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#REF!</v>
      </c>
      <c r="DA22" s="22">
        <f>ABS(INDEX('HCM2000'!$E$611:$M$611,1,MATCH(Tabela24[Pt]*100,'HCM2000'!$E$611:$M$611,1))-Tabela24[Pt]*100)</f>
        <v>31.999999999999993</v>
      </c>
      <c r="DB22" s="22" t="e">
        <f>INDEX('HCM2000'!$E$611:$M$611,1,MATCH(Tabela24[[#This Row],[Pt]]*100,'HCM2000'!$E$611:$M$611,1)+1)-Tabela24[[#This Row],[Pt]]*100</f>
        <v>#REF!</v>
      </c>
      <c r="DC22" s="22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3.5</v>
      </c>
      <c r="DD22" s="440">
        <v>9.1999999999999993</v>
      </c>
      <c r="DE22" s="423">
        <f>1/(1+(Tabela24[Pt]*(Tabela24[ETsu]-1))+(Tabela24[PRv]*(Tabela24[ERsu]-1)))</f>
        <v>0.37439161362785478</v>
      </c>
      <c r="DF22" s="438">
        <f>Tabela24[Vzão]/(Tabela24[PHF]*Tabela24[N]*Tabela24[fHVsu])</f>
        <v>140.08233695652174</v>
      </c>
      <c r="DG22" s="332">
        <f>IF(Tabela24[fLC]="Pista simples","-",Tabela24[vpsu]/Tabela24[S])</f>
        <v>1.730123552365439</v>
      </c>
      <c r="DH22" s="332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80.966666666666683</v>
      </c>
      <c r="DI22" s="426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5</v>
      </c>
      <c r="DJ22" s="425" t="str">
        <f>IF(Tabela24[[#This Row],[LOS_vp3]]="F","F",VLOOKUP(Tabela24[[#This Row],[LOS_vp3]],'HCM2000'!$R$655:$S$659,2))</f>
        <v>A</v>
      </c>
      <c r="DK22" s="426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5</v>
      </c>
      <c r="DL22" s="425" t="str">
        <f>IF(Tabela24[[#This Row],[LOS_vp3]]="F","F",IF(Tabela24[[#This Row],[fLC]]="Pista simples","-",VLOOKUP(Tabela24[[#This Row],[LOS_D3]],'HCM2000'!$R$655:$S$659,2)))</f>
        <v>A</v>
      </c>
      <c r="DM22" s="416" t="str">
        <f>IF(OR(Tabela24[[#This Row],[LOS_vp3]]="F",Tabela24[[#This Row],[LOS_D3]]="F"),"F",IF(Tabela24[[#This Row],[Pista]]="Pista Simples","-",VLOOKUP(MINA(Tabela24[LOS_vp3],Tabela24[LOS_D3]),'HCM2000'!$R$655:$S$659,2)))</f>
        <v>-</v>
      </c>
      <c r="DN22" s="416"/>
      <c r="DO22" s="22">
        <f>Tabela24[[#This Row],[ATS]]</f>
        <v>74.657727121212119</v>
      </c>
      <c r="DP22" s="416">
        <v>74.900000000000006</v>
      </c>
      <c r="DQ22" s="22">
        <f t="shared" si="11"/>
        <v>0.24227287878788673</v>
      </c>
      <c r="DR22" s="22">
        <f>Tabela24[[#This Row],[PTSF]]</f>
        <v>48.079580218514323</v>
      </c>
      <c r="DS22" s="416">
        <v>48.9</v>
      </c>
      <c r="DT22" s="22">
        <f t="shared" si="12"/>
        <v>0.82041978148567551</v>
      </c>
      <c r="DU22" s="22"/>
      <c r="DV22" s="22">
        <v>74.925604848484852</v>
      </c>
      <c r="DW22" s="416">
        <v>74.900000000000006</v>
      </c>
      <c r="DX22" s="22">
        <v>2.5604848484846343E-2</v>
      </c>
      <c r="DY22" s="22">
        <v>48.079580218514316</v>
      </c>
      <c r="DZ22" s="416">
        <v>48.9</v>
      </c>
      <c r="EA22" s="22">
        <v>0.82041978148567551</v>
      </c>
      <c r="EB22" s="416"/>
      <c r="EC22" s="416"/>
      <c r="ED22" s="416"/>
      <c r="EE22" s="416"/>
      <c r="EF22" s="416"/>
      <c r="EG22" s="416"/>
      <c r="EH22" s="416"/>
      <c r="EI22" s="416"/>
      <c r="EJ22" s="416"/>
      <c r="EK22" s="416"/>
      <c r="EL22" s="416"/>
      <c r="EM22" s="416"/>
      <c r="EN22" s="416"/>
      <c r="EO22" s="416"/>
      <c r="EP22" s="416"/>
      <c r="EQ22" s="416"/>
      <c r="ER22" s="416"/>
      <c r="ES22" s="416"/>
      <c r="ET22" s="416"/>
      <c r="EU22" s="416"/>
      <c r="EV22" s="416"/>
      <c r="EW22" s="416"/>
      <c r="EX22" s="416"/>
      <c r="EY22" s="416"/>
      <c r="EZ22" s="416"/>
      <c r="FA22" s="416"/>
      <c r="FB22" s="416"/>
      <c r="FC22" s="416"/>
      <c r="FD22" s="416"/>
      <c r="FE22" s="416"/>
      <c r="FF22" s="416"/>
      <c r="FG22" s="416"/>
      <c r="FH22" s="416"/>
      <c r="FI22" s="416"/>
      <c r="FJ22" s="416"/>
      <c r="FK22" s="416"/>
      <c r="FL22" s="416"/>
      <c r="FM22" s="416"/>
      <c r="FR22" s="3"/>
      <c r="FS22" s="3"/>
      <c r="FV22" s="58"/>
      <c r="FW22" s="58"/>
    </row>
    <row r="23" spans="2:225">
      <c r="B23" s="383">
        <v>10</v>
      </c>
      <c r="C23" s="389"/>
      <c r="D23" s="384"/>
      <c r="E23" s="385">
        <v>24201</v>
      </c>
      <c r="F23" s="385">
        <v>24501</v>
      </c>
      <c r="G23" s="390">
        <v>300</v>
      </c>
      <c r="H23" s="383" t="s">
        <v>263</v>
      </c>
      <c r="I23" s="383" t="s">
        <v>379</v>
      </c>
      <c r="J23" s="383">
        <v>2</v>
      </c>
      <c r="K23" s="386">
        <v>4.5999999999999996</v>
      </c>
      <c r="L23" s="383" t="s">
        <v>143</v>
      </c>
      <c r="M23" s="386">
        <v>4.2</v>
      </c>
      <c r="N23" s="386">
        <v>1</v>
      </c>
      <c r="O23" s="383">
        <v>1</v>
      </c>
      <c r="P23" s="383" t="s">
        <v>366</v>
      </c>
      <c r="Q23" s="383" t="s">
        <v>144</v>
      </c>
      <c r="R23" s="392" t="s">
        <v>73</v>
      </c>
      <c r="S23" s="310">
        <v>8</v>
      </c>
      <c r="T23" s="420"/>
      <c r="U23" s="382">
        <v>24</v>
      </c>
      <c r="V23" s="399">
        <v>6473.9966140621727</v>
      </c>
      <c r="W23" s="399">
        <v>2824.5698392986178</v>
      </c>
      <c r="X23" s="420"/>
      <c r="Y23" s="398">
        <f t="shared" si="0"/>
        <v>1</v>
      </c>
      <c r="Z23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23" s="182" t="s">
        <v>644</v>
      </c>
      <c r="AB23" s="391" t="s">
        <v>654</v>
      </c>
      <c r="AC23" s="31">
        <v>3.5</v>
      </c>
      <c r="AD23" s="31">
        <v>2.5</v>
      </c>
      <c r="AE23" s="421"/>
      <c r="AF23" s="421"/>
      <c r="AG23" s="421">
        <v>0</v>
      </c>
      <c r="AH23" s="441">
        <v>0.55000000000000004</v>
      </c>
      <c r="AI23" s="25">
        <v>0.03</v>
      </c>
      <c r="AJ23" s="435">
        <v>8.7999999999999995E-2</v>
      </c>
      <c r="AK23" s="330">
        <v>432</v>
      </c>
      <c r="AL23" s="263">
        <v>0.55000000000000004</v>
      </c>
      <c r="AM23" s="414">
        <v>237.60000000000002</v>
      </c>
      <c r="AN23" s="417">
        <v>3</v>
      </c>
      <c r="AO23" s="467" t="s">
        <v>73</v>
      </c>
      <c r="AP23" s="439">
        <v>88</v>
      </c>
      <c r="AQ23" s="442">
        <v>0.38</v>
      </c>
      <c r="AR23" s="422">
        <v>0.88</v>
      </c>
      <c r="AS23" s="316"/>
      <c r="AT23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23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23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23" s="23">
        <f>1/(1+(Tabela24[[#This Row],[Pt]])*(Tabela24[[#This Row],[Et]]-1)+(Tabela24[[#This Row],[PRv]])*(Tabela24[[#This Row],[Er]]-1))</f>
        <v>0.90090090090090102</v>
      </c>
      <c r="AX23" s="423">
        <f>Tabela24[veic/h]/Tabela24[PHF]</f>
        <v>490.90909090909093</v>
      </c>
      <c r="AY23" s="423">
        <v>679.90909090909088</v>
      </c>
      <c r="AZ23" s="21">
        <f>Tabela24[veic/h]/(Tabela24[PHF]*Tabela24[fg ats]*Tabela24[fhv ats])</f>
        <v>544.90909090909088</v>
      </c>
      <c r="BA23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23" s="322" t="str">
        <f>IF(AND(Tabela24[[#This Row],[vp1]]*Tabela24[[#This Row],[distrib. direc.]]&lt;1700,Tabela24[[#This Row],[vp1]]&lt;3200),"OK!","FAIL")</f>
        <v>OK!</v>
      </c>
      <c r="BC23" s="23">
        <f>INDEX('HCM2000'!$L$68:$AF$83,MATCH(Tabela24[[#This Row],[faixa (m)]],'HCM2000'!$K$68:$K$83),MATCH(Tabela24[[#This Row],[acost (m)]],'HCM2000'!$L$67:$AF$67))</f>
        <v>0.7</v>
      </c>
      <c r="BD23" s="23">
        <f>MIN(16,(2/3)*Tabela24[[#This Row],[acessos/km]])</f>
        <v>2</v>
      </c>
      <c r="BE23" s="22">
        <f>Tabela24[BFFS]-Tabela24[fLS]-Tabela24[fA]</f>
        <v>85.3</v>
      </c>
      <c r="BF23" s="23">
        <v>2.2000000000000002</v>
      </c>
      <c r="BG23" s="463">
        <f>IFERROR(Tabela24[[#This Row],[vp1]],0)</f>
        <v>544.90909090909088</v>
      </c>
      <c r="BH23" s="463">
        <f>IFERROR(Tabela24[[#This Row],[% zonas s/ultra]],0)</f>
        <v>0.38</v>
      </c>
      <c r="BI23" s="23" t="str">
        <f t="shared" si="5"/>
        <v>FNP</v>
      </c>
      <c r="BJ23" s="23">
        <v>3.7994636363636394</v>
      </c>
      <c r="BK23" s="43">
        <f>Tabela24[FFS]-0.0125*MAX(Tabela24[[#This Row],[vp1]],Tabela24[[#This Row],[vp1'']])-Tabela24[fnp'']</f>
        <v>73.001672727272719</v>
      </c>
      <c r="BL23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23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23" s="23">
        <v>1</v>
      </c>
      <c r="BO23" s="23">
        <f>1/(1+Tabela24[[#This Row],[Pt]]*(Tabela24[[#This Row],[Et time]]-1)+Tabela24[[#This Row],[PRv]]*(Tabela24[[#This Row],[Er time]]-1))</f>
        <v>0.94786729857819896</v>
      </c>
      <c r="BP23" s="23">
        <f>Tabela24[veic/h]/Tabela24[PHF]</f>
        <v>490.90909090909093</v>
      </c>
      <c r="BQ23" s="23">
        <v>517.90909090909099</v>
      </c>
      <c r="BR23" s="438">
        <f>Tabela24[veic/h]/(Tabela24[PHF]*Tabela24[fg time]*Tabela24[fhv follow])</f>
        <v>517.90909090909099</v>
      </c>
      <c r="BS23" s="438" t="str">
        <f>IF(AND(Tabela24[[#This Row],[vp2]]*Tabela24[[#This Row],[distrib. direc.]]&lt;1700,Tabela24[[#This Row],[vp2]]&lt;3200),"OK!","FAIL")</f>
        <v>OK!</v>
      </c>
      <c r="BT23" s="23">
        <f>100*(1-EXP(-0.000879*MAX(Tabela24[[#This Row],[vp2]],Tabela24[[#This Row],[vp2'']])))</f>
        <v>36.570560754673764</v>
      </c>
      <c r="BU23" s="304" t="e">
        <v>#DIV/0!</v>
      </c>
      <c r="BV23" s="304">
        <f>IF(TYPE(Tabela24[distrib. direc.])&lt;&gt;1,0,Tabela24[distrib. direc.])</f>
        <v>0.55000000000000004</v>
      </c>
      <c r="BW23" s="304">
        <f>IF(TYPE(Tabela24[vp2])&lt;&gt;1,0,Tabela24[vp2])</f>
        <v>517.90909090909099</v>
      </c>
      <c r="BX23" s="304">
        <f>IF(TYPE(Tabela24[% zonas s/ultra])&lt;&gt;1,0,Tabela24[% zonas s/ultra])</f>
        <v>0.38</v>
      </c>
      <c r="BY23" s="304" t="str">
        <f t="shared" si="6"/>
        <v>FDNP</v>
      </c>
      <c r="BZ23" s="31">
        <v>15.207618181818093</v>
      </c>
      <c r="CA23" s="305">
        <f>Tabela24[BPTSF]+Tabela24[fd/np'']</f>
        <v>51.778178936491855</v>
      </c>
      <c r="CB23" s="424">
        <f>Tabela24[vp1]/3200</f>
        <v>0.17028409090909091</v>
      </c>
      <c r="CC23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23" s="332">
        <f>VLOOKUP(Tabela24[faixa (m)],'HCM2000'!$B$541:$C$547,2,TRUE)</f>
        <v>1</v>
      </c>
      <c r="CE23" s="332">
        <f>IF(Tabela24[acost (m)]&gt;0,1.8,1.2)</f>
        <v>1.8</v>
      </c>
      <c r="CF23" s="332">
        <f>IF(Tabela24[Separador]=$CB$6,$CD$6,IF(Tabela24[Separador]=$CB$7,$CD$7,$CD$8))</f>
        <v>0</v>
      </c>
      <c r="CG23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23" s="332">
        <f>IF(Tabela24[Separador]="Sinalização horizontal",'HCM2000'!$C$590,'HCM2000'!$C$591)</f>
        <v>2.6</v>
      </c>
      <c r="CI23" s="332">
        <f>MIN((2/3)*Tabela24[[#This Row],[acessos/km]],16)</f>
        <v>2</v>
      </c>
      <c r="CJ23" s="332">
        <f>IF(Tabela24[fLC]="Pista simples","-",Tabela24[BFFS]-Tabela24[fLW]-Tabela24[fLC]-Tabela24[fM]-Tabela24[fA2])</f>
        <v>80.300000000000011</v>
      </c>
      <c r="CK23" s="332">
        <f>IF(Tabela24[plano/ondulado]="Montanhoso",Tabela24[Para PT&lt;],VLOOKUP(Tabela24[plano/ondulado],'HCM2000'!$B$606:$C$608,2,FALSE))</f>
        <v>1.5</v>
      </c>
      <c r="CL23" s="332">
        <f>IF(Tabela24[[#This Row],[plano/ondulado]]="Montanhoso",Tabela24[[#This Row],[Para PT&lt;]],VLOOKUP(Tabela24[[#This Row],[plano/ondulado]],'HCM2000'!$E$606:$F$608,2,FALSE))</f>
        <v>1.2</v>
      </c>
      <c r="CM23" s="433">
        <f>1/(1+(Tabela24[Pt]*(Tabela24[Et2]-1))+(Tabela24[PRv]*(Tabela24[Er2]-1)))</f>
        <v>0.78064012490242007</v>
      </c>
      <c r="CN23" s="329">
        <f>K23+IF(Tabela24[[#This Row],[Num. Faixas Marg.]]="-",0,Tabela24[[#This Row],[Num. Faixas Marg.]])</f>
        <v>4.5999999999999996</v>
      </c>
      <c r="CO23" s="331">
        <f>Tabela24[[#This Row],[Vzão]]/(Tabela24[[#This Row],[PHF]]*Tabela24[[#This Row],[N]]*Tabela24[[#This Row],[fHV]])</f>
        <v>75.189130434782612</v>
      </c>
      <c r="CP23" s="332">
        <f>IF(Tabela24[fLC]="Pista simples","-",Tabela24[vp3]/Tabela24[S])</f>
        <v>0.93635280740700622</v>
      </c>
      <c r="CQ23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23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23" s="308" t="str">
        <f>IF(Tabela24[LOS_vp3]="F","F",VLOOKUP(Tabela24[LOS_vp3],'HCM2000'!$R$655:$S$659,2))</f>
        <v>F</v>
      </c>
      <c r="CT23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23" s="425" t="str">
        <f>IF(Tabela24[[#This Row],[LOS_vp3]]="F","F",IF(Tabela24[[#This Row],[fLC]]="Pista simples","-",VLOOKUP(Tabela24[[#This Row],[LOS_D3]],'HCM2000'!$R$655:$S$659,2)))</f>
        <v>F</v>
      </c>
      <c r="CV23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23" s="381"/>
      <c r="CX23" s="381"/>
      <c r="CY23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23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23" s="22">
        <f>ABS(INDEX('HCM2000'!$E$611:$M$611,1,MATCH(Tabela24[Pt]*100,'HCM2000'!$E$611:$M$611,1))-Tabela24[Pt]*100)</f>
        <v>30.000000000000007</v>
      </c>
      <c r="DB23" s="22" t="e">
        <f>INDEX('HCM2000'!$E$611:$M$611,1,MATCH(Tabela24[[#This Row],[Pt]]*100,'HCM2000'!$E$611:$M$611,1)+1)-Tabela24[[#This Row],[Pt]]*100</f>
        <v>#REF!</v>
      </c>
      <c r="DC23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23" s="440"/>
      <c r="DE23" s="423" t="e">
        <f>1/(1+(Tabela24[Pt]*(Tabela24[ETsu]-1))+(Tabela24[PRv]*(Tabela24[ERsu]-1)))</f>
        <v>#N/A</v>
      </c>
      <c r="DF23" s="438" t="e">
        <f>Tabela24[Vzão]/(Tabela24[PHF]*Tabela24[N]*Tabela24[fHVsu])</f>
        <v>#N/A</v>
      </c>
      <c r="DG23" s="332" t="e">
        <f>IF(Tabela24[fLC]="Pista simples","-",Tabela24[vpsu]/Tabela24[S])</f>
        <v>#N/A</v>
      </c>
      <c r="DH23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23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23" s="425" t="str">
        <f>IF(Tabela24[[#This Row],[LOS_vp3]]="F","F",VLOOKUP(Tabela24[[#This Row],[LOS_vp3]],'HCM2000'!$R$655:$S$659,2))</f>
        <v>F</v>
      </c>
      <c r="DK23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23" s="425" t="str">
        <f>IF(Tabela24[[#This Row],[LOS_vp3]]="F","F",IF(Tabela24[[#This Row],[fLC]]="Pista simples","-",VLOOKUP(Tabela24[[#This Row],[LOS_D3]],'HCM2000'!$R$655:$S$659,2)))</f>
        <v>F</v>
      </c>
      <c r="DM23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23" s="416"/>
      <c r="DO23" s="22">
        <f>Tabela24[[#This Row],[ATS]]</f>
        <v>73.001672727272719</v>
      </c>
      <c r="DP23" s="416">
        <v>73.400000000000006</v>
      </c>
      <c r="DQ23" s="22">
        <f t="shared" si="11"/>
        <v>0.39832727272728619</v>
      </c>
      <c r="DR23" s="22">
        <f>Tabela24[[#This Row],[PTSF]]</f>
        <v>51.778178936491855</v>
      </c>
      <c r="DS23" s="416">
        <v>52.5</v>
      </c>
      <c r="DT23" s="22">
        <f t="shared" si="12"/>
        <v>0.72182106350814479</v>
      </c>
      <c r="DU23" s="22"/>
      <c r="DV23" s="22">
        <v>73.394836363636358</v>
      </c>
      <c r="DW23" s="416">
        <v>73.400000000000006</v>
      </c>
      <c r="DX23" s="22">
        <v>5.1636363636475835E-3</v>
      </c>
      <c r="DY23" s="22">
        <v>51.778178936491855</v>
      </c>
      <c r="DZ23" s="416">
        <v>52.5</v>
      </c>
      <c r="EA23" s="22">
        <v>0.72182106350814479</v>
      </c>
      <c r="EB23" s="416"/>
      <c r="EC23" s="416"/>
      <c r="ED23" s="416"/>
      <c r="EE23" s="416"/>
      <c r="EF23" s="416"/>
      <c r="EG23" s="416"/>
      <c r="EH23" s="416"/>
      <c r="EI23" s="416"/>
      <c r="EJ23" s="416"/>
      <c r="EK23" s="416"/>
      <c r="EL23" s="416"/>
      <c r="EM23" s="416"/>
      <c r="EN23" s="416"/>
      <c r="EO23" s="416"/>
      <c r="EP23" s="416"/>
      <c r="EQ23" s="416"/>
      <c r="ER23" s="416"/>
      <c r="ES23" s="416"/>
      <c r="ET23" s="416"/>
      <c r="EU23" s="416"/>
      <c r="EV23" s="416"/>
      <c r="EW23" s="416"/>
      <c r="EX23" s="416"/>
      <c r="EY23" s="416"/>
      <c r="EZ23" s="416"/>
      <c r="FA23" s="416"/>
      <c r="FB23" s="416"/>
      <c r="FC23" s="416"/>
      <c r="FD23" s="416"/>
      <c r="FE23" s="416"/>
      <c r="FF23" s="416"/>
      <c r="FG23" s="416"/>
      <c r="FH23" s="416"/>
      <c r="FI23" s="416"/>
      <c r="FJ23" s="416"/>
      <c r="FK23" s="416"/>
      <c r="FL23" s="416"/>
      <c r="FM23" s="416"/>
      <c r="FR23" s="3"/>
      <c r="FS23" s="3"/>
      <c r="FV23" s="58"/>
      <c r="FW23" s="58"/>
    </row>
    <row r="24" spans="2:225">
      <c r="B24" s="383">
        <v>11</v>
      </c>
      <c r="C24" s="389"/>
      <c r="D24" s="384"/>
      <c r="E24" s="385">
        <v>24201</v>
      </c>
      <c r="F24" s="385">
        <v>24501</v>
      </c>
      <c r="G24" s="390">
        <v>300</v>
      </c>
      <c r="H24" s="383" t="s">
        <v>263</v>
      </c>
      <c r="I24" s="383" t="s">
        <v>379</v>
      </c>
      <c r="J24" s="383">
        <v>2</v>
      </c>
      <c r="K24" s="386">
        <v>4.5999999999999996</v>
      </c>
      <c r="L24" s="383" t="s">
        <v>143</v>
      </c>
      <c r="M24" s="386">
        <v>4.2</v>
      </c>
      <c r="N24" s="386">
        <v>1</v>
      </c>
      <c r="O24" s="383">
        <v>1</v>
      </c>
      <c r="P24" s="383" t="s">
        <v>366</v>
      </c>
      <c r="Q24" s="383" t="s">
        <v>144</v>
      </c>
      <c r="R24" s="392" t="s">
        <v>73</v>
      </c>
      <c r="S24" s="310">
        <v>9</v>
      </c>
      <c r="T24" s="420"/>
      <c r="U24" s="382">
        <v>24</v>
      </c>
      <c r="V24" s="399">
        <v>6473.9966140621727</v>
      </c>
      <c r="W24" s="399">
        <v>2824.5698392986178</v>
      </c>
      <c r="X24" s="420"/>
      <c r="Y24" s="398">
        <f t="shared" si="0"/>
        <v>1</v>
      </c>
      <c r="Z24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24" s="182" t="s">
        <v>644</v>
      </c>
      <c r="AB24" s="391" t="s">
        <v>654</v>
      </c>
      <c r="AC24" s="31">
        <v>3.5</v>
      </c>
      <c r="AD24" s="31">
        <v>2.5</v>
      </c>
      <c r="AE24" s="421"/>
      <c r="AF24" s="421"/>
      <c r="AG24" s="421">
        <v>0</v>
      </c>
      <c r="AH24" s="441">
        <v>0.47</v>
      </c>
      <c r="AI24" s="25">
        <v>0.03</v>
      </c>
      <c r="AJ24" s="435">
        <v>8.7999999999999995E-2</v>
      </c>
      <c r="AK24" s="330">
        <v>503</v>
      </c>
      <c r="AL24" s="263">
        <v>0.55000000000000004</v>
      </c>
      <c r="AM24" s="414">
        <v>276.65000000000003</v>
      </c>
      <c r="AN24" s="417">
        <v>2</v>
      </c>
      <c r="AO24" s="467" t="s">
        <v>73</v>
      </c>
      <c r="AP24" s="439">
        <v>88</v>
      </c>
      <c r="AQ24" s="442">
        <v>0.32</v>
      </c>
      <c r="AR24" s="422">
        <v>0.88</v>
      </c>
      <c r="AS24" s="316"/>
      <c r="AT24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24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24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24" s="23">
        <f>1/(1+(Tabela24[[#This Row],[Pt]])*(Tabela24[[#This Row],[Et]]-1)+(Tabela24[[#This Row],[PRv]])*(Tabela24[[#This Row],[Er]]-1))</f>
        <v>0.9140767824497259</v>
      </c>
      <c r="AX24" s="423">
        <f>Tabela24[veic/h]/Tabela24[PHF]</f>
        <v>571.59090909090912</v>
      </c>
      <c r="AY24" s="423">
        <v>625.32045454545448</v>
      </c>
      <c r="AZ24" s="21">
        <f>Tabela24[veic/h]/(Tabela24[PHF]*Tabela24[fg ats]*Tabela24[fhv ats])</f>
        <v>625.32045454545448</v>
      </c>
      <c r="BA24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24" s="322" t="str">
        <f>IF(AND(Tabela24[[#This Row],[vp1]]*Tabela24[[#This Row],[distrib. direc.]]&lt;1700,Tabela24[[#This Row],[vp1]]&lt;3200),"OK!","FAIL")</f>
        <v>OK!</v>
      </c>
      <c r="BC24" s="23">
        <f>INDEX('HCM2000'!$L$68:$AF$83,MATCH(Tabela24[[#This Row],[faixa (m)]],'HCM2000'!$K$68:$K$83),MATCH(Tabela24[[#This Row],[acost (m)]],'HCM2000'!$L$67:$AF$67))</f>
        <v>0.7</v>
      </c>
      <c r="BD24" s="23">
        <f>MIN(16,(2/3)*Tabela24[[#This Row],[acessos/km]])</f>
        <v>1.3333333333333333</v>
      </c>
      <c r="BE24" s="22">
        <f>Tabela24[BFFS]-Tabela24[fLS]-Tabela24[fA]</f>
        <v>85.966666666666669</v>
      </c>
      <c r="BF24" s="23">
        <v>1.8</v>
      </c>
      <c r="BG24" s="463">
        <f>IFERROR(Tabela24[[#This Row],[vp1]],0)</f>
        <v>625.32045454545448</v>
      </c>
      <c r="BH24" s="463">
        <f>IFERROR(Tabela24[[#This Row],[% zonas s/ultra]],0)</f>
        <v>0.32</v>
      </c>
      <c r="BI24" s="23" t="str">
        <f t="shared" si="5"/>
        <v>FNP</v>
      </c>
      <c r="BJ24" s="23">
        <v>3.2116347727272729</v>
      </c>
      <c r="BK24" s="43">
        <f>Tabela24[FFS]-0.0125*MAX(Tabela24[[#This Row],[vp1]],Tabela24[[#This Row],[vp1'']])-Tabela24[fnp'']</f>
        <v>74.938526212121204</v>
      </c>
      <c r="BL24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24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24" s="23">
        <v>1</v>
      </c>
      <c r="BO24" s="23">
        <f>1/(1+Tabela24[[#This Row],[Pt]]*(Tabela24[[#This Row],[Et time]]-1)+Tabela24[[#This Row],[PRv]]*(Tabela24[[#This Row],[Er time]]-1))</f>
        <v>0.95510983763132751</v>
      </c>
      <c r="BP24" s="23">
        <f>Tabela24[veic/h]/Tabela24[PHF]</f>
        <v>571.59090909090912</v>
      </c>
      <c r="BQ24" s="23">
        <v>598.45568181818192</v>
      </c>
      <c r="BR24" s="438">
        <f>Tabela24[veic/h]/(Tabela24[PHF]*Tabela24[fg time]*Tabela24[fhv follow])</f>
        <v>598.45568181818192</v>
      </c>
      <c r="BS24" s="438" t="str">
        <f>IF(AND(Tabela24[[#This Row],[vp2]]*Tabela24[[#This Row],[distrib. direc.]]&lt;1700,Tabela24[[#This Row],[vp2]]&lt;3200),"OK!","FAIL")</f>
        <v>OK!</v>
      </c>
      <c r="BT24" s="23">
        <f>100*(1-EXP(-0.000879*MAX(Tabela24[[#This Row],[vp2]],Tabela24[[#This Row],[vp2'']])))</f>
        <v>40.906103694852057</v>
      </c>
      <c r="BU24" s="304" t="e">
        <v>#DIV/0!</v>
      </c>
      <c r="BV24" s="304">
        <f>IF(TYPE(Tabela24[distrib. direc.])&lt;&gt;1,0,Tabela24[distrib. direc.])</f>
        <v>0.55000000000000004</v>
      </c>
      <c r="BW24" s="304">
        <f>IF(TYPE(Tabela24[vp2])&lt;&gt;1,0,Tabela24[vp2])</f>
        <v>598.45568181818192</v>
      </c>
      <c r="BX24" s="304">
        <f>IF(TYPE(Tabela24[% zonas s/ultra])&lt;&gt;1,0,Tabela24[% zonas s/ultra])</f>
        <v>0.32</v>
      </c>
      <c r="BY24" s="304" t="str">
        <f t="shared" si="6"/>
        <v>FDNP</v>
      </c>
      <c r="BZ24" s="31">
        <v>13.725250681818093</v>
      </c>
      <c r="CA24" s="305">
        <f>Tabela24[BPTSF]+Tabela24[fd/np'']</f>
        <v>54.631354376670146</v>
      </c>
      <c r="CB24" s="424">
        <f>Tabela24[vp1]/3200</f>
        <v>0.19541264204545453</v>
      </c>
      <c r="CC24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24" s="332">
        <f>VLOOKUP(Tabela24[faixa (m)],'HCM2000'!$B$541:$C$547,2,TRUE)</f>
        <v>1</v>
      </c>
      <c r="CE24" s="332">
        <f>IF(Tabela24[acost (m)]&gt;0,1.8,1.2)</f>
        <v>1.8</v>
      </c>
      <c r="CF24" s="332">
        <f>IF(Tabela24[Separador]=$CB$6,$CD$6,IF(Tabela24[Separador]=$CB$7,$CD$7,$CD$8))</f>
        <v>0</v>
      </c>
      <c r="CG24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24" s="332">
        <f>IF(Tabela24[Separador]="Sinalização horizontal",'HCM2000'!$C$590,'HCM2000'!$C$591)</f>
        <v>2.6</v>
      </c>
      <c r="CI24" s="332">
        <f>MIN((2/3)*Tabela24[[#This Row],[acessos/km]],16)</f>
        <v>1.3333333333333333</v>
      </c>
      <c r="CJ24" s="332">
        <f>IF(Tabela24[fLC]="Pista simples","-",Tabela24[BFFS]-Tabela24[fLW]-Tabela24[fLC]-Tabela24[fM]-Tabela24[fA2])</f>
        <v>80.966666666666683</v>
      </c>
      <c r="CK24" s="332">
        <f>IF(Tabela24[plano/ondulado]="Montanhoso",Tabela24[Para PT&lt;],VLOOKUP(Tabela24[plano/ondulado],'HCM2000'!$B$606:$C$608,2,FALSE))</f>
        <v>1.5</v>
      </c>
      <c r="CL24" s="332">
        <f>IF(Tabela24[[#This Row],[plano/ondulado]]="Montanhoso",Tabela24[[#This Row],[Para PT&lt;]],VLOOKUP(Tabela24[[#This Row],[plano/ondulado]],'HCM2000'!$E$606:$F$608,2,FALSE))</f>
        <v>1.2</v>
      </c>
      <c r="CM24" s="433">
        <f>1/(1+(Tabela24[Pt]*(Tabela24[Et2]-1))+(Tabela24[PRv]*(Tabela24[Er2]-1)))</f>
        <v>0.80580177276390019</v>
      </c>
      <c r="CN24" s="329">
        <f>K24+IF(Tabela24[[#This Row],[Num. Faixas Marg.]]="-",0,Tabela24[[#This Row],[Num. Faixas Marg.]])</f>
        <v>4.5999999999999996</v>
      </c>
      <c r="CO24" s="331">
        <f>Tabela24[[#This Row],[Vzão]]/(Tabela24[[#This Row],[PHF]]*Tabela24[[#This Row],[N]]*Tabela24[[#This Row],[fHV]])</f>
        <v>84.812907608695653</v>
      </c>
      <c r="CP24" s="332">
        <f>IF(Tabela24[fLC]="Pista simples","-",Tabela24[vp3]/Tabela24[S])</f>
        <v>1.0475040050477025</v>
      </c>
      <c r="CQ24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24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24" s="308" t="str">
        <f>IF(Tabela24[LOS_vp3]="F","F",VLOOKUP(Tabela24[LOS_vp3],'HCM2000'!$R$655:$S$659,2))</f>
        <v>F</v>
      </c>
      <c r="CT24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24" s="425" t="str">
        <f>IF(Tabela24[[#This Row],[LOS_vp3]]="F","F",IF(Tabela24[[#This Row],[fLC]]="Pista simples","-",VLOOKUP(Tabela24[[#This Row],[LOS_D3]],'HCM2000'!$R$655:$S$659,2)))</f>
        <v>F</v>
      </c>
      <c r="CV24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24" s="381"/>
      <c r="CX24" s="381"/>
      <c r="CY24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24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24" s="22">
        <f>ABS(INDEX('HCM2000'!$E$611:$M$611,1,MATCH(Tabela24[Pt]*100,'HCM2000'!$E$611:$M$611,1))-Tabela24[Pt]*100)</f>
        <v>22</v>
      </c>
      <c r="DB24" s="22" t="e">
        <f>INDEX('HCM2000'!$E$611:$M$611,1,MATCH(Tabela24[[#This Row],[Pt]]*100,'HCM2000'!$E$611:$M$611,1)+1)-Tabela24[[#This Row],[Pt]]*100</f>
        <v>#REF!</v>
      </c>
      <c r="DC24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24" s="440"/>
      <c r="DE24" s="423" t="e">
        <f>1/(1+(Tabela24[Pt]*(Tabela24[ETsu]-1))+(Tabela24[PRv]*(Tabela24[ERsu]-1)))</f>
        <v>#N/A</v>
      </c>
      <c r="DF24" s="438" t="e">
        <f>Tabela24[Vzão]/(Tabela24[PHF]*Tabela24[N]*Tabela24[fHVsu])</f>
        <v>#N/A</v>
      </c>
      <c r="DG24" s="332" t="e">
        <f>IF(Tabela24[fLC]="Pista simples","-",Tabela24[vpsu]/Tabela24[S])</f>
        <v>#N/A</v>
      </c>
      <c r="DH24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24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24" s="425" t="str">
        <f>IF(Tabela24[[#This Row],[LOS_vp3]]="F","F",VLOOKUP(Tabela24[[#This Row],[LOS_vp3]],'HCM2000'!$R$655:$S$659,2))</f>
        <v>F</v>
      </c>
      <c r="DK24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24" s="425" t="str">
        <f>IF(Tabela24[[#This Row],[LOS_vp3]]="F","F",IF(Tabela24[[#This Row],[fLC]]="Pista simples","-",VLOOKUP(Tabela24[[#This Row],[LOS_D3]],'HCM2000'!$R$655:$S$659,2)))</f>
        <v>F</v>
      </c>
      <c r="DM24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24" s="416"/>
      <c r="DO24" s="22">
        <f>Tabela24[[#This Row],[ATS]]</f>
        <v>74.938526212121204</v>
      </c>
      <c r="DP24" s="416">
        <v>73.599999999999994</v>
      </c>
      <c r="DQ24" s="22">
        <f t="shared" si="11"/>
        <v>1.3385262121212094</v>
      </c>
      <c r="DR24" s="22">
        <f>Tabela24[[#This Row],[PTSF]]</f>
        <v>54.631354376670146</v>
      </c>
      <c r="DS24" s="416">
        <v>54.8</v>
      </c>
      <c r="DT24" s="22">
        <f t="shared" si="12"/>
        <v>0.16864562332985145</v>
      </c>
      <c r="DU24" s="22"/>
      <c r="DV24" s="22">
        <v>73.62215234848486</v>
      </c>
      <c r="DW24" s="416">
        <v>73.599999999999994</v>
      </c>
      <c r="DX24" s="22">
        <v>2.2152348484866025E-2</v>
      </c>
      <c r="DY24" s="22">
        <v>54.631354376670146</v>
      </c>
      <c r="DZ24" s="416">
        <v>54.8</v>
      </c>
      <c r="EA24" s="22">
        <v>0.16864562332985145</v>
      </c>
      <c r="EB24" s="416"/>
      <c r="EC24" s="416"/>
      <c r="ED24" s="416"/>
      <c r="EE24" s="416"/>
      <c r="EF24" s="416"/>
      <c r="EG24" s="416"/>
      <c r="EH24" s="416"/>
      <c r="EI24" s="416"/>
      <c r="EJ24" s="416"/>
      <c r="EK24" s="416"/>
      <c r="EL24" s="416"/>
      <c r="EM24" s="416"/>
      <c r="EN24" s="416"/>
      <c r="EO24" s="416"/>
      <c r="EP24" s="416"/>
      <c r="EQ24" s="416"/>
      <c r="ER24" s="416"/>
      <c r="ES24" s="416"/>
      <c r="ET24" s="416"/>
      <c r="EU24" s="416"/>
      <c r="EV24" s="416"/>
      <c r="EW24" s="416"/>
      <c r="EX24" s="416"/>
      <c r="EY24" s="416"/>
      <c r="EZ24" s="416"/>
      <c r="FA24" s="416"/>
      <c r="FB24" s="416"/>
      <c r="FC24" s="416"/>
      <c r="FD24" s="416"/>
      <c r="FE24" s="416"/>
      <c r="FF24" s="416"/>
      <c r="FG24" s="416"/>
      <c r="FH24" s="416"/>
      <c r="FI24" s="416"/>
      <c r="FJ24" s="416"/>
      <c r="FK24" s="416"/>
      <c r="FL24" s="416"/>
      <c r="FM24" s="416"/>
      <c r="FR24" s="3"/>
      <c r="FS24" s="3"/>
      <c r="FV24" s="58"/>
      <c r="FW24" s="58"/>
    </row>
    <row r="25" spans="2:225">
      <c r="B25" s="383">
        <v>12</v>
      </c>
      <c r="C25" s="389"/>
      <c r="D25" s="384"/>
      <c r="E25" s="385">
        <v>24201</v>
      </c>
      <c r="F25" s="385">
        <v>24501</v>
      </c>
      <c r="G25" s="390">
        <v>300</v>
      </c>
      <c r="H25" s="383" t="s">
        <v>263</v>
      </c>
      <c r="I25" s="383" t="s">
        <v>379</v>
      </c>
      <c r="J25" s="383">
        <v>2</v>
      </c>
      <c r="K25" s="386">
        <v>4.5999999999999996</v>
      </c>
      <c r="L25" s="383" t="s">
        <v>143</v>
      </c>
      <c r="M25" s="386">
        <v>4.2</v>
      </c>
      <c r="N25" s="386">
        <v>1</v>
      </c>
      <c r="O25" s="383">
        <v>1</v>
      </c>
      <c r="P25" s="383" t="s">
        <v>366</v>
      </c>
      <c r="Q25" s="383" t="s">
        <v>144</v>
      </c>
      <c r="R25" s="392" t="s">
        <v>73</v>
      </c>
      <c r="S25" s="310">
        <v>10</v>
      </c>
      <c r="T25" s="420"/>
      <c r="U25" s="382">
        <v>24</v>
      </c>
      <c r="V25" s="399">
        <v>6473.9966140621727</v>
      </c>
      <c r="W25" s="399">
        <v>2824.5698392986178</v>
      </c>
      <c r="X25" s="420"/>
      <c r="Y25" s="398">
        <f t="shared" si="0"/>
        <v>1</v>
      </c>
      <c r="Z25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25" s="182" t="s">
        <v>644</v>
      </c>
      <c r="AB25" s="391" t="s">
        <v>654</v>
      </c>
      <c r="AC25" s="31">
        <v>3.5</v>
      </c>
      <c r="AD25" s="31">
        <v>2.5</v>
      </c>
      <c r="AE25" s="421"/>
      <c r="AF25" s="421"/>
      <c r="AG25" s="421">
        <v>0</v>
      </c>
      <c r="AH25" s="441">
        <v>0.47</v>
      </c>
      <c r="AI25" s="25">
        <v>0.03</v>
      </c>
      <c r="AJ25" s="435">
        <v>8.7999999999999995E-2</v>
      </c>
      <c r="AK25" s="330">
        <v>515</v>
      </c>
      <c r="AL25" s="263">
        <v>0.55000000000000004</v>
      </c>
      <c r="AM25" s="414">
        <v>283.25</v>
      </c>
      <c r="AN25" s="417">
        <v>1</v>
      </c>
      <c r="AO25" s="467" t="s">
        <v>73</v>
      </c>
      <c r="AP25" s="439">
        <v>88</v>
      </c>
      <c r="AQ25" s="442">
        <v>0.44</v>
      </c>
      <c r="AR25" s="422">
        <v>0.88</v>
      </c>
      <c r="AS25" s="316"/>
      <c r="AT25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25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25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25" s="23">
        <f>1/(1+(Tabela24[[#This Row],[Pt]])*(Tabela24[[#This Row],[Et]]-1)+(Tabela24[[#This Row],[PRv]])*(Tabela24[[#This Row],[Er]]-1))</f>
        <v>0.9140767824497259</v>
      </c>
      <c r="AX25" s="423">
        <f>Tabela24[veic/h]/Tabela24[PHF]</f>
        <v>585.22727272727275</v>
      </c>
      <c r="AY25" s="423">
        <v>640.23863636363626</v>
      </c>
      <c r="AZ25" s="21">
        <f>Tabela24[veic/h]/(Tabela24[PHF]*Tabela24[fg ats]*Tabela24[fhv ats])</f>
        <v>640.23863636363626</v>
      </c>
      <c r="BA25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25" s="322" t="str">
        <f>IF(AND(Tabela24[[#This Row],[vp1]]*Tabela24[[#This Row],[distrib. direc.]]&lt;1700,Tabela24[[#This Row],[vp1]]&lt;3200),"OK!","FAIL")</f>
        <v>OK!</v>
      </c>
      <c r="BC25" s="23">
        <f>INDEX('HCM2000'!$L$68:$AF$83,MATCH(Tabela24[[#This Row],[faixa (m)]],'HCM2000'!$K$68:$K$83),MATCH(Tabela24[[#This Row],[acost (m)]],'HCM2000'!$L$67:$AF$67))</f>
        <v>0.7</v>
      </c>
      <c r="BD25" s="23">
        <f>MIN(16,(2/3)*Tabela24[[#This Row],[acessos/km]])</f>
        <v>0.66666666666666663</v>
      </c>
      <c r="BE25" s="22">
        <f>Tabela24[BFFS]-Tabela24[fLS]-Tabela24[fA]</f>
        <v>86.633333333333326</v>
      </c>
      <c r="BF25" s="23">
        <v>2.5</v>
      </c>
      <c r="BG25" s="463">
        <f>IFERROR(Tabela24[[#This Row],[vp1]],0)</f>
        <v>640.23863636363626</v>
      </c>
      <c r="BH25" s="463">
        <f>IFERROR(Tabela24[[#This Row],[% zonas s/ultra]],0)</f>
        <v>0.44</v>
      </c>
      <c r="BI25" s="23" t="str">
        <f t="shared" si="5"/>
        <v>FNP</v>
      </c>
      <c r="BJ25" s="23">
        <v>3.8670931818181709</v>
      </c>
      <c r="BK25" s="43">
        <f>Tabela24[FFS]-0.0125*MAX(Tabela24[[#This Row],[vp1]],Tabela24[[#This Row],[vp1'']])-Tabela24[fnp'']</f>
        <v>74.76325719696969</v>
      </c>
      <c r="BL25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25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25" s="23">
        <v>1</v>
      </c>
      <c r="BO25" s="23">
        <f>1/(1+Tabela24[[#This Row],[Pt]]*(Tabela24[[#This Row],[Et time]]-1)+Tabela24[[#This Row],[PRv]]*(Tabela24[[#This Row],[Er time]]-1))</f>
        <v>0.95510983763132751</v>
      </c>
      <c r="BP25" s="23">
        <f>Tabela24[veic/h]/Tabela24[PHF]</f>
        <v>585.22727272727275</v>
      </c>
      <c r="BQ25" s="23">
        <v>612.73295454545462</v>
      </c>
      <c r="BR25" s="438">
        <f>Tabela24[veic/h]/(Tabela24[PHF]*Tabela24[fg time]*Tabela24[fhv follow])</f>
        <v>612.73295454545462</v>
      </c>
      <c r="BS25" s="438" t="str">
        <f>IF(AND(Tabela24[[#This Row],[vp2]]*Tabela24[[#This Row],[distrib. direc.]]&lt;1700,Tabela24[[#This Row],[vp2]]&lt;3200),"OK!","FAIL")</f>
        <v>OK!</v>
      </c>
      <c r="BT25" s="23">
        <f>100*(1-EXP(-0.000879*MAX(Tabela24[[#This Row],[vp2]],Tabela24[[#This Row],[vp2'']])))</f>
        <v>41.643081601627031</v>
      </c>
      <c r="BU25" s="304" t="e">
        <v>#DIV/0!</v>
      </c>
      <c r="BV25" s="304">
        <f>IF(TYPE(Tabela24[distrib. direc.])&lt;&gt;1,0,Tabela24[distrib. direc.])</f>
        <v>0.55000000000000004</v>
      </c>
      <c r="BW25" s="304">
        <f>IF(TYPE(Tabela24[vp2])&lt;&gt;1,0,Tabela24[vp2])</f>
        <v>612.73295454545462</v>
      </c>
      <c r="BX25" s="304">
        <f>IF(TYPE(Tabela24[% zonas s/ultra])&lt;&gt;1,0,Tabela24[% zonas s/ultra])</f>
        <v>0.44</v>
      </c>
      <c r="BY25" s="304" t="str">
        <f t="shared" si="6"/>
        <v>FDNP</v>
      </c>
      <c r="BZ25" s="31">
        <v>15.615309659091061</v>
      </c>
      <c r="CA25" s="305">
        <f>Tabela24[BPTSF]+Tabela24[fd/np'']</f>
        <v>57.258391260718092</v>
      </c>
      <c r="CB25" s="424">
        <f>Tabela24[vp1]/3200</f>
        <v>0.20007457386363633</v>
      </c>
      <c r="CC25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25" s="332">
        <f>VLOOKUP(Tabela24[faixa (m)],'HCM2000'!$B$541:$C$547,2,TRUE)</f>
        <v>1</v>
      </c>
      <c r="CE25" s="332">
        <f>IF(Tabela24[acost (m)]&gt;0,1.8,1.2)</f>
        <v>1.8</v>
      </c>
      <c r="CF25" s="332">
        <f>IF(Tabela24[Separador]=$CB$6,$CD$6,IF(Tabela24[Separador]=$CB$7,$CD$7,$CD$8))</f>
        <v>0</v>
      </c>
      <c r="CG25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25" s="332">
        <f>IF(Tabela24[Separador]="Sinalização horizontal",'HCM2000'!$C$590,'HCM2000'!$C$591)</f>
        <v>2.6</v>
      </c>
      <c r="CI25" s="332">
        <f>MIN((2/3)*Tabela24[[#This Row],[acessos/km]],16)</f>
        <v>0.66666666666666663</v>
      </c>
      <c r="CJ25" s="332">
        <f>IF(Tabela24[fLC]="Pista simples","-",Tabela24[BFFS]-Tabela24[fLW]-Tabela24[fLC]-Tabela24[fM]-Tabela24[fA2])</f>
        <v>81.63333333333334</v>
      </c>
      <c r="CK25" s="332">
        <f>IF(Tabela24[plano/ondulado]="Montanhoso",Tabela24[Para PT&lt;],VLOOKUP(Tabela24[plano/ondulado],'HCM2000'!$B$606:$C$608,2,FALSE))</f>
        <v>1.5</v>
      </c>
      <c r="CL25" s="332">
        <f>IF(Tabela24[[#This Row],[plano/ondulado]]="Montanhoso",Tabela24[[#This Row],[Para PT&lt;]],VLOOKUP(Tabela24[[#This Row],[plano/ondulado]],'HCM2000'!$E$606:$F$608,2,FALSE))</f>
        <v>1.2</v>
      </c>
      <c r="CM25" s="433">
        <f>1/(1+(Tabela24[Pt]*(Tabela24[Et2]-1))+(Tabela24[PRv]*(Tabela24[Er2]-1)))</f>
        <v>0.80580177276390019</v>
      </c>
      <c r="CN25" s="329">
        <f>K25+IF(Tabela24[[#This Row],[Num. Faixas Marg.]]="-",0,Tabela24[[#This Row],[Num. Faixas Marg.]])</f>
        <v>4.5999999999999996</v>
      </c>
      <c r="CO25" s="331">
        <f>Tabela24[[#This Row],[Vzão]]/(Tabela24[[#This Row],[PHF]]*Tabela24[[#This Row],[N]]*Tabela24[[#This Row],[fHV]])</f>
        <v>86.836277173913032</v>
      </c>
      <c r="CP25" s="332">
        <f>IF(Tabela24[fLC]="Pista simples","-",Tabela24[vp3]/Tabela24[S])</f>
        <v>1.0637355309176768</v>
      </c>
      <c r="CQ25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81.63333333333334</v>
      </c>
      <c r="CR25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25" s="308" t="str">
        <f>IF(Tabela24[LOS_vp3]="F","F",VLOOKUP(Tabela24[LOS_vp3],'HCM2000'!$R$655:$S$659,2))</f>
        <v>F</v>
      </c>
      <c r="CT25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25" s="425" t="str">
        <f>IF(Tabela24[[#This Row],[LOS_vp3]]="F","F",IF(Tabela24[[#This Row],[fLC]]="Pista simples","-",VLOOKUP(Tabela24[[#This Row],[LOS_D3]],'HCM2000'!$R$655:$S$659,2)))</f>
        <v>F</v>
      </c>
      <c r="CV25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25" s="381"/>
      <c r="CX25" s="381"/>
      <c r="CY25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25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25" s="22">
        <f>ABS(INDEX('HCM2000'!$E$611:$M$611,1,MATCH(Tabela24[Pt]*100,'HCM2000'!$E$611:$M$611,1))-Tabela24[Pt]*100)</f>
        <v>22</v>
      </c>
      <c r="DB25" s="22" t="e">
        <f>INDEX('HCM2000'!$E$611:$M$611,1,MATCH(Tabela24[[#This Row],[Pt]]*100,'HCM2000'!$E$611:$M$611,1)+1)-Tabela24[[#This Row],[Pt]]*100</f>
        <v>#REF!</v>
      </c>
      <c r="DC25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25" s="440"/>
      <c r="DE25" s="423" t="e">
        <f>1/(1+(Tabela24[Pt]*(Tabela24[ETsu]-1))+(Tabela24[PRv]*(Tabela24[ERsu]-1)))</f>
        <v>#N/A</v>
      </c>
      <c r="DF25" s="438" t="e">
        <f>Tabela24[Vzão]/(Tabela24[PHF]*Tabela24[N]*Tabela24[fHVsu])</f>
        <v>#N/A</v>
      </c>
      <c r="DG25" s="332" t="e">
        <f>IF(Tabela24[fLC]="Pista simples","-",Tabela24[vpsu]/Tabela24[S])</f>
        <v>#N/A</v>
      </c>
      <c r="DH25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25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25" s="425" t="str">
        <f>IF(Tabela24[[#This Row],[LOS_vp3]]="F","F",VLOOKUP(Tabela24[[#This Row],[LOS_vp3]],'HCM2000'!$R$655:$S$659,2))</f>
        <v>F</v>
      </c>
      <c r="DK25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25" s="425" t="str">
        <f>IF(Tabela24[[#This Row],[LOS_vp3]]="F","F",IF(Tabela24[[#This Row],[fLC]]="Pista simples","-",VLOOKUP(Tabela24[[#This Row],[LOS_D3]],'HCM2000'!$R$655:$S$659,2)))</f>
        <v>F</v>
      </c>
      <c r="DM25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25" s="416"/>
      <c r="DO25" s="22">
        <f>Tabela24[[#This Row],[ATS]]</f>
        <v>74.76325719696969</v>
      </c>
      <c r="DP25" s="416">
        <v>73.599999999999994</v>
      </c>
      <c r="DQ25" s="22">
        <f t="shared" si="11"/>
        <v>1.1632571969696954</v>
      </c>
      <c r="DR25" s="22">
        <f>Tabela24[[#This Row],[PTSF]]</f>
        <v>57.258391260718092</v>
      </c>
      <c r="DS25" s="416">
        <v>57.6</v>
      </c>
      <c r="DT25" s="22">
        <f t="shared" si="12"/>
        <v>0.34160873928190938</v>
      </c>
      <c r="DU25" s="22"/>
      <c r="DV25" s="22">
        <v>73.566760037878794</v>
      </c>
      <c r="DW25" s="416">
        <v>73.599999999999994</v>
      </c>
      <c r="DX25" s="22">
        <v>3.3239962121200506E-2</v>
      </c>
      <c r="DY25" s="22">
        <v>57.258391260718092</v>
      </c>
      <c r="DZ25" s="416">
        <v>57.6</v>
      </c>
      <c r="EA25" s="22">
        <v>0.34160873928190938</v>
      </c>
      <c r="EB25" s="416"/>
      <c r="EC25" s="416"/>
      <c r="ED25" s="416"/>
      <c r="EE25" s="416"/>
      <c r="EF25" s="416"/>
      <c r="EG25" s="416"/>
      <c r="EH25" s="416"/>
      <c r="EI25" s="416"/>
      <c r="EJ25" s="416"/>
      <c r="EK25" s="416"/>
      <c r="EL25" s="416"/>
      <c r="EM25" s="416"/>
      <c r="EN25" s="416"/>
      <c r="EO25" s="416"/>
      <c r="EP25" s="416"/>
      <c r="EQ25" s="416"/>
      <c r="ER25" s="416"/>
      <c r="ES25" s="416"/>
      <c r="ET25" s="416"/>
      <c r="EU25" s="416"/>
      <c r="EV25" s="416"/>
      <c r="EW25" s="416"/>
      <c r="EX25" s="416"/>
      <c r="EY25" s="416"/>
      <c r="EZ25" s="416"/>
      <c r="FA25" s="416"/>
      <c r="FB25" s="416"/>
      <c r="FC25" s="416"/>
      <c r="FD25" s="416"/>
      <c r="FE25" s="416"/>
      <c r="FF25" s="416"/>
      <c r="FG25" s="416"/>
      <c r="FH25" s="416"/>
      <c r="FI25" s="416"/>
      <c r="FJ25" s="416"/>
      <c r="FK25" s="416"/>
      <c r="FL25" s="416"/>
      <c r="FM25" s="416"/>
      <c r="FR25" s="3"/>
      <c r="FS25" s="3"/>
      <c r="FV25" s="58"/>
      <c r="FW25" s="58"/>
    </row>
    <row r="26" spans="2:225">
      <c r="B26" s="386">
        <v>13</v>
      </c>
      <c r="C26" s="394"/>
      <c r="D26" s="395"/>
      <c r="E26" s="385">
        <v>24201</v>
      </c>
      <c r="F26" s="385">
        <v>24501</v>
      </c>
      <c r="G26" s="390">
        <v>300</v>
      </c>
      <c r="H26" s="386" t="s">
        <v>263</v>
      </c>
      <c r="I26" s="386" t="s">
        <v>379</v>
      </c>
      <c r="J26" s="390">
        <v>2</v>
      </c>
      <c r="K26" s="386">
        <v>4.5999999999999996</v>
      </c>
      <c r="L26" s="386" t="s">
        <v>143</v>
      </c>
      <c r="M26" s="386">
        <v>4.2</v>
      </c>
      <c r="N26" s="386">
        <v>1</v>
      </c>
      <c r="O26" s="396">
        <v>1</v>
      </c>
      <c r="P26" s="386" t="s">
        <v>366</v>
      </c>
      <c r="Q26" s="397" t="s">
        <v>144</v>
      </c>
      <c r="R26" s="419" t="s">
        <v>73</v>
      </c>
      <c r="S26" s="310">
        <v>11</v>
      </c>
      <c r="T26" s="420"/>
      <c r="U26" s="279">
        <v>24</v>
      </c>
      <c r="V26" s="323">
        <v>6473.9966140621727</v>
      </c>
      <c r="W26" s="323">
        <v>2824.5698392986178</v>
      </c>
      <c r="X26" s="420"/>
      <c r="Y26" s="398">
        <f t="shared" si="0"/>
        <v>1</v>
      </c>
      <c r="Z26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26" s="182" t="s">
        <v>644</v>
      </c>
      <c r="AB26" s="391" t="s">
        <v>654</v>
      </c>
      <c r="AC26" s="31">
        <v>3.5</v>
      </c>
      <c r="AD26" s="31">
        <v>2.5</v>
      </c>
      <c r="AE26" s="421"/>
      <c r="AF26" s="421"/>
      <c r="AG26" s="421">
        <v>0</v>
      </c>
      <c r="AH26" s="441">
        <v>0.54</v>
      </c>
      <c r="AI26" s="25">
        <v>0.03</v>
      </c>
      <c r="AJ26" s="435">
        <v>8.7999999999999995E-2</v>
      </c>
      <c r="AK26" s="330">
        <v>436</v>
      </c>
      <c r="AL26" s="263">
        <v>0.55000000000000004</v>
      </c>
      <c r="AM26" s="414">
        <v>239.8</v>
      </c>
      <c r="AN26" s="417">
        <v>2</v>
      </c>
      <c r="AO26" s="467" t="s">
        <v>73</v>
      </c>
      <c r="AP26" s="439">
        <v>88</v>
      </c>
      <c r="AQ26" s="442">
        <v>0.45</v>
      </c>
      <c r="AR26" s="422">
        <v>0.88</v>
      </c>
      <c r="AS26" s="316"/>
      <c r="AT26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26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26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26" s="23">
        <f>1/(1+(Tabela24[[#This Row],[Pt]])*(Tabela24[[#This Row],[Et]]-1)+(Tabela24[[#This Row],[PRv]])*(Tabela24[[#This Row],[Er]]-1))</f>
        <v>0.72568940493468792</v>
      </c>
      <c r="AX26" s="423">
        <f>Tabela24[veic/h]/Tabela24[PHF]</f>
        <v>495.45454545454544</v>
      </c>
      <c r="AY26" s="423">
        <v>548.9636363636364</v>
      </c>
      <c r="AZ26" s="21">
        <f>Tabela24[veic/h]/(Tabela24[PHF]*Tabela24[fg ats]*Tabela24[fhv ats])</f>
        <v>682.73636363636376</v>
      </c>
      <c r="BA26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26" s="322" t="str">
        <f>IF(AND(Tabela24[[#This Row],[vp1]]*Tabela24[[#This Row],[distrib. direc.]]&lt;1700,Tabela24[[#This Row],[vp1]]&lt;3200),"OK!","FAIL")</f>
        <v>OK!</v>
      </c>
      <c r="BC26" s="23">
        <f>INDEX('HCM2000'!$L$68:$AF$83,MATCH(Tabela24[[#This Row],[faixa (m)]],'HCM2000'!$K$68:$K$83),MATCH(Tabela24[[#This Row],[acost (m)]],'HCM2000'!$L$67:$AF$67))</f>
        <v>0.7</v>
      </c>
      <c r="BD26" s="23">
        <f>MIN(16,(2/3)*Tabela24[[#This Row],[acessos/km]])</f>
        <v>1.3333333333333333</v>
      </c>
      <c r="BE26" s="22">
        <f>Tabela24[BFFS]-Tabela24[fLS]-Tabela24[fA]</f>
        <v>85.966666666666669</v>
      </c>
      <c r="BF26" s="23" t="e">
        <v>#REF!</v>
      </c>
      <c r="BG26" s="463">
        <f>IFERROR(Tabela24[[#This Row],[vp1]],0)</f>
        <v>682.73636363636376</v>
      </c>
      <c r="BH26" s="463">
        <f>IFERROR(Tabela24[[#This Row],[% zonas s/ultra]],0)</f>
        <v>0.45</v>
      </c>
      <c r="BI26" s="23" t="str">
        <f t="shared" si="5"/>
        <v>FNP</v>
      </c>
      <c r="BJ26" s="23">
        <v>3.7543965909090788</v>
      </c>
      <c r="BK26" s="43">
        <f>Tabela24[FFS]-0.0125*MAX(Tabela24[[#This Row],[vp1]],Tabela24[[#This Row],[vp1'']])-Tabela24[fnp'']</f>
        <v>73.678065530303044</v>
      </c>
      <c r="BL26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26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26" s="23">
        <v>1</v>
      </c>
      <c r="BO26" s="23">
        <f>1/(1+Tabela24[[#This Row],[Pt]]*(Tabela24[[#This Row],[Et time]]-1)+Tabela24[[#This Row],[PRv]]*(Tabela24[[#This Row],[Er time]]-1))</f>
        <v>0.94876660341555974</v>
      </c>
      <c r="BP26" s="23">
        <f>Tabela24[veic/h]/Tabela24[PHF]</f>
        <v>495.45454545454544</v>
      </c>
      <c r="BQ26" s="23">
        <v>522.20909090909095</v>
      </c>
      <c r="BR26" s="438">
        <f>Tabela24[veic/h]/(Tabela24[PHF]*Tabela24[fg time]*Tabela24[fhv follow])</f>
        <v>522.20909090909095</v>
      </c>
      <c r="BS26" s="438" t="str">
        <f>IF(AND(Tabela24[[#This Row],[vp2]]*Tabela24[[#This Row],[distrib. direc.]]&lt;1700,Tabela24[[#This Row],[vp2]]&lt;3200),"OK!","FAIL")</f>
        <v>OK!</v>
      </c>
      <c r="BT26" s="23">
        <f>100*(1-EXP(-0.000879*MAX(Tabela24[[#This Row],[vp2]],Tabela24[[#This Row],[vp2'']])))</f>
        <v>36.809852495812947</v>
      </c>
      <c r="BU26" s="304" t="e">
        <v>#REF!</v>
      </c>
      <c r="BV26" s="304">
        <f>IF(TYPE(Tabela24[distrib. direc.])&lt;&gt;1,0,Tabela24[distrib. direc.])</f>
        <v>0.55000000000000004</v>
      </c>
      <c r="BW26" s="304">
        <f>IF(TYPE(Tabela24[vp2])&lt;&gt;1,0,Tabela24[vp2])</f>
        <v>522.20909090909095</v>
      </c>
      <c r="BX26" s="304">
        <f>IF(TYPE(Tabela24[% zonas s/ultra])&lt;&gt;1,0,Tabela24[% zonas s/ultra])</f>
        <v>0.45</v>
      </c>
      <c r="BY26" s="304" t="str">
        <f t="shared" si="6"/>
        <v>FDNP</v>
      </c>
      <c r="BZ26" s="31">
        <v>16.591745454545265</v>
      </c>
      <c r="CA26" s="305">
        <f>Tabela24[BPTSF]+Tabela24[fd/np'']</f>
        <v>53.401597950358209</v>
      </c>
      <c r="CB26" s="424">
        <f>Tabela24[vp1]/3200</f>
        <v>0.21335511363636367</v>
      </c>
      <c r="CC26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26" s="332">
        <f>VLOOKUP(Tabela24[faixa (m)],'HCM2000'!$B$541:$C$547,2,TRUE)</f>
        <v>1</v>
      </c>
      <c r="CE26" s="332">
        <f>IF(Tabela24[acost (m)]&gt;0,1.8,1.2)</f>
        <v>1.8</v>
      </c>
      <c r="CF26" s="332">
        <f>IF(Tabela24[Separador]=$CB$6,$CD$6,IF(Tabela24[Separador]=$CB$7,$CD$7,$CD$8))</f>
        <v>0</v>
      </c>
      <c r="CG26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26" s="332">
        <f>IF(Tabela24[Separador]="Sinalização horizontal",'HCM2000'!$C$590,'HCM2000'!$C$591)</f>
        <v>2.6</v>
      </c>
      <c r="CI26" s="332">
        <f>MIN((2/3)*Tabela24[[#This Row],[acessos/km]],16)</f>
        <v>1.3333333333333333</v>
      </c>
      <c r="CJ26" s="332">
        <f>IF(Tabela24[fLC]="Pista simples","-",Tabela24[BFFS]-Tabela24[fLW]-Tabela24[fLC]-Tabela24[fM]-Tabela24[fA2])</f>
        <v>80.966666666666683</v>
      </c>
      <c r="CK26" s="332">
        <f>IF(Tabela24[plano/ondulado]="Montanhoso",Tabela24[Para PT&lt;],VLOOKUP(Tabela24[plano/ondulado],'HCM2000'!$B$606:$C$608,2,FALSE))</f>
        <v>1.5</v>
      </c>
      <c r="CL26" s="332">
        <f>IF(Tabela24[[#This Row],[plano/ondulado]]="Montanhoso",Tabela24[[#This Row],[Para PT&lt;]],VLOOKUP(Tabela24[[#This Row],[plano/ondulado]],'HCM2000'!$E$606:$F$608,2,FALSE))</f>
        <v>1.2</v>
      </c>
      <c r="CM26" s="433">
        <f>1/(1+(Tabela24[Pt]*(Tabela24[Et2]-1))+(Tabela24[PRv]*(Tabela24[Er2]-1)))</f>
        <v>0.78369905956112851</v>
      </c>
      <c r="CN26" s="329">
        <f>K26+IF(Tabela24[[#This Row],[Num. Faixas Marg.]]="-",0,Tabela24[[#This Row],[Num. Faixas Marg.]])</f>
        <v>4.5999999999999996</v>
      </c>
      <c r="CO26" s="331">
        <f>Tabela24[[#This Row],[Vzão]]/(Tabela24[[#This Row],[PHF]]*Tabela24[[#This Row],[N]]*Tabela24[[#This Row],[fHV]])</f>
        <v>75.589130434782604</v>
      </c>
      <c r="CP26" s="332">
        <f>IF(Tabela24[fLC]="Pista simples","-",Tabela24[vp3]/Tabela24[S])</f>
        <v>0.93358333184169517</v>
      </c>
      <c r="CQ26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26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26" s="308" t="str">
        <f>IF(Tabela24[LOS_vp3]="F","F",VLOOKUP(Tabela24[LOS_vp3],'HCM2000'!$R$655:$S$659,2))</f>
        <v>F</v>
      </c>
      <c r="CT26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26" s="425" t="str">
        <f>IF(Tabela24[[#This Row],[LOS_vp3]]="F","F",IF(Tabela24[[#This Row],[fLC]]="Pista simples","-",VLOOKUP(Tabela24[[#This Row],[LOS_D3]],'HCM2000'!$R$655:$S$659,2)))</f>
        <v>F</v>
      </c>
      <c r="CV26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26" s="381"/>
      <c r="CX26" s="381"/>
      <c r="CY26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26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26" s="22">
        <f>ABS(INDEX('HCM2000'!$E$611:$M$611,1,MATCH(Tabela24[Pt]*100,'HCM2000'!$E$611:$M$611,1))-Tabela24[Pt]*100)</f>
        <v>29</v>
      </c>
      <c r="DB26" s="22" t="e">
        <f>INDEX('HCM2000'!$E$611:$M$611,1,MATCH(Tabela24[[#This Row],[Pt]]*100,'HCM2000'!$E$611:$M$611,1)+1)-Tabela24[[#This Row],[Pt]]*100</f>
        <v>#REF!</v>
      </c>
      <c r="DC26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26" s="440"/>
      <c r="DE26" s="423" t="e">
        <f>1/(1+(Tabela24[Pt]*(Tabela24[ETsu]-1))+(Tabela24[PRv]*(Tabela24[ERsu]-1)))</f>
        <v>#N/A</v>
      </c>
      <c r="DF26" s="438" t="e">
        <f>Tabela24[Vzão]/(Tabela24[PHF]*Tabela24[N]*Tabela24[fHVsu])</f>
        <v>#N/A</v>
      </c>
      <c r="DG26" s="332" t="e">
        <f>IF(Tabela24[fLC]="Pista simples","-",Tabela24[vpsu]/Tabela24[S])</f>
        <v>#N/A</v>
      </c>
      <c r="DH26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26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26" s="425" t="str">
        <f>IF(Tabela24[[#This Row],[LOS_vp3]]="F","F",VLOOKUP(Tabela24[[#This Row],[LOS_vp3]],'HCM2000'!$R$655:$S$659,2))</f>
        <v>F</v>
      </c>
      <c r="DK26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26" s="425" t="str">
        <f>IF(Tabela24[[#This Row],[LOS_vp3]]="F","F",IF(Tabela24[[#This Row],[fLC]]="Pista simples","-",VLOOKUP(Tabela24[[#This Row],[LOS_D3]],'HCM2000'!$R$655:$S$659,2)))</f>
        <v>F</v>
      </c>
      <c r="DM26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26" s="416"/>
      <c r="DO26" s="22">
        <f>Tabela24[[#This Row],[ATS]]</f>
        <v>73.678065530303044</v>
      </c>
      <c r="DP26" s="416">
        <v>73.7</v>
      </c>
      <c r="DQ26" s="22">
        <f t="shared" si="11"/>
        <v>2.1934469696958558E-2</v>
      </c>
      <c r="DR26" s="22">
        <f>Tabela24[[#This Row],[PTSF]]</f>
        <v>53.401597950358209</v>
      </c>
      <c r="DS26" s="416">
        <v>54.1</v>
      </c>
      <c r="DT26" s="22">
        <f t="shared" si="12"/>
        <v>0.69840204964179264</v>
      </c>
      <c r="DU26" s="22"/>
      <c r="DV26" s="22">
        <v>73.678065530303044</v>
      </c>
      <c r="DW26" s="22">
        <v>73.7</v>
      </c>
      <c r="DX26" s="22">
        <v>2.1934469696958558E-2</v>
      </c>
      <c r="DY26" s="22">
        <v>53.401597950358209</v>
      </c>
      <c r="DZ26" s="22">
        <v>54.1</v>
      </c>
      <c r="EA26" s="22">
        <v>0.69840204964179264</v>
      </c>
      <c r="EB26" s="416"/>
      <c r="EC26" s="416"/>
      <c r="ED26" s="416"/>
      <c r="EE26" s="416"/>
      <c r="EF26" s="416"/>
      <c r="EG26" s="416"/>
      <c r="EH26" s="416"/>
      <c r="EI26" s="416"/>
      <c r="EJ26" s="416"/>
      <c r="EK26" s="416"/>
      <c r="EL26" s="416"/>
      <c r="EM26" s="416"/>
      <c r="EN26" s="416"/>
      <c r="EO26" s="416"/>
      <c r="EP26" s="416"/>
      <c r="EQ26" s="416"/>
      <c r="ER26" s="416"/>
      <c r="ES26" s="416"/>
      <c r="ET26" s="416"/>
      <c r="EU26" s="416"/>
      <c r="EV26" s="416"/>
      <c r="EW26" s="416"/>
      <c r="EX26" s="416"/>
      <c r="EY26" s="416"/>
      <c r="EZ26" s="416"/>
      <c r="FA26" s="416"/>
      <c r="FB26" s="416"/>
      <c r="FC26" s="416"/>
      <c r="FD26" s="416"/>
      <c r="FE26" s="416"/>
      <c r="FF26" s="416"/>
      <c r="FG26" s="416"/>
      <c r="FH26" s="416"/>
      <c r="FI26" s="416"/>
      <c r="FJ26" s="416"/>
      <c r="FK26" s="416"/>
      <c r="FL26" s="416"/>
      <c r="FM26" s="416"/>
      <c r="FR26" s="3"/>
      <c r="FS26" s="3"/>
      <c r="FV26" s="58"/>
      <c r="FW26" s="58"/>
    </row>
    <row r="27" spans="2:225">
      <c r="B27" s="386">
        <v>14</v>
      </c>
      <c r="C27" s="394"/>
      <c r="D27" s="395"/>
      <c r="E27" s="385">
        <v>24201</v>
      </c>
      <c r="F27" s="385">
        <v>24501</v>
      </c>
      <c r="G27" s="390">
        <v>300</v>
      </c>
      <c r="H27" s="386" t="s">
        <v>263</v>
      </c>
      <c r="I27" s="386" t="s">
        <v>379</v>
      </c>
      <c r="J27" s="390">
        <v>2</v>
      </c>
      <c r="K27" s="386">
        <v>4.5999999999999996</v>
      </c>
      <c r="L27" s="386" t="s">
        <v>143</v>
      </c>
      <c r="M27" s="386">
        <v>4.2</v>
      </c>
      <c r="N27" s="386">
        <v>1</v>
      </c>
      <c r="O27" s="396">
        <v>1</v>
      </c>
      <c r="P27" s="386" t="s">
        <v>366</v>
      </c>
      <c r="Q27" s="397" t="s">
        <v>144</v>
      </c>
      <c r="R27" s="419" t="s">
        <v>73</v>
      </c>
      <c r="S27" s="310">
        <v>12</v>
      </c>
      <c r="T27" s="420"/>
      <c r="U27" s="279">
        <v>24</v>
      </c>
      <c r="V27" s="323">
        <v>6473.9966140621727</v>
      </c>
      <c r="W27" s="323">
        <v>2824.5698392986178</v>
      </c>
      <c r="X27" s="420"/>
      <c r="Y27" s="398">
        <f t="shared" si="0"/>
        <v>1</v>
      </c>
      <c r="Z27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27" s="182" t="s">
        <v>644</v>
      </c>
      <c r="AB27" s="391" t="s">
        <v>381</v>
      </c>
      <c r="AC27" s="31">
        <v>3.5</v>
      </c>
      <c r="AD27" s="31">
        <v>2.5</v>
      </c>
      <c r="AE27" s="421"/>
      <c r="AF27" s="421"/>
      <c r="AG27" s="421">
        <v>0</v>
      </c>
      <c r="AH27" s="441">
        <v>0.42</v>
      </c>
      <c r="AI27" s="25">
        <v>0.03</v>
      </c>
      <c r="AJ27" s="435">
        <v>8.7999999999999995E-2</v>
      </c>
      <c r="AK27" s="330">
        <v>645</v>
      </c>
      <c r="AL27" s="263">
        <v>0.55000000000000004</v>
      </c>
      <c r="AM27" s="414">
        <v>354.75000000000006</v>
      </c>
      <c r="AN27" s="417">
        <v>2</v>
      </c>
      <c r="AO27" s="467" t="s">
        <v>73</v>
      </c>
      <c r="AP27" s="439">
        <v>88</v>
      </c>
      <c r="AQ27" s="442">
        <v>0.47</v>
      </c>
      <c r="AR27" s="422">
        <v>0.88</v>
      </c>
      <c r="AS27" s="316"/>
      <c r="AT27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0.93</v>
      </c>
      <c r="AU27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1.9</v>
      </c>
      <c r="AV27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1.1000000000000001</v>
      </c>
      <c r="AW27" s="23">
        <f>1/(1+(Tabela24[[#This Row],[Pt]])*(Tabela24[[#This Row],[Et]]-1)+(Tabela24[[#This Row],[PRv]])*(Tabela24[[#This Row],[Er]]-1))</f>
        <v>0.72411296162201311</v>
      </c>
      <c r="AX27" s="423">
        <f>Tabela24[veic/h]/Tabela24[PHF]</f>
        <v>732.9545454545455</v>
      </c>
      <c r="AY27" s="423">
        <v>1088.3980938416421</v>
      </c>
      <c r="AZ27" s="21">
        <f>Tabela24[veic/h]/(Tabela24[PHF]*Tabela24[fg ats]*Tabela24[fhv ats])</f>
        <v>1088.3980938416421</v>
      </c>
      <c r="BA27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27" s="322" t="str">
        <f>IF(AND(Tabela24[[#This Row],[vp1]]*Tabela24[[#This Row],[distrib. direc.]]&lt;1700,Tabela24[[#This Row],[vp1]]&lt;3200),"OK!","FAIL")</f>
        <v>OK!</v>
      </c>
      <c r="BC27" s="23">
        <f>INDEX('HCM2000'!$L$68:$AF$83,MATCH(Tabela24[[#This Row],[faixa (m)]],'HCM2000'!$K$68:$K$83),MATCH(Tabela24[[#This Row],[acost (m)]],'HCM2000'!$L$67:$AF$67))</f>
        <v>0.7</v>
      </c>
      <c r="BD27" s="23">
        <f>MIN(16,(2/3)*Tabela24[[#This Row],[acessos/km]])</f>
        <v>1.3333333333333333</v>
      </c>
      <c r="BE27" s="22">
        <f>Tabela24[BFFS]-Tabela24[fLS]-Tabela24[fA]</f>
        <v>85.966666666666669</v>
      </c>
      <c r="BF27" s="23" t="e">
        <v>#REF!</v>
      </c>
      <c r="BG27" s="463">
        <f>IFERROR(Tabela24[[#This Row],[vp1]],0)</f>
        <v>1088.3980938416421</v>
      </c>
      <c r="BH27" s="463">
        <f>IFERROR(Tabela24[[#This Row],[% zonas s/ultra]],0)</f>
        <v>0.47</v>
      </c>
      <c r="BI27" s="23" t="str">
        <f t="shared" si="5"/>
        <v>FNP</v>
      </c>
      <c r="BJ27" s="23">
        <v>2.5085350989736024</v>
      </c>
      <c r="BK27" s="43">
        <f>Tabela24[FFS]-0.0125*MAX(Tabela24[[#This Row],[vp1]],Tabela24[[#This Row],[vp1'']])-Tabela24[fnp'']</f>
        <v>69.853155394672541</v>
      </c>
      <c r="BL27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0.94</v>
      </c>
      <c r="BM27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1.5</v>
      </c>
      <c r="BN27" s="23">
        <v>1</v>
      </c>
      <c r="BO27" s="23">
        <f>1/(1+Tabela24[[#This Row],[Pt]]*(Tabela24[[#This Row],[Et time]]-1)+Tabela24[[#This Row],[PRv]]*(Tabela24[[#This Row],[Er time]]-1))</f>
        <v>0.82644628099173556</v>
      </c>
      <c r="BP27" s="23">
        <f>Tabela24[veic/h]/Tabela24[PHF]</f>
        <v>732.9545454545455</v>
      </c>
      <c r="BQ27" s="23">
        <v>943.48404255319156</v>
      </c>
      <c r="BR27" s="438">
        <f>Tabela24[veic/h]/(Tabela24[PHF]*Tabela24[fg time]*Tabela24[fhv follow])</f>
        <v>943.48404255319156</v>
      </c>
      <c r="BS27" s="438" t="str">
        <f>IF(AND(Tabela24[[#This Row],[vp2]]*Tabela24[[#This Row],[distrib. direc.]]&lt;1700,Tabela24[[#This Row],[vp2]]&lt;3200),"OK!","FAIL")</f>
        <v>OK!</v>
      </c>
      <c r="BT27" s="23">
        <f>100*(1-EXP(-0.000879*MAX(Tabela24[[#This Row],[vp2]],Tabela24[[#This Row],[vp2'']])))</f>
        <v>56.365517858478832</v>
      </c>
      <c r="BU27" s="304" t="e">
        <v>#REF!</v>
      </c>
      <c r="BV27" s="304">
        <f>IF(TYPE(Tabela24[distrib. direc.])&lt;&gt;1,0,Tabela24[distrib. direc.])</f>
        <v>0.55000000000000004</v>
      </c>
      <c r="BW27" s="304">
        <f>IF(TYPE(Tabela24[vp2])&lt;&gt;1,0,Tabela24[vp2])</f>
        <v>943.48404255319156</v>
      </c>
      <c r="BX27" s="304">
        <f>IF(TYPE(Tabela24[% zonas s/ultra])&lt;&gt;1,0,Tabela24[% zonas s/ultra])</f>
        <v>0.47</v>
      </c>
      <c r="BY27" s="304" t="str">
        <f t="shared" si="6"/>
        <v>FDNP</v>
      </c>
      <c r="BZ27" s="31">
        <v>9.9966888297880114</v>
      </c>
      <c r="CA27" s="305">
        <f>Tabela24[BPTSF]+Tabela24[fd/np'']</f>
        <v>66.362206688266838</v>
      </c>
      <c r="CB27" s="424">
        <f>Tabela24[vp1]/3200</f>
        <v>0.34012440432551316</v>
      </c>
      <c r="CC27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D</v>
      </c>
      <c r="CD27" s="332">
        <f>VLOOKUP(Tabela24[faixa (m)],'HCM2000'!$B$541:$C$547,2,TRUE)</f>
        <v>1</v>
      </c>
      <c r="CE27" s="332">
        <f>IF(Tabela24[acost (m)]&gt;0,1.8,1.2)</f>
        <v>1.8</v>
      </c>
      <c r="CF27" s="332">
        <f>IF(Tabela24[Separador]=$CB$6,$CD$6,IF(Tabela24[Separador]=$CB$7,$CD$7,$CD$8))</f>
        <v>0</v>
      </c>
      <c r="CG27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27" s="332">
        <f>IF(Tabela24[Separador]="Sinalização horizontal",'HCM2000'!$C$590,'HCM2000'!$C$591)</f>
        <v>2.6</v>
      </c>
      <c r="CI27" s="332">
        <f>MIN((2/3)*Tabela24[[#This Row],[acessos/km]],16)</f>
        <v>1.3333333333333333</v>
      </c>
      <c r="CJ27" s="332">
        <f>IF(Tabela24[fLC]="Pista simples","-",Tabela24[BFFS]-Tabela24[fLW]-Tabela24[fLC]-Tabela24[fM]-Tabela24[fA2])</f>
        <v>80.966666666666683</v>
      </c>
      <c r="CK27" s="332">
        <f>IF(Tabela24[plano/ondulado]="Montanhoso",Tabela24[Para PT&lt;],VLOOKUP(Tabela24[plano/ondulado],'HCM2000'!$B$606:$C$608,2,FALSE))</f>
        <v>2.5</v>
      </c>
      <c r="CL27" s="332">
        <f>IF(Tabela24[[#This Row],[plano/ondulado]]="Montanhoso",Tabela24[[#This Row],[Para PT&lt;]],VLOOKUP(Tabela24[[#This Row],[plano/ondulado]],'HCM2000'!$E$606:$F$608,2,FALSE))</f>
        <v>2</v>
      </c>
      <c r="CM27" s="433">
        <f>1/(1+(Tabela24[Pt]*(Tabela24[Et2]-1))+(Tabela24[PRv]*(Tabela24[Er2]-1)))</f>
        <v>0.60240963855421692</v>
      </c>
      <c r="CN27" s="329">
        <f>K27+IF(Tabela24[[#This Row],[Num. Faixas Marg.]]="-",0,Tabela24[[#This Row],[Num. Faixas Marg.]])</f>
        <v>4.5999999999999996</v>
      </c>
      <c r="CO27" s="331">
        <f>Tabela24[[#This Row],[Vzão]]/(Tabela24[[#This Row],[PHF]]*Tabela24[[#This Row],[N]]*Tabela24[[#This Row],[fHV]])</f>
        <v>145.47554347826087</v>
      </c>
      <c r="CP27" s="332">
        <f>IF(Tabela24[fLC]="Pista simples","-",Tabela24[vp3]/Tabela24[S])</f>
        <v>1.7967337605384213</v>
      </c>
      <c r="CQ27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27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27" s="308" t="str">
        <f>IF(Tabela24[LOS_vp3]="F","F",VLOOKUP(Tabela24[LOS_vp3],'HCM2000'!$R$655:$S$659,2))</f>
        <v>F</v>
      </c>
      <c r="CT27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27" s="425" t="str">
        <f>IF(Tabela24[[#This Row],[LOS_vp3]]="F","F",IF(Tabela24[[#This Row],[fLC]]="Pista simples","-",VLOOKUP(Tabela24[[#This Row],[LOS_D3]],'HCM2000'!$R$655:$S$659,2)))</f>
        <v>F</v>
      </c>
      <c r="CV27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27" s="381"/>
      <c r="CX27" s="381"/>
      <c r="CY27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27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27" s="22">
        <f>ABS(INDEX('HCM2000'!$E$611:$M$611,1,MATCH(Tabela24[Pt]*100,'HCM2000'!$E$611:$M$611,1))-Tabela24[Pt]*100)</f>
        <v>17</v>
      </c>
      <c r="DB27" s="22" t="e">
        <f>INDEX('HCM2000'!$E$611:$M$611,1,MATCH(Tabela24[[#This Row],[Pt]]*100,'HCM2000'!$E$611:$M$611,1)+1)-Tabela24[[#This Row],[Pt]]*100</f>
        <v>#REF!</v>
      </c>
      <c r="DC27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27" s="440"/>
      <c r="DE27" s="423" t="e">
        <f>1/(1+(Tabela24[Pt]*(Tabela24[ETsu]-1))+(Tabela24[PRv]*(Tabela24[ERsu]-1)))</f>
        <v>#N/A</v>
      </c>
      <c r="DF27" s="438" t="e">
        <f>Tabela24[Vzão]/(Tabela24[PHF]*Tabela24[N]*Tabela24[fHVsu])</f>
        <v>#N/A</v>
      </c>
      <c r="DG27" s="332" t="e">
        <f>IF(Tabela24[fLC]="Pista simples","-",Tabela24[vpsu]/Tabela24[S])</f>
        <v>#N/A</v>
      </c>
      <c r="DH27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27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27" s="425" t="str">
        <f>IF(Tabela24[[#This Row],[LOS_vp3]]="F","F",VLOOKUP(Tabela24[[#This Row],[LOS_vp3]],'HCM2000'!$R$655:$S$659,2))</f>
        <v>F</v>
      </c>
      <c r="DK27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27" s="425" t="str">
        <f>IF(Tabela24[[#This Row],[LOS_vp3]]="F","F",IF(Tabela24[[#This Row],[fLC]]="Pista simples","-",VLOOKUP(Tabela24[[#This Row],[LOS_D3]],'HCM2000'!$R$655:$S$659,2)))</f>
        <v>F</v>
      </c>
      <c r="DM27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27" s="416"/>
      <c r="DO27" s="22">
        <f>Tabela24[[#This Row],[ATS]]</f>
        <v>69.853155394672541</v>
      </c>
      <c r="DP27" s="416">
        <v>69.900000000000006</v>
      </c>
      <c r="DQ27" s="22">
        <f t="shared" si="11"/>
        <v>4.6844605327464706E-2</v>
      </c>
      <c r="DR27" s="22">
        <f>Tabela24[[#This Row],[PTSF]]</f>
        <v>66.362206688266838</v>
      </c>
      <c r="DS27" s="416">
        <v>67</v>
      </c>
      <c r="DT27" s="22">
        <f t="shared" si="12"/>
        <v>0.63779331173316223</v>
      </c>
      <c r="DU27" s="22"/>
      <c r="DV27" s="22">
        <v>69.853155394672541</v>
      </c>
      <c r="DW27" s="440">
        <v>69.900000000000006</v>
      </c>
      <c r="DX27" s="22">
        <v>4.6844605327464706E-2</v>
      </c>
      <c r="DY27" s="22">
        <v>66.362206688266838</v>
      </c>
      <c r="DZ27" s="440">
        <v>67</v>
      </c>
      <c r="EA27" s="22">
        <v>0.63779331173316223</v>
      </c>
      <c r="EB27" s="416"/>
      <c r="EC27" s="416"/>
      <c r="ED27" s="416"/>
      <c r="EE27" s="416"/>
      <c r="EF27" s="416"/>
      <c r="EG27" s="416"/>
      <c r="EH27" s="416"/>
      <c r="EI27" s="416"/>
      <c r="EJ27" s="416"/>
      <c r="EK27" s="416"/>
      <c r="EL27" s="416"/>
      <c r="EM27" s="416"/>
      <c r="EN27" s="416"/>
      <c r="EO27" s="416"/>
      <c r="EP27" s="416"/>
      <c r="EQ27" s="416"/>
      <c r="ER27" s="416"/>
      <c r="ES27" s="416"/>
      <c r="ET27" s="416"/>
      <c r="EU27" s="416"/>
      <c r="EV27" s="416"/>
      <c r="EW27" s="416"/>
      <c r="EX27" s="416"/>
      <c r="EY27" s="416"/>
      <c r="EZ27" s="416"/>
      <c r="FA27" s="416"/>
      <c r="FB27" s="416"/>
      <c r="FC27" s="416"/>
      <c r="FD27" s="416"/>
      <c r="FE27" s="416"/>
      <c r="FF27" s="416"/>
      <c r="FG27" s="416"/>
      <c r="FH27" s="416"/>
      <c r="FI27" s="416"/>
      <c r="FJ27" s="416"/>
      <c r="FK27" s="416"/>
      <c r="FL27" s="416"/>
      <c r="FM27" s="416"/>
      <c r="FR27" s="3"/>
      <c r="FS27" s="3"/>
      <c r="FV27" s="58"/>
      <c r="FW27" s="58"/>
    </row>
    <row r="28" spans="2:225">
      <c r="B28" s="386">
        <v>15</v>
      </c>
      <c r="C28" s="394"/>
      <c r="D28" s="395"/>
      <c r="E28" s="385">
        <v>24201</v>
      </c>
      <c r="F28" s="385">
        <v>24501</v>
      </c>
      <c r="G28" s="390">
        <v>300</v>
      </c>
      <c r="H28" s="386" t="s">
        <v>263</v>
      </c>
      <c r="I28" s="386" t="s">
        <v>379</v>
      </c>
      <c r="J28" s="390">
        <v>2</v>
      </c>
      <c r="K28" s="386">
        <v>4.5999999999999996</v>
      </c>
      <c r="L28" s="386" t="s">
        <v>143</v>
      </c>
      <c r="M28" s="386">
        <v>4.2</v>
      </c>
      <c r="N28" s="386">
        <v>1</v>
      </c>
      <c r="O28" s="396">
        <v>1</v>
      </c>
      <c r="P28" s="386" t="s">
        <v>366</v>
      </c>
      <c r="Q28" s="397" t="s">
        <v>144</v>
      </c>
      <c r="R28" s="419" t="s">
        <v>73</v>
      </c>
      <c r="S28" s="310">
        <v>13</v>
      </c>
      <c r="T28" s="420"/>
      <c r="U28" s="279">
        <v>24</v>
      </c>
      <c r="V28" s="323">
        <v>6473.9966140621727</v>
      </c>
      <c r="W28" s="323">
        <v>2824.5698392986178</v>
      </c>
      <c r="X28" s="420"/>
      <c r="Y28" s="398">
        <f t="shared" si="0"/>
        <v>1</v>
      </c>
      <c r="Z28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28" s="182" t="s">
        <v>644</v>
      </c>
      <c r="AB28" s="391" t="s">
        <v>381</v>
      </c>
      <c r="AC28" s="31">
        <v>3.5</v>
      </c>
      <c r="AD28" s="31">
        <v>2.5</v>
      </c>
      <c r="AE28" s="421"/>
      <c r="AF28" s="421"/>
      <c r="AG28" s="421">
        <v>0</v>
      </c>
      <c r="AH28" s="441">
        <v>0.42</v>
      </c>
      <c r="AI28" s="25">
        <v>0.03</v>
      </c>
      <c r="AJ28" s="435">
        <v>8.7999999999999995E-2</v>
      </c>
      <c r="AK28" s="330">
        <v>643</v>
      </c>
      <c r="AL28" s="263">
        <v>0.55000000000000004</v>
      </c>
      <c r="AM28" s="414">
        <v>353.65000000000003</v>
      </c>
      <c r="AN28" s="417">
        <v>3</v>
      </c>
      <c r="AO28" s="467" t="s">
        <v>73</v>
      </c>
      <c r="AP28" s="439">
        <v>88</v>
      </c>
      <c r="AQ28" s="442">
        <v>0.57999999999999996</v>
      </c>
      <c r="AR28" s="422">
        <v>0.88</v>
      </c>
      <c r="AS28" s="316"/>
      <c r="AT28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0.93</v>
      </c>
      <c r="AU28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1.9</v>
      </c>
      <c r="AV28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1.1000000000000001</v>
      </c>
      <c r="AW28" s="23">
        <f>1/(1+(Tabela24[[#This Row],[Pt]])*(Tabela24[[#This Row],[Et]]-1)+(Tabela24[[#This Row],[PRv]])*(Tabela24[[#This Row],[Er]]-1))</f>
        <v>0.72411296162201311</v>
      </c>
      <c r="AX28" s="423">
        <f>Tabela24[veic/h]/Tabela24[PHF]</f>
        <v>730.68181818181813</v>
      </c>
      <c r="AY28" s="423">
        <v>1085.0232160312803</v>
      </c>
      <c r="AZ28" s="21">
        <f>Tabela24[veic/h]/(Tabela24[PHF]*Tabela24[fg ats]*Tabela24[fhv ats])</f>
        <v>1085.0232160312803</v>
      </c>
      <c r="BA28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28" s="322" t="str">
        <f>IF(AND(Tabela24[[#This Row],[vp1]]*Tabela24[[#This Row],[distrib. direc.]]&lt;1700,Tabela24[[#This Row],[vp1]]&lt;3200),"OK!","FAIL")</f>
        <v>OK!</v>
      </c>
      <c r="BC28" s="23">
        <f>INDEX('HCM2000'!$L$68:$AF$83,MATCH(Tabela24[[#This Row],[faixa (m)]],'HCM2000'!$K$68:$K$83),MATCH(Tabela24[[#This Row],[acost (m)]],'HCM2000'!$L$67:$AF$67))</f>
        <v>0.7</v>
      </c>
      <c r="BD28" s="23">
        <f>MIN(16,(2/3)*Tabela24[[#This Row],[acessos/km]])</f>
        <v>2</v>
      </c>
      <c r="BE28" s="22">
        <f>Tabela24[BFFS]-Tabela24[fLS]-Tabela24[fA]</f>
        <v>85.3</v>
      </c>
      <c r="BF28" s="23" t="e">
        <v>#REF!</v>
      </c>
      <c r="BG28" s="463">
        <f>IFERROR(Tabela24[[#This Row],[vp1]],0)</f>
        <v>1085.0232160312803</v>
      </c>
      <c r="BH28" s="463">
        <f>IFERROR(Tabela24[[#This Row],[% zonas s/ultra]],0)</f>
        <v>0.57999999999999996</v>
      </c>
      <c r="BI28" s="23" t="str">
        <f t="shared" si="5"/>
        <v>FNP</v>
      </c>
      <c r="BJ28" s="23">
        <v>2.879181512707718</v>
      </c>
      <c r="BK28" s="43">
        <f>Tabela24[FFS]-0.0125*MAX(Tabela24[[#This Row],[vp1]],Tabela24[[#This Row],[vp1'']])-Tabela24[fnp'']</f>
        <v>68.858028286901273</v>
      </c>
      <c r="BL28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0.94</v>
      </c>
      <c r="BM28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1.5</v>
      </c>
      <c r="BN28" s="23">
        <v>1</v>
      </c>
      <c r="BO28" s="23">
        <f>1/(1+Tabela24[[#This Row],[Pt]]*(Tabela24[[#This Row],[Et time]]-1)+Tabela24[[#This Row],[PRv]]*(Tabela24[[#This Row],[Er time]]-1))</f>
        <v>0.82644628099173556</v>
      </c>
      <c r="BP28" s="23">
        <f>Tabela24[veic/h]/Tabela24[PHF]</f>
        <v>730.68181818181813</v>
      </c>
      <c r="BQ28" s="23">
        <v>940.55851063829789</v>
      </c>
      <c r="BR28" s="438">
        <f>Tabela24[veic/h]/(Tabela24[PHF]*Tabela24[fg time]*Tabela24[fhv follow])</f>
        <v>940.55851063829789</v>
      </c>
      <c r="BS28" s="438" t="str">
        <f>IF(AND(Tabela24[[#This Row],[vp2]]*Tabela24[[#This Row],[distrib. direc.]]&lt;1700,Tabela24[[#This Row],[vp2]]&lt;3200),"OK!","FAIL")</f>
        <v>OK!</v>
      </c>
      <c r="BT28" s="23">
        <f>100*(1-EXP(-0.000879*MAX(Tabela24[[#This Row],[vp2]],Tabela24[[#This Row],[vp2'']])))</f>
        <v>56.253165533386884</v>
      </c>
      <c r="BU28" s="304" t="e">
        <v>#REF!</v>
      </c>
      <c r="BV28" s="304">
        <f>IF(TYPE(Tabela24[distrib. direc.])&lt;&gt;1,0,Tabela24[distrib. direc.])</f>
        <v>0.55000000000000004</v>
      </c>
      <c r="BW28" s="304">
        <f>IF(TYPE(Tabela24[vp2])&lt;&gt;1,0,Tabela24[vp2])</f>
        <v>940.55851063829789</v>
      </c>
      <c r="BX28" s="304">
        <f>IF(TYPE(Tabela24[% zonas s/ultra])&lt;&gt;1,0,Tabela24[% zonas s/ultra])</f>
        <v>0.57999999999999996</v>
      </c>
      <c r="BY28" s="304" t="str">
        <f t="shared" si="6"/>
        <v>FDNP</v>
      </c>
      <c r="BZ28" s="31">
        <v>11.352526595745479</v>
      </c>
      <c r="CA28" s="305">
        <f>Tabela24[BPTSF]+Tabela24[fd/np'']</f>
        <v>67.605692129132365</v>
      </c>
      <c r="CB28" s="424">
        <f>Tabela24[vp1]/3200</f>
        <v>0.3390697550097751</v>
      </c>
      <c r="CC28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D</v>
      </c>
      <c r="CD28" s="332">
        <f>VLOOKUP(Tabela24[faixa (m)],'HCM2000'!$B$541:$C$547,2,TRUE)</f>
        <v>1</v>
      </c>
      <c r="CE28" s="332">
        <f>IF(Tabela24[acost (m)]&gt;0,1.8,1.2)</f>
        <v>1.8</v>
      </c>
      <c r="CF28" s="332">
        <f>IF(Tabela24[Separador]=$CB$6,$CD$6,IF(Tabela24[Separador]=$CB$7,$CD$7,$CD$8))</f>
        <v>0</v>
      </c>
      <c r="CG28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28" s="332">
        <f>IF(Tabela24[Separador]="Sinalização horizontal",'HCM2000'!$C$590,'HCM2000'!$C$591)</f>
        <v>2.6</v>
      </c>
      <c r="CI28" s="332">
        <f>MIN((2/3)*Tabela24[[#This Row],[acessos/km]],16)</f>
        <v>2</v>
      </c>
      <c r="CJ28" s="332">
        <f>IF(Tabela24[fLC]="Pista simples","-",Tabela24[BFFS]-Tabela24[fLW]-Tabela24[fLC]-Tabela24[fM]-Tabela24[fA2])</f>
        <v>80.300000000000011</v>
      </c>
      <c r="CK28" s="332">
        <f>IF(Tabela24[plano/ondulado]="Montanhoso",Tabela24[Para PT&lt;],VLOOKUP(Tabela24[plano/ondulado],'HCM2000'!$B$606:$C$608,2,FALSE))</f>
        <v>2.5</v>
      </c>
      <c r="CL28" s="332">
        <f>IF(Tabela24[[#This Row],[plano/ondulado]]="Montanhoso",Tabela24[[#This Row],[Para PT&lt;]],VLOOKUP(Tabela24[[#This Row],[plano/ondulado]],'HCM2000'!$E$606:$F$608,2,FALSE))</f>
        <v>2</v>
      </c>
      <c r="CM28" s="433">
        <f>1/(1+(Tabela24[Pt]*(Tabela24[Et2]-1))+(Tabela24[PRv]*(Tabela24[Er2]-1)))</f>
        <v>0.60240963855421692</v>
      </c>
      <c r="CN28" s="329">
        <f>K28+IF(Tabela24[[#This Row],[Num. Faixas Marg.]]="-",0,Tabela24[[#This Row],[Num. Faixas Marg.]])</f>
        <v>4.5999999999999996</v>
      </c>
      <c r="CO28" s="331">
        <f>Tabela24[[#This Row],[Vzão]]/(Tabela24[[#This Row],[PHF]]*Tabela24[[#This Row],[N]]*Tabela24[[#This Row],[fHV]])</f>
        <v>145.02445652173913</v>
      </c>
      <c r="CP28" s="332">
        <f>IF(Tabela24[fLC]="Pista simples","-",Tabela24[vp3]/Tabela24[S])</f>
        <v>1.8060330824625044</v>
      </c>
      <c r="CQ28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28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28" s="308" t="str">
        <f>IF(Tabela24[LOS_vp3]="F","F",VLOOKUP(Tabela24[LOS_vp3],'HCM2000'!$R$655:$S$659,2))</f>
        <v>F</v>
      </c>
      <c r="CT28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28" s="425" t="str">
        <f>IF(Tabela24[[#This Row],[LOS_vp3]]="F","F",IF(Tabela24[[#This Row],[fLC]]="Pista simples","-",VLOOKUP(Tabela24[[#This Row],[LOS_D3]],'HCM2000'!$R$655:$S$659,2)))</f>
        <v>F</v>
      </c>
      <c r="CV28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28" s="381"/>
      <c r="CX28" s="381"/>
      <c r="CY28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28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28" s="22">
        <f>ABS(INDEX('HCM2000'!$E$611:$M$611,1,MATCH(Tabela24[Pt]*100,'HCM2000'!$E$611:$M$611,1))-Tabela24[Pt]*100)</f>
        <v>17</v>
      </c>
      <c r="DB28" s="22" t="e">
        <f>INDEX('HCM2000'!$E$611:$M$611,1,MATCH(Tabela24[[#This Row],[Pt]]*100,'HCM2000'!$E$611:$M$611,1)+1)-Tabela24[[#This Row],[Pt]]*100</f>
        <v>#REF!</v>
      </c>
      <c r="DC28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28" s="440"/>
      <c r="DE28" s="423" t="e">
        <f>1/(1+(Tabela24[Pt]*(Tabela24[ETsu]-1))+(Tabela24[PRv]*(Tabela24[ERsu]-1)))</f>
        <v>#N/A</v>
      </c>
      <c r="DF28" s="438" t="e">
        <f>Tabela24[Vzão]/(Tabela24[PHF]*Tabela24[N]*Tabela24[fHVsu])</f>
        <v>#N/A</v>
      </c>
      <c r="DG28" s="332" t="e">
        <f>IF(Tabela24[fLC]="Pista simples","-",Tabela24[vpsu]/Tabela24[S])</f>
        <v>#N/A</v>
      </c>
      <c r="DH28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28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28" s="425" t="str">
        <f>IF(Tabela24[[#This Row],[LOS_vp3]]="F","F",VLOOKUP(Tabela24[[#This Row],[LOS_vp3]],'HCM2000'!$R$655:$S$659,2))</f>
        <v>F</v>
      </c>
      <c r="DK28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28" s="425" t="str">
        <f>IF(Tabela24[[#This Row],[LOS_vp3]]="F","F",IF(Tabela24[[#This Row],[fLC]]="Pista simples","-",VLOOKUP(Tabela24[[#This Row],[LOS_D3]],'HCM2000'!$R$655:$S$659,2)))</f>
        <v>F</v>
      </c>
      <c r="DM28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28" s="416"/>
      <c r="DO28" s="22">
        <f>Tabela24[[#This Row],[ATS]]</f>
        <v>68.858028286901273</v>
      </c>
      <c r="DP28" s="416">
        <v>68.900000000000006</v>
      </c>
      <c r="DQ28" s="22">
        <f t="shared" si="11"/>
        <v>4.1971713098732266E-2</v>
      </c>
      <c r="DR28" s="22">
        <f>Tabela24[[#This Row],[PTSF]]</f>
        <v>67.605692129132365</v>
      </c>
      <c r="DS28" s="416">
        <v>68.099999999999994</v>
      </c>
      <c r="DT28" s="22">
        <f t="shared" si="12"/>
        <v>0.49430787086762962</v>
      </c>
      <c r="DU28" s="22"/>
      <c r="DV28" s="22">
        <v>68.858028286901273</v>
      </c>
      <c r="DW28" s="416">
        <v>68.900000000000006</v>
      </c>
      <c r="DX28" s="22">
        <v>4.1971713098732266E-2</v>
      </c>
      <c r="DY28" s="22">
        <v>67.605692129132365</v>
      </c>
      <c r="DZ28" s="416">
        <v>68.099999999999994</v>
      </c>
      <c r="EA28" s="22">
        <v>0.49430787086762962</v>
      </c>
      <c r="EB28" s="416"/>
      <c r="EC28" s="416"/>
      <c r="ED28" s="416"/>
      <c r="EE28" s="416"/>
      <c r="EF28" s="416"/>
      <c r="EG28" s="416"/>
      <c r="EH28" s="416"/>
      <c r="EI28" s="416"/>
      <c r="EJ28" s="416"/>
      <c r="EK28" s="416"/>
      <c r="EL28" s="416"/>
      <c r="EM28" s="416"/>
      <c r="EN28" s="416"/>
      <c r="EO28" s="416"/>
      <c r="EP28" s="416"/>
      <c r="EQ28" s="416"/>
      <c r="ER28" s="416"/>
      <c r="ES28" s="416"/>
      <c r="ET28" s="416"/>
      <c r="EU28" s="416"/>
      <c r="EV28" s="416"/>
      <c r="EW28" s="416"/>
      <c r="EX28" s="416"/>
      <c r="EY28" s="416"/>
      <c r="EZ28" s="416"/>
      <c r="FA28" s="416"/>
      <c r="FB28" s="416"/>
      <c r="FC28" s="416"/>
      <c r="FD28" s="416"/>
      <c r="FE28" s="416"/>
      <c r="FF28" s="416"/>
      <c r="FG28" s="416"/>
      <c r="FH28" s="416"/>
      <c r="FI28" s="416"/>
      <c r="FJ28" s="416"/>
      <c r="FK28" s="416"/>
      <c r="FL28" s="416"/>
      <c r="FM28" s="416"/>
      <c r="FR28" s="3"/>
      <c r="FS28" s="3"/>
      <c r="FV28" s="58"/>
      <c r="FW28" s="58"/>
    </row>
    <row r="29" spans="2:225">
      <c r="B29" s="386">
        <v>16</v>
      </c>
      <c r="C29" s="394"/>
      <c r="D29" s="395"/>
      <c r="E29" s="385">
        <v>24201</v>
      </c>
      <c r="F29" s="385">
        <v>24501</v>
      </c>
      <c r="G29" s="390">
        <v>300</v>
      </c>
      <c r="H29" s="386" t="s">
        <v>263</v>
      </c>
      <c r="I29" s="386" t="s">
        <v>379</v>
      </c>
      <c r="J29" s="390">
        <v>2</v>
      </c>
      <c r="K29" s="386">
        <v>4.5999999999999996</v>
      </c>
      <c r="L29" s="386" t="s">
        <v>143</v>
      </c>
      <c r="M29" s="386">
        <v>4.2</v>
      </c>
      <c r="N29" s="386">
        <v>1</v>
      </c>
      <c r="O29" s="396">
        <v>1</v>
      </c>
      <c r="P29" s="386" t="s">
        <v>366</v>
      </c>
      <c r="Q29" s="397" t="s">
        <v>144</v>
      </c>
      <c r="R29" s="419" t="s">
        <v>73</v>
      </c>
      <c r="S29" s="310">
        <v>14</v>
      </c>
      <c r="T29" s="420"/>
      <c r="U29" s="279">
        <v>24</v>
      </c>
      <c r="V29" s="323">
        <v>6473.9966140621727</v>
      </c>
      <c r="W29" s="323">
        <v>2824.5698392986178</v>
      </c>
      <c r="X29" s="420"/>
      <c r="Y29" s="398">
        <f t="shared" si="0"/>
        <v>1</v>
      </c>
      <c r="Z29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29" s="182" t="s">
        <v>644</v>
      </c>
      <c r="AB29" s="391" t="s">
        <v>381</v>
      </c>
      <c r="AC29" s="31">
        <v>3.5</v>
      </c>
      <c r="AD29" s="31">
        <v>2.5</v>
      </c>
      <c r="AE29" s="421"/>
      <c r="AF29" s="421"/>
      <c r="AG29" s="421">
        <v>0</v>
      </c>
      <c r="AH29" s="441">
        <v>0.55000000000000004</v>
      </c>
      <c r="AI29" s="25">
        <v>0.03</v>
      </c>
      <c r="AJ29" s="435">
        <v>8.7999999999999995E-2</v>
      </c>
      <c r="AK29" s="330">
        <v>389</v>
      </c>
      <c r="AL29" s="263">
        <v>0.55000000000000004</v>
      </c>
      <c r="AM29" s="414">
        <v>213.95000000000002</v>
      </c>
      <c r="AN29" s="417">
        <v>2</v>
      </c>
      <c r="AO29" s="467" t="s">
        <v>73</v>
      </c>
      <c r="AP29" s="439">
        <v>88</v>
      </c>
      <c r="AQ29" s="442">
        <v>0.19</v>
      </c>
      <c r="AR29" s="422">
        <v>0.88</v>
      </c>
      <c r="AS29" s="316"/>
      <c r="AT29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0.93</v>
      </c>
      <c r="AU29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1.9</v>
      </c>
      <c r="AV29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1.1000000000000001</v>
      </c>
      <c r="AW29" s="23">
        <f>1/(1+(Tabela24[[#This Row],[Pt]])*(Tabela24[[#This Row],[Et]]-1)+(Tabela24[[#This Row],[PRv]])*(Tabela24[[#This Row],[Er]]-1))</f>
        <v>0.66755674232309736</v>
      </c>
      <c r="AX29" s="423">
        <f>Tabela24[veic/h]/Tabela24[PHF]</f>
        <v>442.04545454545456</v>
      </c>
      <c r="AY29" s="423">
        <v>712.02590420332365</v>
      </c>
      <c r="AZ29" s="21">
        <f>Tabela24[veic/h]/(Tabela24[PHF]*Tabela24[fg ats]*Tabela24[fhv ats])</f>
        <v>712.02590420332365</v>
      </c>
      <c r="BA29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29" s="322" t="str">
        <f>IF(AND(Tabela24[[#This Row],[vp1]]*Tabela24[[#This Row],[distrib. direc.]]&lt;1700,Tabela24[[#This Row],[vp1]]&lt;3200),"OK!","FAIL")</f>
        <v>OK!</v>
      </c>
      <c r="BC29" s="23">
        <f>INDEX('HCM2000'!$L$68:$AF$83,MATCH(Tabela24[[#This Row],[faixa (m)]],'HCM2000'!$K$68:$K$83),MATCH(Tabela24[[#This Row],[acost (m)]],'HCM2000'!$L$67:$AF$67))</f>
        <v>0.7</v>
      </c>
      <c r="BD29" s="23">
        <f>MIN(16,(2/3)*Tabela24[[#This Row],[acessos/km]])</f>
        <v>1.3333333333333333</v>
      </c>
      <c r="BE29" s="22">
        <f>Tabela24[BFFS]-Tabela24[fLS]-Tabela24[fA]</f>
        <v>85.966666666666669</v>
      </c>
      <c r="BF29" s="23" t="e">
        <v>#REF!</v>
      </c>
      <c r="BG29" s="463">
        <f>IFERROR(Tabela24[[#This Row],[vp1]],0)</f>
        <v>712.02590420332365</v>
      </c>
      <c r="BH29" s="463">
        <f>IFERROR(Tabela24[[#This Row],[% zonas s/ultra]],0)</f>
        <v>0.19</v>
      </c>
      <c r="BI29" s="23" t="str">
        <f t="shared" si="5"/>
        <v>FNP</v>
      </c>
      <c r="BJ29" s="23">
        <v>2.2153630865102647</v>
      </c>
      <c r="BK29" s="43">
        <f>Tabela24[FFS]-0.0125*MAX(Tabela24[[#This Row],[vp1]],Tabela24[[#This Row],[vp1'']])-Tabela24[fnp'']</f>
        <v>74.850979777614853</v>
      </c>
      <c r="BL29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0.94</v>
      </c>
      <c r="BM29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1.5</v>
      </c>
      <c r="BN29" s="23">
        <v>1</v>
      </c>
      <c r="BO29" s="23">
        <f>1/(1+Tabela24[[#This Row],[Pt]]*(Tabela24[[#This Row],[Et time]]-1)+Tabela24[[#This Row],[PRv]]*(Tabela24[[#This Row],[Er time]]-1))</f>
        <v>0.78431372549019618</v>
      </c>
      <c r="BP29" s="23">
        <f>Tabela24[veic/h]/Tabela24[PHF]</f>
        <v>442.04545454545456</v>
      </c>
      <c r="BQ29" s="23">
        <v>677.17601547388779</v>
      </c>
      <c r="BR29" s="438">
        <f>Tabela24[veic/h]/(Tabela24[PHF]*Tabela24[fg time]*Tabela24[fhv follow])</f>
        <v>599.58293036750479</v>
      </c>
      <c r="BS29" s="438" t="str">
        <f>IF(AND(Tabela24[[#This Row],[vp2]]*Tabela24[[#This Row],[distrib. direc.]]&lt;1700,Tabela24[[#This Row],[vp2]]&lt;3200),"OK!","FAIL")</f>
        <v>OK!</v>
      </c>
      <c r="BT29" s="23">
        <f>100*(1-EXP(-0.000879*MAX(Tabela24[[#This Row],[vp2]],Tabela24[[#This Row],[vp2'']])))</f>
        <v>44.856853467936055</v>
      </c>
      <c r="BU29" s="304" t="e">
        <v>#REF!</v>
      </c>
      <c r="BV29" s="304">
        <f>IF(TYPE(Tabela24[distrib. direc.])&lt;&gt;1,0,Tabela24[distrib. direc.])</f>
        <v>0.55000000000000004</v>
      </c>
      <c r="BW29" s="304">
        <f>IF(TYPE(Tabela24[vp2])&lt;&gt;1,0,Tabela24[vp2])</f>
        <v>599.58293036750479</v>
      </c>
      <c r="BX29" s="304">
        <f>IF(TYPE(Tabela24[% zonas s/ultra])&lt;&gt;1,0,Tabela24[% zonas s/ultra])</f>
        <v>0.19</v>
      </c>
      <c r="BY29" s="304" t="str">
        <f t="shared" si="6"/>
        <v>FDNP</v>
      </c>
      <c r="BZ29" s="31">
        <v>10.925448349854873</v>
      </c>
      <c r="CA29" s="305">
        <f>Tabela24[BPTSF]+Tabela24[fd/np'']</f>
        <v>55.78230181779093</v>
      </c>
      <c r="CB29" s="424">
        <f>Tabela24[vp1]/3200</f>
        <v>0.22250809506353864</v>
      </c>
      <c r="CC29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29" s="332">
        <f>VLOOKUP(Tabela24[faixa (m)],'HCM2000'!$B$541:$C$547,2,TRUE)</f>
        <v>1</v>
      </c>
      <c r="CE29" s="332">
        <f>IF(Tabela24[acost (m)]&gt;0,1.8,1.2)</f>
        <v>1.8</v>
      </c>
      <c r="CF29" s="332">
        <f>IF(Tabela24[Separador]=$CB$6,$CD$6,IF(Tabela24[Separador]=$CB$7,$CD$7,$CD$8))</f>
        <v>0</v>
      </c>
      <c r="CG29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29" s="332">
        <f>IF(Tabela24[Separador]="Sinalização horizontal",'HCM2000'!$C$590,'HCM2000'!$C$591)</f>
        <v>2.6</v>
      </c>
      <c r="CI29" s="332">
        <f>MIN((2/3)*Tabela24[[#This Row],[acessos/km]],16)</f>
        <v>1.3333333333333333</v>
      </c>
      <c r="CJ29" s="332">
        <f>IF(Tabela24[fLC]="Pista simples","-",Tabela24[BFFS]-Tabela24[fLW]-Tabela24[fLC]-Tabela24[fM]-Tabela24[fA2])</f>
        <v>80.966666666666683</v>
      </c>
      <c r="CK29" s="332">
        <f>IF(Tabela24[plano/ondulado]="Montanhoso",Tabela24[Para PT&lt;],VLOOKUP(Tabela24[plano/ondulado],'HCM2000'!$B$606:$C$608,2,FALSE))</f>
        <v>2.5</v>
      </c>
      <c r="CL29" s="332">
        <f>IF(Tabela24[[#This Row],[plano/ondulado]]="Montanhoso",Tabela24[[#This Row],[Para PT&lt;]],VLOOKUP(Tabela24[[#This Row],[plano/ondulado]],'HCM2000'!$E$606:$F$608,2,FALSE))</f>
        <v>2</v>
      </c>
      <c r="CM29" s="433">
        <f>1/(1+(Tabela24[Pt]*(Tabela24[Et2]-1))+(Tabela24[PRv]*(Tabela24[Er2]-1)))</f>
        <v>0.53908355795148244</v>
      </c>
      <c r="CN29" s="329">
        <f>K29+IF(Tabela24[[#This Row],[Num. Faixas Marg.]]="-",0,Tabela24[[#This Row],[Num. Faixas Marg.]])</f>
        <v>4.5999999999999996</v>
      </c>
      <c r="CO29" s="331">
        <f>Tabela24[[#This Row],[Vzão]]/(Tabela24[[#This Row],[PHF]]*Tabela24[[#This Row],[N]]*Tabela24[[#This Row],[fHV]])</f>
        <v>98.042798913043484</v>
      </c>
      <c r="CP29" s="332">
        <f>IF(Tabela24[fLC]="Pista simples","-",Tabela24[vp3]/Tabela24[S])</f>
        <v>1.2109032389424883</v>
      </c>
      <c r="CQ29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29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29" s="308" t="str">
        <f>IF(Tabela24[LOS_vp3]="F","F",VLOOKUP(Tabela24[LOS_vp3],'HCM2000'!$R$655:$S$659,2))</f>
        <v>F</v>
      </c>
      <c r="CT29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29" s="425" t="str">
        <f>IF(Tabela24[[#This Row],[LOS_vp3]]="F","F",IF(Tabela24[[#This Row],[fLC]]="Pista simples","-",VLOOKUP(Tabela24[[#This Row],[LOS_D3]],'HCM2000'!$R$655:$S$659,2)))</f>
        <v>F</v>
      </c>
      <c r="CV29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29" s="381"/>
      <c r="CX29" s="381"/>
      <c r="CY29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29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29" s="22">
        <f>ABS(INDEX('HCM2000'!$E$611:$M$611,1,MATCH(Tabela24[Pt]*100,'HCM2000'!$E$611:$M$611,1))-Tabela24[Pt]*100)</f>
        <v>30.000000000000007</v>
      </c>
      <c r="DB29" s="22" t="e">
        <f>INDEX('HCM2000'!$E$611:$M$611,1,MATCH(Tabela24[[#This Row],[Pt]]*100,'HCM2000'!$E$611:$M$611,1)+1)-Tabela24[[#This Row],[Pt]]*100</f>
        <v>#REF!</v>
      </c>
      <c r="DC29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29" s="440"/>
      <c r="DE29" s="423" t="e">
        <f>1/(1+(Tabela24[Pt]*(Tabela24[ETsu]-1))+(Tabela24[PRv]*(Tabela24[ERsu]-1)))</f>
        <v>#N/A</v>
      </c>
      <c r="DF29" s="438" t="e">
        <f>Tabela24[Vzão]/(Tabela24[PHF]*Tabela24[N]*Tabela24[fHVsu])</f>
        <v>#N/A</v>
      </c>
      <c r="DG29" s="332" t="e">
        <f>IF(Tabela24[fLC]="Pista simples","-",Tabela24[vpsu]/Tabela24[S])</f>
        <v>#N/A</v>
      </c>
      <c r="DH29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29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29" s="425" t="str">
        <f>IF(Tabela24[[#This Row],[LOS_vp3]]="F","F",VLOOKUP(Tabela24[[#This Row],[LOS_vp3]],'HCM2000'!$R$655:$S$659,2))</f>
        <v>F</v>
      </c>
      <c r="DK29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29" s="425" t="str">
        <f>IF(Tabela24[[#This Row],[LOS_vp3]]="F","F",IF(Tabela24[[#This Row],[fLC]]="Pista simples","-",VLOOKUP(Tabela24[[#This Row],[LOS_D3]],'HCM2000'!$R$655:$S$659,2)))</f>
        <v>F</v>
      </c>
      <c r="DM29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29" s="416"/>
      <c r="DO29" s="22">
        <f>Tabela24[[#This Row],[ATS]]</f>
        <v>74.850979777614853</v>
      </c>
      <c r="DP29" s="416">
        <v>73.099999999999994</v>
      </c>
      <c r="DQ29" s="22">
        <f t="shared" si="11"/>
        <v>1.7509797776148588</v>
      </c>
      <c r="DR29" s="22">
        <f>Tabela24[[#This Row],[PTSF]]</f>
        <v>55.78230181779093</v>
      </c>
      <c r="DS29" s="416">
        <v>54.5</v>
      </c>
      <c r="DT29" s="22">
        <f t="shared" si="12"/>
        <v>1.2823018177909304</v>
      </c>
      <c r="DU29" s="22"/>
      <c r="DV29" s="22">
        <v>70.358288785744776</v>
      </c>
      <c r="DW29" s="416">
        <v>73.099999999999994</v>
      </c>
      <c r="DX29" s="22">
        <v>2.7417112142552185</v>
      </c>
      <c r="DY29" s="22">
        <v>58.702812425502081</v>
      </c>
      <c r="DZ29" s="416">
        <v>54.5</v>
      </c>
      <c r="EA29" s="22">
        <v>4.2028124255020813</v>
      </c>
      <c r="EB29" s="416"/>
      <c r="EC29" s="416"/>
      <c r="ED29" s="416"/>
      <c r="EE29" s="416"/>
      <c r="EF29" s="416"/>
      <c r="EG29" s="416"/>
      <c r="EH29" s="416"/>
      <c r="EI29" s="416"/>
      <c r="EJ29" s="416"/>
      <c r="EK29" s="416"/>
      <c r="EL29" s="416"/>
      <c r="EM29" s="416"/>
      <c r="EN29" s="416"/>
      <c r="EO29" s="416"/>
      <c r="EP29" s="416"/>
      <c r="EQ29" s="416"/>
      <c r="ER29" s="416"/>
      <c r="ES29" s="416"/>
      <c r="ET29" s="416"/>
      <c r="EU29" s="416"/>
      <c r="EV29" s="416"/>
      <c r="EW29" s="416"/>
      <c r="EX29" s="416"/>
      <c r="EY29" s="416"/>
      <c r="EZ29" s="416"/>
      <c r="FA29" s="416"/>
      <c r="FB29" s="416"/>
      <c r="FC29" s="416"/>
      <c r="FD29" s="416"/>
      <c r="FE29" s="416"/>
      <c r="FF29" s="416"/>
      <c r="FG29" s="416"/>
      <c r="FH29" s="416"/>
      <c r="FI29" s="416"/>
      <c r="FJ29" s="416"/>
      <c r="FK29" s="416"/>
      <c r="FL29" s="416"/>
      <c r="FM29" s="416"/>
      <c r="FR29" s="3"/>
      <c r="FS29" s="3"/>
      <c r="FV29" s="58"/>
      <c r="FW29" s="58"/>
    </row>
    <row r="30" spans="2:225">
      <c r="B30" s="386">
        <v>17</v>
      </c>
      <c r="C30" s="394"/>
      <c r="D30" s="395"/>
      <c r="E30" s="385">
        <v>24201</v>
      </c>
      <c r="F30" s="385">
        <v>24501</v>
      </c>
      <c r="G30" s="390">
        <v>300</v>
      </c>
      <c r="H30" s="386" t="s">
        <v>263</v>
      </c>
      <c r="I30" s="386" t="s">
        <v>379</v>
      </c>
      <c r="J30" s="390">
        <v>2</v>
      </c>
      <c r="K30" s="386">
        <v>4.5999999999999996</v>
      </c>
      <c r="L30" s="386" t="s">
        <v>143</v>
      </c>
      <c r="M30" s="386">
        <v>4.2</v>
      </c>
      <c r="N30" s="386">
        <v>1</v>
      </c>
      <c r="O30" s="396">
        <v>1</v>
      </c>
      <c r="P30" s="386" t="s">
        <v>366</v>
      </c>
      <c r="Q30" s="397" t="s">
        <v>144</v>
      </c>
      <c r="R30" s="419" t="s">
        <v>73</v>
      </c>
      <c r="S30" s="310">
        <v>15</v>
      </c>
      <c r="T30" s="420"/>
      <c r="U30" s="279">
        <v>24</v>
      </c>
      <c r="V30" s="323">
        <v>6473.9966140621727</v>
      </c>
      <c r="W30" s="323">
        <v>2824.5698392986178</v>
      </c>
      <c r="X30" s="420"/>
      <c r="Y30" s="398">
        <f t="shared" si="0"/>
        <v>1</v>
      </c>
      <c r="Z30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30" s="182" t="s">
        <v>644</v>
      </c>
      <c r="AB30" s="391" t="s">
        <v>381</v>
      </c>
      <c r="AC30" s="31">
        <v>3.5</v>
      </c>
      <c r="AD30" s="31">
        <v>2.5</v>
      </c>
      <c r="AE30" s="421"/>
      <c r="AF30" s="421"/>
      <c r="AG30" s="421">
        <v>0</v>
      </c>
      <c r="AH30" s="441">
        <v>0.5</v>
      </c>
      <c r="AI30" s="25">
        <v>0.03</v>
      </c>
      <c r="AJ30" s="435">
        <v>8.7999999999999995E-2</v>
      </c>
      <c r="AK30" s="330">
        <v>408</v>
      </c>
      <c r="AL30" s="263">
        <v>0.55000000000000004</v>
      </c>
      <c r="AM30" s="414">
        <v>224.4</v>
      </c>
      <c r="AN30" s="417">
        <v>3</v>
      </c>
      <c r="AO30" s="467" t="s">
        <v>73</v>
      </c>
      <c r="AP30" s="439">
        <v>88</v>
      </c>
      <c r="AQ30" s="442">
        <v>0.46</v>
      </c>
      <c r="AR30" s="422">
        <v>0.88</v>
      </c>
      <c r="AS30" s="316"/>
      <c r="AT30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0.93</v>
      </c>
      <c r="AU30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1.9</v>
      </c>
      <c r="AV30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1.1000000000000001</v>
      </c>
      <c r="AW30" s="23">
        <f>1/(1+(Tabela24[[#This Row],[Pt]])*(Tabela24[[#This Row],[Et]]-1)+(Tabela24[[#This Row],[PRv]])*(Tabela24[[#This Row],[Er]]-1))</f>
        <v>0.68823124569855476</v>
      </c>
      <c r="AX30" s="423">
        <f>Tabela24[veic/h]/Tabela24[PHF]</f>
        <v>463.63636363636363</v>
      </c>
      <c r="AY30" s="423">
        <v>724.36950146627555</v>
      </c>
      <c r="AZ30" s="21">
        <f>Tabela24[veic/h]/(Tabela24[PHF]*Tabela24[fg ats]*Tabela24[fhv ats])</f>
        <v>724.36950146627555</v>
      </c>
      <c r="BA30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30" s="322" t="str">
        <f>IF(AND(Tabela24[[#This Row],[vp1]]*Tabela24[[#This Row],[distrib. direc.]]&lt;1700,Tabela24[[#This Row],[vp1]]&lt;3200),"OK!","FAIL")</f>
        <v>OK!</v>
      </c>
      <c r="BC30" s="23">
        <f>INDEX('HCM2000'!$L$68:$AF$83,MATCH(Tabela24[[#This Row],[faixa (m)]],'HCM2000'!$K$68:$K$83),MATCH(Tabela24[[#This Row],[acost (m)]],'HCM2000'!$L$67:$AF$67))</f>
        <v>0.7</v>
      </c>
      <c r="BD30" s="23">
        <f>MIN(16,(2/3)*Tabela24[[#This Row],[acessos/km]])</f>
        <v>2</v>
      </c>
      <c r="BE30" s="22">
        <f>Tabela24[BFFS]-Tabela24[fLS]-Tabela24[fA]</f>
        <v>85.3</v>
      </c>
      <c r="BF30" s="23" t="e">
        <v>#REF!</v>
      </c>
      <c r="BG30" s="463">
        <f>IFERROR(Tabela24[[#This Row],[vp1]],0)</f>
        <v>724.36950146627555</v>
      </c>
      <c r="BH30" s="463">
        <f>IFERROR(Tabela24[[#This Row],[% zonas s/ultra]],0)</f>
        <v>0.46</v>
      </c>
      <c r="BI30" s="23" t="str">
        <f t="shared" si="5"/>
        <v>FNP</v>
      </c>
      <c r="BJ30" s="23">
        <v>3.6387404692081997</v>
      </c>
      <c r="BK30" s="43">
        <f>Tabela24[FFS]-0.0125*MAX(Tabela24[[#This Row],[vp1]],Tabela24[[#This Row],[vp1'']])-Tabela24[fnp'']</f>
        <v>72.606640762463357</v>
      </c>
      <c r="BL30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0.94</v>
      </c>
      <c r="BM30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1.5</v>
      </c>
      <c r="BN30" s="23">
        <v>1</v>
      </c>
      <c r="BO30" s="23">
        <f>1/(1+Tabela24[[#This Row],[Pt]]*(Tabela24[[#This Row],[Et time]]-1)+Tabela24[[#This Row],[PRv]]*(Tabela24[[#This Row],[Er time]]-1))</f>
        <v>0.8</v>
      </c>
      <c r="BP30" s="23">
        <f>Tabela24[veic/h]/Tabela24[PHF]</f>
        <v>463.63636363636363</v>
      </c>
      <c r="BQ30" s="23">
        <v>616.53771760154734</v>
      </c>
      <c r="BR30" s="438">
        <f>Tabela24[veic/h]/(Tabela24[PHF]*Tabela24[fg time]*Tabela24[fhv follow])</f>
        <v>616.53771760154734</v>
      </c>
      <c r="BS30" s="438" t="str">
        <f>IF(AND(Tabela24[[#This Row],[vp2]]*Tabela24[[#This Row],[distrib. direc.]]&lt;1700,Tabela24[[#This Row],[vp2]]&lt;3200),"OK!","FAIL")</f>
        <v>OK!</v>
      </c>
      <c r="BT30" s="23">
        <f>100*(1-EXP(-0.000879*MAX(Tabela24[[#This Row],[vp2]],Tabela24[[#This Row],[vp2'']])))</f>
        <v>41.837923709619005</v>
      </c>
      <c r="BU30" s="304" t="e">
        <v>#REF!</v>
      </c>
      <c r="BV30" s="304">
        <f>IF(TYPE(Tabela24[distrib. direc.])&lt;&gt;1,0,Tabela24[distrib. direc.])</f>
        <v>0.55000000000000004</v>
      </c>
      <c r="BW30" s="304">
        <f>IF(TYPE(Tabela24[vp2])&lt;&gt;1,0,Tabela24[vp2])</f>
        <v>616.53771760154734</v>
      </c>
      <c r="BX30" s="304">
        <f>IF(TYPE(Tabela24[% zonas s/ultra])&lt;&gt;1,0,Tabela24[% zonas s/ultra])</f>
        <v>0.46</v>
      </c>
      <c r="BY30" s="304" t="str">
        <f t="shared" si="6"/>
        <v>FDNP</v>
      </c>
      <c r="BZ30" s="31">
        <v>15.880019342359935</v>
      </c>
      <c r="CA30" s="305">
        <f>Tabela24[BPTSF]+Tabela24[fd/np'']</f>
        <v>57.717943051978942</v>
      </c>
      <c r="CB30" s="424">
        <f>Tabela24[vp1]/3200</f>
        <v>0.2263654692082111</v>
      </c>
      <c r="CC30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30" s="332">
        <f>VLOOKUP(Tabela24[faixa (m)],'HCM2000'!$B$541:$C$547,2,TRUE)</f>
        <v>1</v>
      </c>
      <c r="CE30" s="332">
        <f>IF(Tabela24[acost (m)]&gt;0,1.8,1.2)</f>
        <v>1.8</v>
      </c>
      <c r="CF30" s="332">
        <f>IF(Tabela24[Separador]=$CB$6,$CD$6,IF(Tabela24[Separador]=$CB$7,$CD$7,$CD$8))</f>
        <v>0</v>
      </c>
      <c r="CG30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30" s="332">
        <f>IF(Tabela24[Separador]="Sinalização horizontal",'HCM2000'!$C$590,'HCM2000'!$C$591)</f>
        <v>2.6</v>
      </c>
      <c r="CI30" s="332">
        <f>MIN((2/3)*Tabela24[[#This Row],[acessos/km]],16)</f>
        <v>2</v>
      </c>
      <c r="CJ30" s="332">
        <f>IF(Tabela24[fLC]="Pista simples","-",Tabela24[BFFS]-Tabela24[fLW]-Tabela24[fLC]-Tabela24[fM]-Tabela24[fA2])</f>
        <v>80.300000000000011</v>
      </c>
      <c r="CK30" s="332">
        <f>IF(Tabela24[plano/ondulado]="Montanhoso",Tabela24[Para PT&lt;],VLOOKUP(Tabela24[plano/ondulado],'HCM2000'!$B$606:$C$608,2,FALSE))</f>
        <v>2.5</v>
      </c>
      <c r="CL30" s="332">
        <f>IF(Tabela24[[#This Row],[plano/ondulado]]="Montanhoso",Tabela24[[#This Row],[Para PT&lt;]],VLOOKUP(Tabela24[[#This Row],[plano/ondulado]],'HCM2000'!$E$606:$F$608,2,FALSE))</f>
        <v>2</v>
      </c>
      <c r="CM30" s="433">
        <f>1/(1+(Tabela24[Pt]*(Tabela24[Et2]-1))+(Tabela24[PRv]*(Tabela24[Er2]-1)))</f>
        <v>0.5617977528089888</v>
      </c>
      <c r="CN30" s="329">
        <f>K30+IF(Tabela24[[#This Row],[Num. Faixas Marg.]]="-",0,Tabela24[[#This Row],[Num. Faixas Marg.]])</f>
        <v>4.5999999999999996</v>
      </c>
      <c r="CO30" s="331">
        <f>Tabela24[[#This Row],[Vzão]]/(Tabela24[[#This Row],[PHF]]*Tabela24[[#This Row],[N]]*Tabela24[[#This Row],[fHV]])</f>
        <v>98.673913043478251</v>
      </c>
      <c r="CP30" s="332">
        <f>IF(Tabela24[fLC]="Pista simples","-",Tabela24[vp3]/Tabela24[S])</f>
        <v>1.228815853592506</v>
      </c>
      <c r="CQ30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30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30" s="308" t="str">
        <f>IF(Tabela24[LOS_vp3]="F","F",VLOOKUP(Tabela24[LOS_vp3],'HCM2000'!$R$655:$S$659,2))</f>
        <v>F</v>
      </c>
      <c r="CT30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30" s="425" t="str">
        <f>IF(Tabela24[[#This Row],[LOS_vp3]]="F","F",IF(Tabela24[[#This Row],[fLC]]="Pista simples","-",VLOOKUP(Tabela24[[#This Row],[LOS_D3]],'HCM2000'!$R$655:$S$659,2)))</f>
        <v>F</v>
      </c>
      <c r="CV30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30" s="381"/>
      <c r="CX30" s="381"/>
      <c r="CY30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30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30" s="22">
        <f>ABS(INDEX('HCM2000'!$E$611:$M$611,1,MATCH(Tabela24[Pt]*100,'HCM2000'!$E$611:$M$611,1))-Tabela24[Pt]*100)</f>
        <v>25</v>
      </c>
      <c r="DB30" s="22" t="e">
        <f>INDEX('HCM2000'!$E$611:$M$611,1,MATCH(Tabela24[[#This Row],[Pt]]*100,'HCM2000'!$E$611:$M$611,1)+1)-Tabela24[[#This Row],[Pt]]*100</f>
        <v>#REF!</v>
      </c>
      <c r="DC30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30" s="440"/>
      <c r="DE30" s="423" t="e">
        <f>1/(1+(Tabela24[Pt]*(Tabela24[ETsu]-1))+(Tabela24[PRv]*(Tabela24[ERsu]-1)))</f>
        <v>#N/A</v>
      </c>
      <c r="DF30" s="438" t="e">
        <f>Tabela24[Vzão]/(Tabela24[PHF]*Tabela24[N]*Tabela24[fHVsu])</f>
        <v>#N/A</v>
      </c>
      <c r="DG30" s="332" t="e">
        <f>IF(Tabela24[fLC]="Pista simples","-",Tabela24[vpsu]/Tabela24[S])</f>
        <v>#N/A</v>
      </c>
      <c r="DH30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30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30" s="425" t="str">
        <f>IF(Tabela24[[#This Row],[LOS_vp3]]="F","F",VLOOKUP(Tabela24[[#This Row],[LOS_vp3]],'HCM2000'!$R$655:$S$659,2))</f>
        <v>F</v>
      </c>
      <c r="DK30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30" s="425" t="str">
        <f>IF(Tabela24[[#This Row],[LOS_vp3]]="F","F",IF(Tabela24[[#This Row],[fLC]]="Pista simples","-",VLOOKUP(Tabela24[[#This Row],[LOS_D3]],'HCM2000'!$R$655:$S$659,2)))</f>
        <v>F</v>
      </c>
      <c r="DM30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30" s="416"/>
      <c r="DO30" s="22">
        <f>Tabela24[[#This Row],[ATS]]</f>
        <v>72.606640762463357</v>
      </c>
      <c r="DP30" s="416">
        <v>71.3</v>
      </c>
      <c r="DQ30" s="22">
        <f t="shared" si="11"/>
        <v>1.3066407624633598</v>
      </c>
      <c r="DR30" s="22">
        <f>Tabela24[[#This Row],[PTSF]]</f>
        <v>57.717943051978942</v>
      </c>
      <c r="DS30" s="416">
        <v>60</v>
      </c>
      <c r="DT30" s="22">
        <f t="shared" si="12"/>
        <v>2.282056948021058</v>
      </c>
      <c r="DU30" s="22"/>
      <c r="DV30" s="22">
        <v>68.664461587708061</v>
      </c>
      <c r="DW30" s="416">
        <v>71.3</v>
      </c>
      <c r="DX30" s="22">
        <v>2.6355384122919361</v>
      </c>
      <c r="DY30" s="22">
        <v>63.075527455466705</v>
      </c>
      <c r="DZ30" s="416">
        <v>60</v>
      </c>
      <c r="EA30" s="22">
        <v>3.0755274554667054</v>
      </c>
      <c r="EB30" s="416"/>
      <c r="EC30" s="416"/>
      <c r="ED30" s="416"/>
      <c r="EE30" s="416"/>
      <c r="EF30" s="416"/>
      <c r="EG30" s="416"/>
      <c r="EH30" s="416"/>
      <c r="EI30" s="416"/>
      <c r="EJ30" s="416"/>
      <c r="EK30" s="416"/>
      <c r="EL30" s="416"/>
      <c r="EM30" s="416"/>
      <c r="EN30" s="416"/>
      <c r="EO30" s="416"/>
      <c r="EP30" s="416"/>
      <c r="EQ30" s="416"/>
      <c r="ER30" s="416"/>
      <c r="ES30" s="416"/>
      <c r="ET30" s="416"/>
      <c r="EU30" s="416"/>
      <c r="EV30" s="416"/>
      <c r="EW30" s="416"/>
      <c r="EX30" s="416"/>
      <c r="EY30" s="416"/>
      <c r="EZ30" s="416"/>
      <c r="FA30" s="416"/>
      <c r="FB30" s="416"/>
      <c r="FC30" s="416"/>
      <c r="FD30" s="416"/>
      <c r="FE30" s="416"/>
      <c r="FF30" s="416"/>
      <c r="FG30" s="416"/>
      <c r="FH30" s="416"/>
      <c r="FI30" s="416"/>
      <c r="FJ30" s="416"/>
      <c r="FK30" s="416"/>
      <c r="FL30" s="416"/>
      <c r="FM30" s="416"/>
      <c r="FR30" s="3"/>
      <c r="FS30" s="3"/>
      <c r="FV30" s="58"/>
      <c r="FW30" s="58"/>
    </row>
    <row r="31" spans="2:225">
      <c r="B31" s="386">
        <v>18</v>
      </c>
      <c r="C31" s="394"/>
      <c r="D31" s="395"/>
      <c r="E31" s="385">
        <v>24201</v>
      </c>
      <c r="F31" s="385">
        <v>24501</v>
      </c>
      <c r="G31" s="390">
        <v>300</v>
      </c>
      <c r="H31" s="386" t="s">
        <v>263</v>
      </c>
      <c r="I31" s="386" t="s">
        <v>379</v>
      </c>
      <c r="J31" s="390">
        <v>2</v>
      </c>
      <c r="K31" s="386">
        <v>4.5999999999999996</v>
      </c>
      <c r="L31" s="386" t="s">
        <v>143</v>
      </c>
      <c r="M31" s="386">
        <v>4.2</v>
      </c>
      <c r="N31" s="386">
        <v>1</v>
      </c>
      <c r="O31" s="396">
        <v>1</v>
      </c>
      <c r="P31" s="386" t="s">
        <v>366</v>
      </c>
      <c r="Q31" s="397" t="s">
        <v>144</v>
      </c>
      <c r="R31" s="419" t="s">
        <v>73</v>
      </c>
      <c r="S31" s="310">
        <v>16</v>
      </c>
      <c r="T31" s="420"/>
      <c r="U31" s="279">
        <v>24</v>
      </c>
      <c r="V31" s="323">
        <v>6473.9966140621727</v>
      </c>
      <c r="W31" s="323">
        <v>2824.5698392986178</v>
      </c>
      <c r="X31" s="420"/>
      <c r="Y31" s="398">
        <f t="shared" si="0"/>
        <v>1</v>
      </c>
      <c r="Z31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31" s="182" t="s">
        <v>644</v>
      </c>
      <c r="AB31" s="391" t="s">
        <v>381</v>
      </c>
      <c r="AC31" s="31">
        <v>3.5</v>
      </c>
      <c r="AD31" s="31">
        <v>2.5</v>
      </c>
      <c r="AE31" s="421"/>
      <c r="AF31" s="421"/>
      <c r="AG31" s="421">
        <v>0</v>
      </c>
      <c r="AH31" s="441">
        <v>0.42</v>
      </c>
      <c r="AI31" s="25">
        <v>0.03</v>
      </c>
      <c r="AJ31" s="435">
        <v>8.7999999999999995E-2</v>
      </c>
      <c r="AK31" s="330">
        <v>530</v>
      </c>
      <c r="AL31" s="263">
        <v>0.55000000000000004</v>
      </c>
      <c r="AM31" s="414">
        <v>291.5</v>
      </c>
      <c r="AN31" s="417">
        <v>3</v>
      </c>
      <c r="AO31" s="467" t="s">
        <v>73</v>
      </c>
      <c r="AP31" s="439">
        <v>88</v>
      </c>
      <c r="AQ31" s="442">
        <v>0.65</v>
      </c>
      <c r="AR31" s="422">
        <v>0.88</v>
      </c>
      <c r="AS31" s="316"/>
      <c r="AT31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0.93</v>
      </c>
      <c r="AU31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1.9</v>
      </c>
      <c r="AV31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1.1000000000000001</v>
      </c>
      <c r="AW31" s="23">
        <f>1/(1+(Tabela24[[#This Row],[Pt]])*(Tabela24[[#This Row],[Et]]-1)+(Tabela24[[#This Row],[PRv]])*(Tabela24[[#This Row],[Er]]-1))</f>
        <v>0.72411296162201311</v>
      </c>
      <c r="AX31" s="423">
        <f>Tabela24[veic/h]/Tabela24[PHF]</f>
        <v>602.27272727272725</v>
      </c>
      <c r="AY31" s="423">
        <v>894.34261974584547</v>
      </c>
      <c r="AZ31" s="21">
        <f>Tabela24[veic/h]/(Tabela24[PHF]*Tabela24[fg ats]*Tabela24[fhv ats])</f>
        <v>894.34261974584547</v>
      </c>
      <c r="BA31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31" s="322" t="str">
        <f>IF(AND(Tabela24[[#This Row],[vp1]]*Tabela24[[#This Row],[distrib. direc.]]&lt;1700,Tabela24[[#This Row],[vp1]]&lt;3200),"OK!","FAIL")</f>
        <v>OK!</v>
      </c>
      <c r="BC31" s="23">
        <f>INDEX('HCM2000'!$L$68:$AF$83,MATCH(Tabela24[[#This Row],[faixa (m)]],'HCM2000'!$K$68:$K$83),MATCH(Tabela24[[#This Row],[acost (m)]],'HCM2000'!$L$67:$AF$67))</f>
        <v>0.7</v>
      </c>
      <c r="BD31" s="23">
        <f>MIN(16,(2/3)*Tabela24[[#This Row],[acessos/km]])</f>
        <v>2</v>
      </c>
      <c r="BE31" s="22">
        <f>Tabela24[BFFS]-Tabela24[fLS]-Tabela24[fA]</f>
        <v>85.3</v>
      </c>
      <c r="BF31" s="23" t="e">
        <v>#REF!</v>
      </c>
      <c r="BG31" s="463">
        <f>IFERROR(Tabela24[[#This Row],[vp1]],0)</f>
        <v>894.34261974584547</v>
      </c>
      <c r="BH31" s="463">
        <f>IFERROR(Tabela24[[#This Row],[% zonas s/ultra]],0)</f>
        <v>0.65</v>
      </c>
      <c r="BI31" s="23" t="str">
        <f t="shared" si="5"/>
        <v>FNP</v>
      </c>
      <c r="BJ31" s="23">
        <v>3.6698008308895371</v>
      </c>
      <c r="BK31" s="43">
        <f>Tabela24[FFS]-0.0125*MAX(Tabela24[[#This Row],[vp1]],Tabela24[[#This Row],[vp1'']])-Tabela24[fnp'']</f>
        <v>70.450916422287392</v>
      </c>
      <c r="BL31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0.94</v>
      </c>
      <c r="BM31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1.5</v>
      </c>
      <c r="BN31" s="23">
        <v>1</v>
      </c>
      <c r="BO31" s="23">
        <f>1/(1+Tabela24[[#This Row],[Pt]]*(Tabela24[[#This Row],[Et time]]-1)+Tabela24[[#This Row],[PRv]]*(Tabela24[[#This Row],[Er time]]-1))</f>
        <v>0.82644628099173556</v>
      </c>
      <c r="BP31" s="23">
        <f>Tabela24[veic/h]/Tabela24[PHF]</f>
        <v>602.27272727272725</v>
      </c>
      <c r="BQ31" s="23">
        <v>775.26595744680856</v>
      </c>
      <c r="BR31" s="438">
        <f>Tabela24[veic/h]/(Tabela24[PHF]*Tabela24[fg time]*Tabela24[fhv follow])</f>
        <v>775.26595744680856</v>
      </c>
      <c r="BS31" s="438" t="str">
        <f>IF(AND(Tabela24[[#This Row],[vp2]]*Tabela24[[#This Row],[distrib. direc.]]&lt;1700,Tabela24[[#This Row],[vp2]]&lt;3200),"OK!","FAIL")</f>
        <v>OK!</v>
      </c>
      <c r="BT31" s="23">
        <f>100*(1-EXP(-0.000879*MAX(Tabela24[[#This Row],[vp2]],Tabela24[[#This Row],[vp2'']])))</f>
        <v>49.412150986003567</v>
      </c>
      <c r="BU31" s="304" t="e">
        <v>#REF!</v>
      </c>
      <c r="BV31" s="304">
        <f>IF(TYPE(Tabela24[distrib. direc.])&lt;&gt;1,0,Tabela24[distrib. direc.])</f>
        <v>0.55000000000000004</v>
      </c>
      <c r="BW31" s="304">
        <f>IF(TYPE(Tabela24[vp2])&lt;&gt;1,0,Tabela24[vp2])</f>
        <v>775.26595744680856</v>
      </c>
      <c r="BX31" s="304">
        <f>IF(TYPE(Tabela24[% zonas s/ultra])&lt;&gt;1,0,Tabela24[% zonas s/ultra])</f>
        <v>0.65</v>
      </c>
      <c r="BY31" s="304" t="str">
        <f t="shared" si="6"/>
        <v>FDNP</v>
      </c>
      <c r="BZ31" s="31">
        <v>13.910837765956861</v>
      </c>
      <c r="CA31" s="305">
        <f>Tabela24[BPTSF]+Tabela24[fd/np'']</f>
        <v>63.32298875196043</v>
      </c>
      <c r="CB31" s="424">
        <f>Tabela24[vp1]/3200</f>
        <v>0.27948206867057673</v>
      </c>
      <c r="CC31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31" s="332">
        <f>VLOOKUP(Tabela24[faixa (m)],'HCM2000'!$B$541:$C$547,2,TRUE)</f>
        <v>1</v>
      </c>
      <c r="CE31" s="332">
        <f>IF(Tabela24[acost (m)]&gt;0,1.8,1.2)</f>
        <v>1.8</v>
      </c>
      <c r="CF31" s="332">
        <f>IF(Tabela24[Separador]=$CB$6,$CD$6,IF(Tabela24[Separador]=$CB$7,$CD$7,$CD$8))</f>
        <v>0</v>
      </c>
      <c r="CG31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31" s="332">
        <f>IF(Tabela24[Separador]="Sinalização horizontal",'HCM2000'!$C$590,'HCM2000'!$C$591)</f>
        <v>2.6</v>
      </c>
      <c r="CI31" s="332">
        <f>MIN((2/3)*Tabela24[[#This Row],[acessos/km]],16)</f>
        <v>2</v>
      </c>
      <c r="CJ31" s="332">
        <f>IF(Tabela24[fLC]="Pista simples","-",Tabela24[BFFS]-Tabela24[fLW]-Tabela24[fLC]-Tabela24[fM]-Tabela24[fA2])</f>
        <v>80.300000000000011</v>
      </c>
      <c r="CK31" s="332">
        <f>IF(Tabela24[plano/ondulado]="Montanhoso",Tabela24[Para PT&lt;],VLOOKUP(Tabela24[plano/ondulado],'HCM2000'!$B$606:$C$608,2,FALSE))</f>
        <v>2.5</v>
      </c>
      <c r="CL31" s="332">
        <f>IF(Tabela24[[#This Row],[plano/ondulado]]="Montanhoso",Tabela24[[#This Row],[Para PT&lt;]],VLOOKUP(Tabela24[[#This Row],[plano/ondulado]],'HCM2000'!$E$606:$F$608,2,FALSE))</f>
        <v>2</v>
      </c>
      <c r="CM31" s="433">
        <f>1/(1+(Tabela24[Pt]*(Tabela24[Et2]-1))+(Tabela24[PRv]*(Tabela24[Er2]-1)))</f>
        <v>0.60240963855421692</v>
      </c>
      <c r="CN31" s="329">
        <f>K31+IF(Tabela24[[#This Row],[Num. Faixas Marg.]]="-",0,Tabela24[[#This Row],[Num. Faixas Marg.]])</f>
        <v>4.5999999999999996</v>
      </c>
      <c r="CO31" s="331">
        <f>Tabela24[[#This Row],[Vzão]]/(Tabela24[[#This Row],[PHF]]*Tabela24[[#This Row],[N]]*Tabela24[[#This Row],[fHV]])</f>
        <v>119.53804347826086</v>
      </c>
      <c r="CP31" s="332">
        <f>IF(Tabela24[fLC]="Pista simples","-",Tabela24[vp3]/Tabela24[S])</f>
        <v>1.488643131734257</v>
      </c>
      <c r="CQ31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31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31" s="308" t="str">
        <f>IF(Tabela24[LOS_vp3]="F","F",VLOOKUP(Tabela24[LOS_vp3],'HCM2000'!$R$655:$S$659,2))</f>
        <v>F</v>
      </c>
      <c r="CT31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31" s="425" t="str">
        <f>IF(Tabela24[[#This Row],[LOS_vp3]]="F","F",IF(Tabela24[[#This Row],[fLC]]="Pista simples","-",VLOOKUP(Tabela24[[#This Row],[LOS_D3]],'HCM2000'!$R$655:$S$659,2)))</f>
        <v>F</v>
      </c>
      <c r="CV31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31" s="381"/>
      <c r="CX31" s="381"/>
      <c r="CY31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31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31" s="22">
        <f>ABS(INDEX('HCM2000'!$E$611:$M$611,1,MATCH(Tabela24[Pt]*100,'HCM2000'!$E$611:$M$611,1))-Tabela24[Pt]*100)</f>
        <v>17</v>
      </c>
      <c r="DB31" s="22" t="e">
        <f>INDEX('HCM2000'!$E$611:$M$611,1,MATCH(Tabela24[[#This Row],[Pt]]*100,'HCM2000'!$E$611:$M$611,1)+1)-Tabela24[[#This Row],[Pt]]*100</f>
        <v>#REF!</v>
      </c>
      <c r="DC31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31" s="440"/>
      <c r="DE31" s="423" t="e">
        <f>1/(1+(Tabela24[Pt]*(Tabela24[ETsu]-1))+(Tabela24[PRv]*(Tabela24[ERsu]-1)))</f>
        <v>#N/A</v>
      </c>
      <c r="DF31" s="438" t="e">
        <f>Tabela24[Vzão]/(Tabela24[PHF]*Tabela24[N]*Tabela24[fHVsu])</f>
        <v>#N/A</v>
      </c>
      <c r="DG31" s="332" t="e">
        <f>IF(Tabela24[fLC]="Pista simples","-",Tabela24[vpsu]/Tabela24[S])</f>
        <v>#N/A</v>
      </c>
      <c r="DH31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31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31" s="425" t="str">
        <f>IF(Tabela24[[#This Row],[LOS_vp3]]="F","F",VLOOKUP(Tabela24[[#This Row],[LOS_vp3]],'HCM2000'!$R$655:$S$659,2))</f>
        <v>F</v>
      </c>
      <c r="DK31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31" s="425" t="str">
        <f>IF(Tabela24[[#This Row],[LOS_vp3]]="F","F",IF(Tabela24[[#This Row],[fLC]]="Pista simples","-",VLOOKUP(Tabela24[[#This Row],[LOS_D3]],'HCM2000'!$R$655:$S$659,2)))</f>
        <v>F</v>
      </c>
      <c r="DM31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31" s="416"/>
      <c r="DO31" s="22">
        <f>Tabela24[[#This Row],[ATS]]</f>
        <v>70.450916422287392</v>
      </c>
      <c r="DP31" s="416">
        <v>68.900000000000006</v>
      </c>
      <c r="DQ31" s="22">
        <f t="shared" si="11"/>
        <v>1.5509164222873864</v>
      </c>
      <c r="DR31" s="22">
        <f>Tabela24[[#This Row],[PTSF]]</f>
        <v>63.32298875196043</v>
      </c>
      <c r="DS31" s="416">
        <v>65.900000000000006</v>
      </c>
      <c r="DT31" s="22">
        <f t="shared" si="12"/>
        <v>2.5770112480395753</v>
      </c>
      <c r="DU31" s="22"/>
      <c r="DV31" s="22">
        <v>70.029056695992196</v>
      </c>
      <c r="DW31" s="416">
        <v>68.900000000000006</v>
      </c>
      <c r="DX31" s="22">
        <v>1.1290566959921904</v>
      </c>
      <c r="DY31" s="22">
        <v>63.613970148288594</v>
      </c>
      <c r="DZ31" s="416">
        <v>65.900000000000006</v>
      </c>
      <c r="EA31" s="22">
        <v>0.40741383523256047</v>
      </c>
      <c r="EB31" s="416"/>
      <c r="EC31" s="416"/>
      <c r="ED31" s="416"/>
      <c r="EE31" s="416"/>
      <c r="EF31" s="416"/>
      <c r="EG31" s="416"/>
      <c r="EH31" s="416"/>
      <c r="EI31" s="416"/>
      <c r="EJ31" s="416"/>
      <c r="EK31" s="416"/>
      <c r="EL31" s="416"/>
      <c r="EM31" s="416"/>
      <c r="EN31" s="416"/>
      <c r="EO31" s="416"/>
      <c r="EP31" s="416"/>
      <c r="EQ31" s="416"/>
      <c r="ER31" s="416"/>
      <c r="ES31" s="416"/>
      <c r="ET31" s="416"/>
      <c r="EU31" s="416"/>
      <c r="EV31" s="416"/>
      <c r="EW31" s="416"/>
      <c r="EX31" s="416"/>
      <c r="EY31" s="416"/>
      <c r="EZ31" s="416"/>
      <c r="FA31" s="416"/>
      <c r="FB31" s="416"/>
      <c r="FC31" s="416"/>
      <c r="FD31" s="416"/>
      <c r="FE31" s="416"/>
      <c r="FF31" s="416"/>
      <c r="FG31" s="416"/>
      <c r="FH31" s="416"/>
      <c r="FI31" s="416"/>
      <c r="FJ31" s="416"/>
      <c r="FK31" s="416"/>
      <c r="FL31" s="416"/>
      <c r="FM31" s="416"/>
      <c r="FR31" s="3"/>
      <c r="FS31" s="3"/>
      <c r="FV31" s="58"/>
      <c r="FW31" s="58"/>
    </row>
    <row r="32" spans="2:225">
      <c r="B32" s="386">
        <v>19</v>
      </c>
      <c r="C32" s="394"/>
      <c r="D32" s="395"/>
      <c r="E32" s="385">
        <v>24201</v>
      </c>
      <c r="F32" s="385">
        <v>24501</v>
      </c>
      <c r="G32" s="390">
        <v>300</v>
      </c>
      <c r="H32" s="386" t="s">
        <v>263</v>
      </c>
      <c r="I32" s="386" t="s">
        <v>379</v>
      </c>
      <c r="J32" s="390">
        <v>2</v>
      </c>
      <c r="K32" s="386">
        <v>4.5999999999999996</v>
      </c>
      <c r="L32" s="386" t="s">
        <v>143</v>
      </c>
      <c r="M32" s="386">
        <v>4.2</v>
      </c>
      <c r="N32" s="386">
        <v>1</v>
      </c>
      <c r="O32" s="396">
        <v>1</v>
      </c>
      <c r="P32" s="386" t="s">
        <v>366</v>
      </c>
      <c r="Q32" s="397" t="s">
        <v>144</v>
      </c>
      <c r="R32" s="419" t="s">
        <v>73</v>
      </c>
      <c r="S32" s="310">
        <v>17</v>
      </c>
      <c r="T32" s="420"/>
      <c r="U32" s="279">
        <v>24</v>
      </c>
      <c r="V32" s="323">
        <v>6473.9966140621727</v>
      </c>
      <c r="W32" s="323">
        <v>2824.5698392986178</v>
      </c>
      <c r="X32" s="420"/>
      <c r="Y32" s="398">
        <f t="shared" si="0"/>
        <v>1</v>
      </c>
      <c r="Z32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32" s="182" t="s">
        <v>644</v>
      </c>
      <c r="AB32" s="391" t="s">
        <v>381</v>
      </c>
      <c r="AC32" s="31">
        <v>3.5</v>
      </c>
      <c r="AD32" s="31">
        <v>2.5</v>
      </c>
      <c r="AE32" s="421"/>
      <c r="AF32" s="421"/>
      <c r="AG32" s="421">
        <v>0</v>
      </c>
      <c r="AH32" s="441">
        <v>0.39</v>
      </c>
      <c r="AI32" s="25">
        <v>0.03</v>
      </c>
      <c r="AJ32" s="435">
        <v>8.7999999999999995E-2</v>
      </c>
      <c r="AK32" s="330">
        <v>593</v>
      </c>
      <c r="AL32" s="263">
        <v>0.55000000000000004</v>
      </c>
      <c r="AM32" s="414">
        <v>326.15000000000003</v>
      </c>
      <c r="AN32" s="417">
        <v>3</v>
      </c>
      <c r="AO32" s="467" t="s">
        <v>73</v>
      </c>
      <c r="AP32" s="439">
        <v>88</v>
      </c>
      <c r="AQ32" s="442">
        <v>0.31</v>
      </c>
      <c r="AR32" s="422">
        <v>0.88</v>
      </c>
      <c r="AS32" s="316"/>
      <c r="AT32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0.93</v>
      </c>
      <c r="AU32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1.9</v>
      </c>
      <c r="AV32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1.1000000000000001</v>
      </c>
      <c r="AW32" s="23">
        <f>1/(1+(Tabela24[[#This Row],[Pt]])*(Tabela24[[#This Row],[Et]]-1)+(Tabela24[[#This Row],[PRv]])*(Tabela24[[#This Row],[Er]]-1))</f>
        <v>0.73855243722304276</v>
      </c>
      <c r="AX32" s="423">
        <f>Tabela24[veic/h]/Tabela24[PHF]</f>
        <v>673.86363636363637</v>
      </c>
      <c r="AY32" s="423">
        <v>981.0874877810362</v>
      </c>
      <c r="AZ32" s="21">
        <f>Tabela24[veic/h]/(Tabela24[PHF]*Tabela24[fg ats]*Tabela24[fhv ats])</f>
        <v>981.0874877810362</v>
      </c>
      <c r="BA32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32" s="322" t="str">
        <f>IF(AND(Tabela24[[#This Row],[vp1]]*Tabela24[[#This Row],[distrib. direc.]]&lt;1700,Tabela24[[#This Row],[vp1]]&lt;3200),"OK!","FAIL")</f>
        <v>OK!</v>
      </c>
      <c r="BC32" s="23">
        <f>INDEX('HCM2000'!$L$68:$AF$83,MATCH(Tabela24[[#This Row],[faixa (m)]],'HCM2000'!$K$68:$K$83),MATCH(Tabela24[[#This Row],[acost (m)]],'HCM2000'!$L$67:$AF$67))</f>
        <v>0.7</v>
      </c>
      <c r="BD32" s="23">
        <f>MIN(16,(2/3)*Tabela24[[#This Row],[acessos/km]])</f>
        <v>2</v>
      </c>
      <c r="BE32" s="22">
        <f>Tabela24[BFFS]-Tabela24[fLS]-Tabela24[fA]</f>
        <v>85.3</v>
      </c>
      <c r="BF32" s="23" t="e">
        <v>#REF!</v>
      </c>
      <c r="BG32" s="463">
        <f>IFERROR(Tabela24[[#This Row],[vp1]],0)</f>
        <v>981.0874877810362</v>
      </c>
      <c r="BH32" s="463">
        <f>IFERROR(Tabela24[[#This Row],[% zonas s/ultra]],0)</f>
        <v>0.31</v>
      </c>
      <c r="BI32" s="23" t="str">
        <f t="shared" si="5"/>
        <v>FNP</v>
      </c>
      <c r="BJ32" s="23">
        <v>2.2332269061583547</v>
      </c>
      <c r="BK32" s="43">
        <f>Tabela24[FFS]-0.0125*MAX(Tabela24[[#This Row],[vp1]],Tabela24[[#This Row],[vp1'']])-Tabela24[fnp'']</f>
        <v>70.803179496578693</v>
      </c>
      <c r="BL32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0.94</v>
      </c>
      <c r="BM32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1.5</v>
      </c>
      <c r="BN32" s="23">
        <v>1</v>
      </c>
      <c r="BO32" s="23">
        <f>1/(1+Tabela24[[#This Row],[Pt]]*(Tabela24[[#This Row],[Et time]]-1)+Tabela24[[#This Row],[PRv]]*(Tabela24[[#This Row],[Er time]]-1))</f>
        <v>0.83682008368200833</v>
      </c>
      <c r="BP32" s="23">
        <f>Tabela24[veic/h]/Tabela24[PHF]</f>
        <v>673.86363636363637</v>
      </c>
      <c r="BQ32" s="23">
        <v>856.66706963249521</v>
      </c>
      <c r="BR32" s="438">
        <f>Tabela24[veic/h]/(Tabela24[PHF]*Tabela24[fg time]*Tabela24[fhv follow])</f>
        <v>856.66706963249521</v>
      </c>
      <c r="BS32" s="438" t="str">
        <f>IF(AND(Tabela24[[#This Row],[vp2]]*Tabela24[[#This Row],[distrib. direc.]]&lt;1700,Tabela24[[#This Row],[vp2]]&lt;3200),"OK!","FAIL")</f>
        <v>OK!</v>
      </c>
      <c r="BT32" s="23">
        <f>100*(1-EXP(-0.000879*MAX(Tabela24[[#This Row],[vp2]],Tabela24[[#This Row],[vp2'']])))</f>
        <v>52.905329969662596</v>
      </c>
      <c r="BU32" s="304" t="e">
        <v>#REF!</v>
      </c>
      <c r="BV32" s="304">
        <f>IF(TYPE(Tabela24[distrib. direc.])&lt;&gt;1,0,Tabela24[distrib. direc.])</f>
        <v>0.55000000000000004</v>
      </c>
      <c r="BW32" s="304">
        <f>IF(TYPE(Tabela24[vp2])&lt;&gt;1,0,Tabela24[vp2])</f>
        <v>856.66706963249521</v>
      </c>
      <c r="BX32" s="304">
        <f>IF(TYPE(Tabela24[% zonas s/ultra])&lt;&gt;1,0,Tabela24[% zonas s/ultra])</f>
        <v>0.31</v>
      </c>
      <c r="BY32" s="304" t="str">
        <f t="shared" si="6"/>
        <v>FDNP</v>
      </c>
      <c r="BZ32" s="31">
        <v>8.6699137149416377</v>
      </c>
      <c r="CA32" s="305">
        <f>Tabela24[BPTSF]+Tabela24[fd/np'']</f>
        <v>61.575243684604231</v>
      </c>
      <c r="CB32" s="424">
        <f>Tabela24[vp1]/3200</f>
        <v>0.30658983993157379</v>
      </c>
      <c r="CC32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32" s="332">
        <f>VLOOKUP(Tabela24[faixa (m)],'HCM2000'!$B$541:$C$547,2,TRUE)</f>
        <v>1</v>
      </c>
      <c r="CE32" s="332">
        <f>IF(Tabela24[acost (m)]&gt;0,1.8,1.2)</f>
        <v>1.8</v>
      </c>
      <c r="CF32" s="332">
        <f>IF(Tabela24[Separador]=$CB$6,$CD$6,IF(Tabela24[Separador]=$CB$7,$CD$7,$CD$8))</f>
        <v>0</v>
      </c>
      <c r="CG32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32" s="332">
        <f>IF(Tabela24[Separador]="Sinalização horizontal",'HCM2000'!$C$590,'HCM2000'!$C$591)</f>
        <v>2.6</v>
      </c>
      <c r="CI32" s="332">
        <f>MIN((2/3)*Tabela24[[#This Row],[acessos/km]],16)</f>
        <v>2</v>
      </c>
      <c r="CJ32" s="332">
        <f>IF(Tabela24[fLC]="Pista simples","-",Tabela24[BFFS]-Tabela24[fLW]-Tabela24[fLC]-Tabela24[fM]-Tabela24[fA2])</f>
        <v>80.300000000000011</v>
      </c>
      <c r="CK32" s="332">
        <f>IF(Tabela24[plano/ondulado]="Montanhoso",Tabela24[Para PT&lt;],VLOOKUP(Tabela24[plano/ondulado],'HCM2000'!$B$606:$C$608,2,FALSE))</f>
        <v>2.5</v>
      </c>
      <c r="CL32" s="332">
        <f>IF(Tabela24[[#This Row],[plano/ondulado]]="Montanhoso",Tabela24[[#This Row],[Para PT&lt;]],VLOOKUP(Tabela24[[#This Row],[plano/ondulado]],'HCM2000'!$E$606:$F$608,2,FALSE))</f>
        <v>2</v>
      </c>
      <c r="CM32" s="433">
        <f>1/(1+(Tabela24[Pt]*(Tabela24[Et2]-1))+(Tabela24[PRv]*(Tabela24[Er2]-1)))</f>
        <v>0.61919504643962853</v>
      </c>
      <c r="CN32" s="329">
        <f>K32+IF(Tabela24[[#This Row],[Num. Faixas Marg.]]="-",0,Tabela24[[#This Row],[Num. Faixas Marg.]])</f>
        <v>4.5999999999999996</v>
      </c>
      <c r="CO32" s="331">
        <f>Tabela24[[#This Row],[Vzão]]/(Tabela24[[#This Row],[PHF]]*Tabela24[[#This Row],[N]]*Tabela24[[#This Row],[fHV]])</f>
        <v>130.12160326086956</v>
      </c>
      <c r="CP32" s="332">
        <f>IF(Tabela24[fLC]="Pista simples","-",Tabela24[vp3]/Tabela24[S])</f>
        <v>1.6204433780930205</v>
      </c>
      <c r="CQ32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32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32" s="308" t="str">
        <f>IF(Tabela24[LOS_vp3]="F","F",VLOOKUP(Tabela24[LOS_vp3],'HCM2000'!$R$655:$S$659,2))</f>
        <v>F</v>
      </c>
      <c r="CT32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32" s="425" t="str">
        <f>IF(Tabela24[[#This Row],[LOS_vp3]]="F","F",IF(Tabela24[[#This Row],[fLC]]="Pista simples","-",VLOOKUP(Tabela24[[#This Row],[LOS_D3]],'HCM2000'!$R$655:$S$659,2)))</f>
        <v>F</v>
      </c>
      <c r="CV32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32" s="381"/>
      <c r="CX32" s="381"/>
      <c r="CY32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32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32" s="22">
        <f>ABS(INDEX('HCM2000'!$E$611:$M$611,1,MATCH(Tabela24[Pt]*100,'HCM2000'!$E$611:$M$611,1))-Tabela24[Pt]*100)</f>
        <v>14</v>
      </c>
      <c r="DB32" s="22" t="e">
        <f>INDEX('HCM2000'!$E$611:$M$611,1,MATCH(Tabela24[[#This Row],[Pt]]*100,'HCM2000'!$E$611:$M$611,1)+1)-Tabela24[[#This Row],[Pt]]*100</f>
        <v>#REF!</v>
      </c>
      <c r="DC32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32" s="440"/>
      <c r="DE32" s="423" t="e">
        <f>1/(1+(Tabela24[Pt]*(Tabela24[ETsu]-1))+(Tabela24[PRv]*(Tabela24[ERsu]-1)))</f>
        <v>#N/A</v>
      </c>
      <c r="DF32" s="438" t="e">
        <f>Tabela24[Vzão]/(Tabela24[PHF]*Tabela24[N]*Tabela24[fHVsu])</f>
        <v>#N/A</v>
      </c>
      <c r="DG32" s="332" t="e">
        <f>IF(Tabela24[fLC]="Pista simples","-",Tabela24[vpsu]/Tabela24[S])</f>
        <v>#N/A</v>
      </c>
      <c r="DH32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32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32" s="425" t="str">
        <f>IF(Tabela24[[#This Row],[LOS_vp3]]="F","F",VLOOKUP(Tabela24[[#This Row],[LOS_vp3]],'HCM2000'!$R$655:$S$659,2))</f>
        <v>F</v>
      </c>
      <c r="DK32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32" s="425" t="str">
        <f>IF(Tabela24[[#This Row],[LOS_vp3]]="F","F",IF(Tabela24[[#This Row],[fLC]]="Pista simples","-",VLOOKUP(Tabela24[[#This Row],[LOS_D3]],'HCM2000'!$R$655:$S$659,2)))</f>
        <v>F</v>
      </c>
      <c r="DM32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32" s="416"/>
      <c r="DO32" s="22">
        <f>Tabela24[[#This Row],[ATS]]</f>
        <v>70.803179496578693</v>
      </c>
      <c r="DP32" s="416">
        <v>69.099999999999994</v>
      </c>
      <c r="DQ32" s="22">
        <f t="shared" si="11"/>
        <v>1.7031794965786986</v>
      </c>
      <c r="DR32" s="22">
        <f>Tabela24[[#This Row],[PTSF]]</f>
        <v>61.575243684604231</v>
      </c>
      <c r="DS32" s="416">
        <v>65</v>
      </c>
      <c r="DT32" s="22">
        <f t="shared" si="12"/>
        <v>3.4247563153957685</v>
      </c>
      <c r="DU32" s="22"/>
      <c r="DV32" s="22">
        <v>69.771470170239411</v>
      </c>
      <c r="DW32" s="416">
        <v>69.099999999999994</v>
      </c>
      <c r="DX32" s="22">
        <v>0.67147017023941657</v>
      </c>
      <c r="DY32" s="22">
        <v>62.746243173707519</v>
      </c>
      <c r="DZ32" s="416">
        <v>65</v>
      </c>
      <c r="EA32" s="22">
        <v>0.69195239764509608</v>
      </c>
      <c r="EB32" s="416"/>
      <c r="EC32" s="416"/>
      <c r="ED32" s="416"/>
      <c r="EE32" s="416"/>
      <c r="EF32" s="416"/>
      <c r="EG32" s="416"/>
      <c r="EH32" s="416"/>
      <c r="EI32" s="416"/>
      <c r="EJ32" s="416"/>
      <c r="EK32" s="416"/>
      <c r="EL32" s="416"/>
      <c r="EM32" s="416"/>
      <c r="EN32" s="416"/>
      <c r="EO32" s="416"/>
      <c r="EP32" s="416"/>
      <c r="EQ32" s="416"/>
      <c r="ER32" s="416"/>
      <c r="ES32" s="416"/>
      <c r="ET32" s="416"/>
      <c r="EU32" s="416"/>
      <c r="EV32" s="416"/>
      <c r="EW32" s="416"/>
      <c r="EX32" s="416"/>
      <c r="EY32" s="416"/>
      <c r="EZ32" s="416"/>
      <c r="FA32" s="416"/>
      <c r="FB32" s="416"/>
      <c r="FC32" s="416"/>
      <c r="FD32" s="416"/>
      <c r="FE32" s="416"/>
      <c r="FF32" s="416"/>
      <c r="FG32" s="416"/>
      <c r="FH32" s="416"/>
      <c r="FI32" s="416"/>
      <c r="FJ32" s="416"/>
      <c r="FK32" s="416"/>
      <c r="FL32" s="416"/>
      <c r="FM32" s="416"/>
      <c r="FR32" s="3"/>
      <c r="FS32" s="3"/>
      <c r="FV32" s="58"/>
      <c r="FW32" s="58"/>
    </row>
    <row r="33" spans="2:179">
      <c r="B33" s="386">
        <v>20</v>
      </c>
      <c r="C33" s="394"/>
      <c r="D33" s="395"/>
      <c r="E33" s="385">
        <v>24201</v>
      </c>
      <c r="F33" s="385">
        <v>24501</v>
      </c>
      <c r="G33" s="390">
        <v>300</v>
      </c>
      <c r="H33" s="386" t="s">
        <v>263</v>
      </c>
      <c r="I33" s="386" t="s">
        <v>379</v>
      </c>
      <c r="J33" s="390">
        <v>2</v>
      </c>
      <c r="K33" s="386">
        <v>4.5999999999999996</v>
      </c>
      <c r="L33" s="386" t="s">
        <v>143</v>
      </c>
      <c r="M33" s="386">
        <v>4.2</v>
      </c>
      <c r="N33" s="386">
        <v>1</v>
      </c>
      <c r="O33" s="396">
        <v>1</v>
      </c>
      <c r="P33" s="386" t="s">
        <v>366</v>
      </c>
      <c r="Q33" s="397" t="s">
        <v>144</v>
      </c>
      <c r="R33" s="419" t="s">
        <v>73</v>
      </c>
      <c r="S33" s="310">
        <v>18</v>
      </c>
      <c r="T33" s="420"/>
      <c r="U33" s="279">
        <v>24</v>
      </c>
      <c r="V33" s="323">
        <v>6473.9966140621727</v>
      </c>
      <c r="W33" s="323">
        <v>2824.5698392986178</v>
      </c>
      <c r="X33" s="420"/>
      <c r="Y33" s="398">
        <f t="shared" si="0"/>
        <v>1</v>
      </c>
      <c r="Z33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33" s="182" t="s">
        <v>644</v>
      </c>
      <c r="AB33" s="391" t="s">
        <v>381</v>
      </c>
      <c r="AC33" s="31">
        <v>3.5</v>
      </c>
      <c r="AD33" s="31">
        <v>2.5</v>
      </c>
      <c r="AE33" s="421"/>
      <c r="AF33" s="421"/>
      <c r="AG33" s="421">
        <v>0</v>
      </c>
      <c r="AH33" s="441">
        <v>0.38</v>
      </c>
      <c r="AI33" s="25">
        <v>0.03</v>
      </c>
      <c r="AJ33" s="435">
        <v>8.7999999999999995E-2</v>
      </c>
      <c r="AK33" s="330">
        <v>509</v>
      </c>
      <c r="AL33" s="263">
        <v>0.55000000000000004</v>
      </c>
      <c r="AM33" s="414">
        <v>279.95000000000005</v>
      </c>
      <c r="AN33" s="417">
        <v>3</v>
      </c>
      <c r="AO33" s="467" t="s">
        <v>73</v>
      </c>
      <c r="AP33" s="439">
        <v>88</v>
      </c>
      <c r="AQ33" s="442">
        <v>0.26</v>
      </c>
      <c r="AR33" s="422">
        <v>0.88</v>
      </c>
      <c r="AS33" s="316"/>
      <c r="AT33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0.93</v>
      </c>
      <c r="AU33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1.9</v>
      </c>
      <c r="AV33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1.1000000000000001</v>
      </c>
      <c r="AW33" s="23">
        <f>1/(1+(Tabela24[[#This Row],[Pt]])*(Tabela24[[#This Row],[Et]]-1)+(Tabela24[[#This Row],[PRv]])*(Tabela24[[#This Row],[Er]]-1))</f>
        <v>0.7434944237918214</v>
      </c>
      <c r="AX33" s="423">
        <f>Tabela24[veic/h]/Tabela24[PHF]</f>
        <v>578.40909090909088</v>
      </c>
      <c r="AY33" s="423">
        <v>836.51637341153491</v>
      </c>
      <c r="AZ33" s="21">
        <f>Tabela24[veic/h]/(Tabela24[PHF]*Tabela24[fg ats]*Tabela24[fhv ats])</f>
        <v>836.51637341153491</v>
      </c>
      <c r="BA33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33" s="322" t="str">
        <f>IF(AND(Tabela24[[#This Row],[vp1]]*Tabela24[[#This Row],[distrib. direc.]]&lt;1700,Tabela24[[#This Row],[vp1]]&lt;3200),"OK!","FAIL")</f>
        <v>OK!</v>
      </c>
      <c r="BC33" s="23">
        <f>INDEX('HCM2000'!$L$68:$AF$83,MATCH(Tabela24[[#This Row],[faixa (m)]],'HCM2000'!$K$68:$K$83),MATCH(Tabela24[[#This Row],[acost (m)]],'HCM2000'!$L$67:$AF$67))</f>
        <v>0.7</v>
      </c>
      <c r="BD33" s="23">
        <f>MIN(16,(2/3)*Tabela24[[#This Row],[acessos/km]])</f>
        <v>2</v>
      </c>
      <c r="BE33" s="22">
        <f>Tabela24[BFFS]-Tabela24[fLS]-Tabela24[fA]</f>
        <v>85.3</v>
      </c>
      <c r="BF33" s="23" t="e">
        <v>#REF!</v>
      </c>
      <c r="BG33" s="463">
        <f>IFERROR(Tabela24[[#This Row],[vp1]],0)</f>
        <v>836.51637341153491</v>
      </c>
      <c r="BH33" s="463">
        <f>IFERROR(Tabela24[[#This Row],[% zonas s/ultra]],0)</f>
        <v>0.26</v>
      </c>
      <c r="BI33" s="23" t="str">
        <f t="shared" si="5"/>
        <v>FNP</v>
      </c>
      <c r="BJ33" s="23">
        <v>2.3860123411534673</v>
      </c>
      <c r="BK33" s="43">
        <f>Tabela24[FFS]-0.0125*MAX(Tabela24[[#This Row],[vp1]],Tabela24[[#This Row],[vp1'']])-Tabela24[fnp'']</f>
        <v>72.457532991202328</v>
      </c>
      <c r="BL33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0.94</v>
      </c>
      <c r="BM33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1.5</v>
      </c>
      <c r="BN33" s="23">
        <v>1</v>
      </c>
      <c r="BO33" s="23">
        <f>1/(1+Tabela24[[#This Row],[Pt]]*(Tabela24[[#This Row],[Et time]]-1)+Tabela24[[#This Row],[PRv]]*(Tabela24[[#This Row],[Er time]]-1))</f>
        <v>0.84033613445378152</v>
      </c>
      <c r="BP33" s="23">
        <f>Tabela24[veic/h]/Tabela24[PHF]</f>
        <v>578.40909090909088</v>
      </c>
      <c r="BQ33" s="23">
        <v>732.24129593810449</v>
      </c>
      <c r="BR33" s="438">
        <f>Tabela24[veic/h]/(Tabela24[PHF]*Tabela24[fg time]*Tabela24[fhv follow])</f>
        <v>732.24129593810449</v>
      </c>
      <c r="BS33" s="438" t="str">
        <f>IF(AND(Tabela24[[#This Row],[vp2]]*Tabela24[[#This Row],[distrib. direc.]]&lt;1700,Tabela24[[#This Row],[vp2]]&lt;3200),"OK!","FAIL")</f>
        <v>OK!</v>
      </c>
      <c r="BT33" s="23">
        <f>100*(1-EXP(-0.000879*MAX(Tabela24[[#This Row],[vp2]],Tabela24[[#This Row],[vp2'']])))</f>
        <v>47.462348348855073</v>
      </c>
      <c r="BU33" s="304" t="e">
        <v>#REF!</v>
      </c>
      <c r="BV33" s="304">
        <f>IF(TYPE(Tabela24[distrib. direc.])&lt;&gt;1,0,Tabela24[distrib. direc.])</f>
        <v>0.55000000000000004</v>
      </c>
      <c r="BW33" s="304">
        <f>IF(TYPE(Tabela24[vp2])&lt;&gt;1,0,Tabela24[vp2])</f>
        <v>732.24129593810449</v>
      </c>
      <c r="BX33" s="304">
        <f>IF(TYPE(Tabela24[% zonas s/ultra])&lt;&gt;1,0,Tabela24[% zonas s/ultra])</f>
        <v>0.26</v>
      </c>
      <c r="BY33" s="304" t="str">
        <f t="shared" si="6"/>
        <v>FDNP</v>
      </c>
      <c r="BZ33" s="31">
        <v>9.8329327852996649</v>
      </c>
      <c r="CA33" s="305">
        <f>Tabela24[BPTSF]+Tabela24[fd/np'']</f>
        <v>57.295281134154735</v>
      </c>
      <c r="CB33" s="424">
        <f>Tabela24[vp1]/3200</f>
        <v>0.26141136669110465</v>
      </c>
      <c r="CC33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33" s="332">
        <f>VLOOKUP(Tabela24[faixa (m)],'HCM2000'!$B$541:$C$547,2,TRUE)</f>
        <v>1</v>
      </c>
      <c r="CE33" s="332">
        <f>IF(Tabela24[acost (m)]&gt;0,1.8,1.2)</f>
        <v>1.8</v>
      </c>
      <c r="CF33" s="332">
        <f>IF(Tabela24[Separador]=$CB$6,$CD$6,IF(Tabela24[Separador]=$CB$7,$CD$7,$CD$8))</f>
        <v>0</v>
      </c>
      <c r="CG33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33" s="332">
        <f>IF(Tabela24[Separador]="Sinalização horizontal",'HCM2000'!$C$590,'HCM2000'!$C$591)</f>
        <v>2.6</v>
      </c>
      <c r="CI33" s="332">
        <f>MIN((2/3)*Tabela24[[#This Row],[acessos/km]],16)</f>
        <v>2</v>
      </c>
      <c r="CJ33" s="332">
        <f>IF(Tabela24[fLC]="Pista simples","-",Tabela24[BFFS]-Tabela24[fLW]-Tabela24[fLC]-Tabela24[fM]-Tabela24[fA2])</f>
        <v>80.300000000000011</v>
      </c>
      <c r="CK33" s="332">
        <f>IF(Tabela24[plano/ondulado]="Montanhoso",Tabela24[Para PT&lt;],VLOOKUP(Tabela24[plano/ondulado],'HCM2000'!$B$606:$C$608,2,FALSE))</f>
        <v>2.5</v>
      </c>
      <c r="CL33" s="332">
        <f>IF(Tabela24[[#This Row],[plano/ondulado]]="Montanhoso",Tabela24[[#This Row],[Para PT&lt;]],VLOOKUP(Tabela24[[#This Row],[plano/ondulado]],'HCM2000'!$E$606:$F$608,2,FALSE))</f>
        <v>2</v>
      </c>
      <c r="CM33" s="433">
        <f>1/(1+(Tabela24[Pt]*(Tabela24[Et2]-1))+(Tabela24[PRv]*(Tabela24[Er2]-1)))</f>
        <v>0.625</v>
      </c>
      <c r="CN33" s="329">
        <f>K33+IF(Tabela24[[#This Row],[Num. Faixas Marg.]]="-",0,Tabela24[[#This Row],[Num. Faixas Marg.]])</f>
        <v>4.5999999999999996</v>
      </c>
      <c r="CO33" s="331">
        <f>Tabela24[[#This Row],[Vzão]]/(Tabela24[[#This Row],[PHF]]*Tabela24[[#This Row],[N]]*Tabela24[[#This Row],[fHV]])</f>
        <v>110.65217391304348</v>
      </c>
      <c r="CP33" s="332">
        <f>IF(Tabela24[fLC]="Pista simples","-",Tabela24[vp3]/Tabela24[S])</f>
        <v>1.3779847311711515</v>
      </c>
      <c r="CQ33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33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33" s="308" t="str">
        <f>IF(Tabela24[LOS_vp3]="F","F",VLOOKUP(Tabela24[LOS_vp3],'HCM2000'!$R$655:$S$659,2))</f>
        <v>F</v>
      </c>
      <c r="CT33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33" s="425" t="str">
        <f>IF(Tabela24[[#This Row],[LOS_vp3]]="F","F",IF(Tabela24[[#This Row],[fLC]]="Pista simples","-",VLOOKUP(Tabela24[[#This Row],[LOS_D3]],'HCM2000'!$R$655:$S$659,2)))</f>
        <v>F</v>
      </c>
      <c r="CV33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33" s="381"/>
      <c r="CX33" s="381"/>
      <c r="CY33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33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33" s="22">
        <f>ABS(INDEX('HCM2000'!$E$611:$M$611,1,MATCH(Tabela24[Pt]*100,'HCM2000'!$E$611:$M$611,1))-Tabela24[Pt]*100)</f>
        <v>13</v>
      </c>
      <c r="DB33" s="22" t="e">
        <f>INDEX('HCM2000'!$E$611:$M$611,1,MATCH(Tabela24[[#This Row],[Pt]]*100,'HCM2000'!$E$611:$M$611,1)+1)-Tabela24[[#This Row],[Pt]]*100</f>
        <v>#REF!</v>
      </c>
      <c r="DC33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33" s="440"/>
      <c r="DE33" s="423" t="e">
        <f>1/(1+(Tabela24[Pt]*(Tabela24[ETsu]-1))+(Tabela24[PRv]*(Tabela24[ERsu]-1)))</f>
        <v>#N/A</v>
      </c>
      <c r="DF33" s="438" t="e">
        <f>Tabela24[Vzão]/(Tabela24[PHF]*Tabela24[N]*Tabela24[fHVsu])</f>
        <v>#N/A</v>
      </c>
      <c r="DG33" s="332" t="e">
        <f>IF(Tabela24[fLC]="Pista simples","-",Tabela24[vpsu]/Tabela24[S])</f>
        <v>#N/A</v>
      </c>
      <c r="DH33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33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33" s="425" t="str">
        <f>IF(Tabela24[[#This Row],[LOS_vp3]]="F","F",VLOOKUP(Tabela24[[#This Row],[LOS_vp3]],'HCM2000'!$R$655:$S$659,2))</f>
        <v>F</v>
      </c>
      <c r="DK33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33" s="425" t="str">
        <f>IF(Tabela24[[#This Row],[LOS_vp3]]="F","F",IF(Tabela24[[#This Row],[fLC]]="Pista simples","-",VLOOKUP(Tabela24[[#This Row],[LOS_D3]],'HCM2000'!$R$655:$S$659,2)))</f>
        <v>F</v>
      </c>
      <c r="DM33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33" s="416"/>
      <c r="DO33" s="22">
        <f>Tabela24[[#This Row],[ATS]]</f>
        <v>72.457532991202328</v>
      </c>
      <c r="DP33" s="416">
        <v>71</v>
      </c>
      <c r="DQ33" s="22">
        <f t="shared" si="11"/>
        <v>1.4575329912023278</v>
      </c>
      <c r="DR33" s="22">
        <f>Tabela24[[#This Row],[PTSF]]</f>
        <v>57.295281134154735</v>
      </c>
      <c r="DS33" s="416">
        <v>59.8</v>
      </c>
      <c r="DT33" s="22">
        <f t="shared" si="12"/>
        <v>2.5047188658452626</v>
      </c>
      <c r="DU33" s="22"/>
      <c r="DV33" s="22">
        <v>67.959095070422549</v>
      </c>
      <c r="DW33" s="416">
        <v>71</v>
      </c>
      <c r="DX33" s="22">
        <v>3.0409049295774508</v>
      </c>
      <c r="DY33" s="22">
        <v>64.888932277027067</v>
      </c>
      <c r="DZ33" s="416">
        <v>59.8</v>
      </c>
      <c r="EA33" s="22">
        <v>5.0889322770270695</v>
      </c>
      <c r="EB33" s="416"/>
      <c r="EC33" s="416"/>
      <c r="ED33" s="416"/>
      <c r="EE33" s="416"/>
      <c r="EF33" s="416"/>
      <c r="EG33" s="416"/>
      <c r="EH33" s="416"/>
      <c r="EI33" s="416"/>
      <c r="EJ33" s="416"/>
      <c r="EK33" s="416"/>
      <c r="EL33" s="416"/>
      <c r="EM33" s="416"/>
      <c r="EN33" s="416"/>
      <c r="EO33" s="416"/>
      <c r="EP33" s="416"/>
      <c r="EQ33" s="416"/>
      <c r="ER33" s="416"/>
      <c r="ES33" s="416"/>
      <c r="ET33" s="416"/>
      <c r="EU33" s="416"/>
      <c r="EV33" s="416"/>
      <c r="EW33" s="416"/>
      <c r="EX33" s="416"/>
      <c r="EY33" s="416"/>
      <c r="EZ33" s="416"/>
      <c r="FA33" s="416"/>
      <c r="FB33" s="416"/>
      <c r="FC33" s="416"/>
      <c r="FD33" s="416"/>
      <c r="FE33" s="416"/>
      <c r="FF33" s="416"/>
      <c r="FG33" s="416"/>
      <c r="FH33" s="416"/>
      <c r="FI33" s="416"/>
      <c r="FJ33" s="416"/>
      <c r="FK33" s="416"/>
      <c r="FL33" s="416"/>
      <c r="FM33" s="416"/>
      <c r="FR33" s="3"/>
      <c r="FS33" s="3"/>
      <c r="FV33" s="58"/>
      <c r="FW33" s="58"/>
    </row>
    <row r="34" spans="2:179">
      <c r="B34" s="386">
        <v>21</v>
      </c>
      <c r="C34" s="394"/>
      <c r="D34" s="395"/>
      <c r="E34" s="385">
        <v>24201</v>
      </c>
      <c r="F34" s="385">
        <v>24501</v>
      </c>
      <c r="G34" s="390">
        <v>300</v>
      </c>
      <c r="H34" s="386" t="s">
        <v>263</v>
      </c>
      <c r="I34" s="386" t="s">
        <v>379</v>
      </c>
      <c r="J34" s="390">
        <v>2</v>
      </c>
      <c r="K34" s="386">
        <v>4.5999999999999996</v>
      </c>
      <c r="L34" s="386" t="s">
        <v>143</v>
      </c>
      <c r="M34" s="386">
        <v>4.2</v>
      </c>
      <c r="N34" s="386">
        <v>1</v>
      </c>
      <c r="O34" s="396">
        <v>1</v>
      </c>
      <c r="P34" s="386" t="s">
        <v>366</v>
      </c>
      <c r="Q34" s="397" t="s">
        <v>144</v>
      </c>
      <c r="R34" s="419" t="s">
        <v>73</v>
      </c>
      <c r="S34" s="310">
        <v>19</v>
      </c>
      <c r="T34" s="420"/>
      <c r="U34" s="279">
        <v>24</v>
      </c>
      <c r="V34" s="323">
        <v>6473.9966140621727</v>
      </c>
      <c r="W34" s="323">
        <v>2824.5698392986178</v>
      </c>
      <c r="X34" s="420"/>
      <c r="Y34" s="398">
        <f t="shared" si="0"/>
        <v>1</v>
      </c>
      <c r="Z34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34" s="182" t="s">
        <v>644</v>
      </c>
      <c r="AB34" s="391" t="s">
        <v>381</v>
      </c>
      <c r="AC34" s="31">
        <v>3.5</v>
      </c>
      <c r="AD34" s="31">
        <v>2.5</v>
      </c>
      <c r="AE34" s="421"/>
      <c r="AF34" s="421"/>
      <c r="AG34" s="421">
        <v>0</v>
      </c>
      <c r="AH34" s="441">
        <v>0.44</v>
      </c>
      <c r="AI34" s="25">
        <v>0.03</v>
      </c>
      <c r="AJ34" s="435">
        <v>8.7999999999999995E-2</v>
      </c>
      <c r="AK34" s="330">
        <v>530</v>
      </c>
      <c r="AL34" s="263">
        <v>0.55000000000000004</v>
      </c>
      <c r="AM34" s="414">
        <v>291.5</v>
      </c>
      <c r="AN34" s="417">
        <v>3</v>
      </c>
      <c r="AO34" s="467" t="s">
        <v>73</v>
      </c>
      <c r="AP34" s="439">
        <v>88</v>
      </c>
      <c r="AQ34" s="442">
        <v>0.5</v>
      </c>
      <c r="AR34" s="422">
        <v>0.88</v>
      </c>
      <c r="AS34" s="316"/>
      <c r="AT34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0.93</v>
      </c>
      <c r="AU34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1.9</v>
      </c>
      <c r="AV34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1.1000000000000001</v>
      </c>
      <c r="AW34" s="23">
        <f>1/(1+(Tabela24[[#This Row],[Pt]])*(Tabela24[[#This Row],[Et]]-1)+(Tabela24[[#This Row],[PRv]])*(Tabela24[[#This Row],[Er]]-1))</f>
        <v>0.71479628305932807</v>
      </c>
      <c r="AX34" s="423">
        <f>Tabela24[veic/h]/Tabela24[PHF]</f>
        <v>602.27272727272725</v>
      </c>
      <c r="AY34" s="423">
        <v>905.99951124144684</v>
      </c>
      <c r="AZ34" s="21">
        <f>Tabela24[veic/h]/(Tabela24[PHF]*Tabela24[fg ats]*Tabela24[fhv ats])</f>
        <v>905.99951124144684</v>
      </c>
      <c r="BA34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34" s="322" t="str">
        <f>IF(AND(Tabela24[[#This Row],[vp1]]*Tabela24[[#This Row],[distrib. direc.]]&lt;1700,Tabela24[[#This Row],[vp1]]&lt;3200),"OK!","FAIL")</f>
        <v>OK!</v>
      </c>
      <c r="BC34" s="23">
        <f>INDEX('HCM2000'!$L$68:$AF$83,MATCH(Tabela24[[#This Row],[faixa (m)]],'HCM2000'!$K$68:$K$83),MATCH(Tabela24[[#This Row],[acost (m)]],'HCM2000'!$L$67:$AF$67))</f>
        <v>0.7</v>
      </c>
      <c r="BD34" s="23">
        <f>MIN(16,(2/3)*Tabela24[[#This Row],[acessos/km]])</f>
        <v>2</v>
      </c>
      <c r="BE34" s="22">
        <f>Tabela24[BFFS]-Tabela24[fLS]-Tabela24[fA]</f>
        <v>85.3</v>
      </c>
      <c r="BF34" s="23" t="e">
        <v>#REF!</v>
      </c>
      <c r="BG34" s="463">
        <f>IFERROR(Tabela24[[#This Row],[vp1]],0)</f>
        <v>905.99951124144684</v>
      </c>
      <c r="BH34" s="463">
        <f>IFERROR(Tabela24[[#This Row],[% zonas s/ultra]],0)</f>
        <v>0.5</v>
      </c>
      <c r="BI34" s="23" t="str">
        <f t="shared" si="5"/>
        <v>FNP</v>
      </c>
      <c r="BJ34" s="23">
        <v>3.1555015884653015</v>
      </c>
      <c r="BK34" s="43">
        <f>Tabela24[FFS]-0.0125*MAX(Tabela24[[#This Row],[vp1]],Tabela24[[#This Row],[vp1'']])-Tabela24[fnp'']</f>
        <v>70.819504521016611</v>
      </c>
      <c r="BL34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0.94</v>
      </c>
      <c r="BM34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1.5</v>
      </c>
      <c r="BN34" s="23">
        <v>1</v>
      </c>
      <c r="BO34" s="23">
        <f>1/(1+Tabela24[[#This Row],[Pt]]*(Tabela24[[#This Row],[Et time]]-1)+Tabela24[[#This Row],[PRv]]*(Tabela24[[#This Row],[Er time]]-1))</f>
        <v>0.81967213114754101</v>
      </c>
      <c r="BP34" s="23">
        <f>Tabela24[veic/h]/Tabela24[PHF]</f>
        <v>602.27272727272725</v>
      </c>
      <c r="BQ34" s="23">
        <v>781.67311411992273</v>
      </c>
      <c r="BR34" s="438">
        <f>Tabela24[veic/h]/(Tabela24[PHF]*Tabela24[fg time]*Tabela24[fhv follow])</f>
        <v>781.67311411992273</v>
      </c>
      <c r="BS34" s="438" t="str">
        <f>IF(AND(Tabela24[[#This Row],[vp2]]*Tabela24[[#This Row],[distrib. direc.]]&lt;1700,Tabela24[[#This Row],[vp2]]&lt;3200),"OK!","FAIL")</f>
        <v>OK!</v>
      </c>
      <c r="BT34" s="23">
        <f>100*(1-EXP(-0.000879*MAX(Tabela24[[#This Row],[vp2]],Tabela24[[#This Row],[vp2'']])))</f>
        <v>49.696255449606042</v>
      </c>
      <c r="BU34" s="304" t="e">
        <v>#REF!</v>
      </c>
      <c r="BV34" s="304">
        <f>IF(TYPE(Tabela24[distrib. direc.])&lt;&gt;1,0,Tabela24[distrib. direc.])</f>
        <v>0.55000000000000004</v>
      </c>
      <c r="BW34" s="304">
        <f>IF(TYPE(Tabela24[vp2])&lt;&gt;1,0,Tabela24[vp2])</f>
        <v>781.67311411992273</v>
      </c>
      <c r="BX34" s="304">
        <f>IF(TYPE(Tabela24[% zonas s/ultra])&lt;&gt;1,0,Tabela24[% zonas s/ultra])</f>
        <v>0.5</v>
      </c>
      <c r="BY34" s="304" t="str">
        <f t="shared" si="6"/>
        <v>FDNP</v>
      </c>
      <c r="BZ34" s="31">
        <v>12.144825918762328</v>
      </c>
      <c r="CA34" s="305">
        <f>Tabela24[BPTSF]+Tabela24[fd/np'']</f>
        <v>61.841081368368371</v>
      </c>
      <c r="CB34" s="424">
        <f>Tabela24[vp1]/3200</f>
        <v>0.28312484726295212</v>
      </c>
      <c r="CC34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34" s="332">
        <f>VLOOKUP(Tabela24[faixa (m)],'HCM2000'!$B$541:$C$547,2,TRUE)</f>
        <v>1</v>
      </c>
      <c r="CE34" s="332">
        <f>IF(Tabela24[acost (m)]&gt;0,1.8,1.2)</f>
        <v>1.8</v>
      </c>
      <c r="CF34" s="332">
        <f>IF(Tabela24[Separador]=$CB$6,$CD$6,IF(Tabela24[Separador]=$CB$7,$CD$7,$CD$8))</f>
        <v>0</v>
      </c>
      <c r="CG34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34" s="332">
        <f>IF(Tabela24[Separador]="Sinalização horizontal",'HCM2000'!$C$590,'HCM2000'!$C$591)</f>
        <v>2.6</v>
      </c>
      <c r="CI34" s="332">
        <f>MIN((2/3)*Tabela24[[#This Row],[acessos/km]],16)</f>
        <v>2</v>
      </c>
      <c r="CJ34" s="332">
        <f>IF(Tabela24[fLC]="Pista simples","-",Tabela24[BFFS]-Tabela24[fLW]-Tabela24[fLC]-Tabela24[fM]-Tabela24[fA2])</f>
        <v>80.300000000000011</v>
      </c>
      <c r="CK34" s="332">
        <f>IF(Tabela24[plano/ondulado]="Montanhoso",Tabela24[Para PT&lt;],VLOOKUP(Tabela24[plano/ondulado],'HCM2000'!$B$606:$C$608,2,FALSE))</f>
        <v>2.5</v>
      </c>
      <c r="CL34" s="332">
        <f>IF(Tabela24[[#This Row],[plano/ondulado]]="Montanhoso",Tabela24[[#This Row],[Para PT&lt;]],VLOOKUP(Tabela24[[#This Row],[plano/ondulado]],'HCM2000'!$E$606:$F$608,2,FALSE))</f>
        <v>2</v>
      </c>
      <c r="CM34" s="433">
        <f>1/(1+(Tabela24[Pt]*(Tabela24[Et2]-1))+(Tabela24[PRv]*(Tabela24[Er2]-1)))</f>
        <v>0.59171597633136086</v>
      </c>
      <c r="CN34" s="329">
        <f>K34+IF(Tabela24[[#This Row],[Num. Faixas Marg.]]="-",0,Tabela24[[#This Row],[Num. Faixas Marg.]])</f>
        <v>4.5999999999999996</v>
      </c>
      <c r="CO34" s="331">
        <f>Tabela24[[#This Row],[Vzão]]/(Tabela24[[#This Row],[PHF]]*Tabela24[[#This Row],[N]]*Tabela24[[#This Row],[fHV]])</f>
        <v>121.6983695652174</v>
      </c>
      <c r="CP34" s="332">
        <f>IF(Tabela24[fLC]="Pista simples","-",Tabela24[vp3]/Tabela24[S])</f>
        <v>1.5155463208619848</v>
      </c>
      <c r="CQ34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34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34" s="308" t="str">
        <f>IF(Tabela24[LOS_vp3]="F","F",VLOOKUP(Tabela24[LOS_vp3],'HCM2000'!$R$655:$S$659,2))</f>
        <v>F</v>
      </c>
      <c r="CT34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34" s="425" t="str">
        <f>IF(Tabela24[[#This Row],[LOS_vp3]]="F","F",IF(Tabela24[[#This Row],[fLC]]="Pista simples","-",VLOOKUP(Tabela24[[#This Row],[LOS_D3]],'HCM2000'!$R$655:$S$659,2)))</f>
        <v>F</v>
      </c>
      <c r="CV34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34" s="381"/>
      <c r="CX34" s="381"/>
      <c r="CY34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34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34" s="22">
        <f>ABS(INDEX('HCM2000'!$E$611:$M$611,1,MATCH(Tabela24[Pt]*100,'HCM2000'!$E$611:$M$611,1))-Tabela24[Pt]*100)</f>
        <v>19</v>
      </c>
      <c r="DB34" s="22" t="e">
        <f>INDEX('HCM2000'!$E$611:$M$611,1,MATCH(Tabela24[[#This Row],[Pt]]*100,'HCM2000'!$E$611:$M$611,1)+1)-Tabela24[[#This Row],[Pt]]*100</f>
        <v>#REF!</v>
      </c>
      <c r="DC34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34" s="440"/>
      <c r="DE34" s="423" t="e">
        <f>1/(1+(Tabela24[Pt]*(Tabela24[ETsu]-1))+(Tabela24[PRv]*(Tabela24[ERsu]-1)))</f>
        <v>#N/A</v>
      </c>
      <c r="DF34" s="438" t="e">
        <f>Tabela24[Vzão]/(Tabela24[PHF]*Tabela24[N]*Tabela24[fHVsu])</f>
        <v>#N/A</v>
      </c>
      <c r="DG34" s="332" t="e">
        <f>IF(Tabela24[fLC]="Pista simples","-",Tabela24[vpsu]/Tabela24[S])</f>
        <v>#N/A</v>
      </c>
      <c r="DH34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34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34" s="425" t="str">
        <f>IF(Tabela24[[#This Row],[LOS_vp3]]="F","F",VLOOKUP(Tabela24[[#This Row],[LOS_vp3]],'HCM2000'!$R$655:$S$659,2))</f>
        <v>F</v>
      </c>
      <c r="DK34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34" s="425" t="str">
        <f>IF(Tabela24[[#This Row],[LOS_vp3]]="F","F",IF(Tabela24[[#This Row],[fLC]]="Pista simples","-",VLOOKUP(Tabela24[[#This Row],[LOS_D3]],'HCM2000'!$R$655:$S$659,2)))</f>
        <v>F</v>
      </c>
      <c r="DM34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34" s="416"/>
      <c r="DO34" s="22">
        <f>Tabela24[[#This Row],[ATS]]</f>
        <v>70.819504521016611</v>
      </c>
      <c r="DP34" s="416">
        <v>69.2</v>
      </c>
      <c r="DQ34" s="22">
        <f t="shared" si="11"/>
        <v>1.6195045210166086</v>
      </c>
      <c r="DR34" s="22">
        <f>Tabela24[[#This Row],[PTSF]]</f>
        <v>61.841081368368371</v>
      </c>
      <c r="DS34" s="416">
        <v>65</v>
      </c>
      <c r="DT34" s="22">
        <f t="shared" si="12"/>
        <v>3.1589186316316287</v>
      </c>
      <c r="DU34" s="22"/>
      <c r="DV34" s="22">
        <v>70.195915897388232</v>
      </c>
      <c r="DW34" s="416">
        <v>69.2</v>
      </c>
      <c r="DX34" s="22">
        <v>0.99591589738822961</v>
      </c>
      <c r="DY34" s="22">
        <v>62.632788244493256</v>
      </c>
      <c r="DZ34" s="416">
        <v>65</v>
      </c>
      <c r="EA34" s="22">
        <v>0.64596655969704386</v>
      </c>
      <c r="EB34" s="416"/>
      <c r="EC34" s="416"/>
      <c r="ED34" s="416"/>
      <c r="EE34" s="416"/>
      <c r="EF34" s="416"/>
      <c r="EG34" s="416"/>
      <c r="EH34" s="416"/>
      <c r="EI34" s="416"/>
      <c r="EJ34" s="416"/>
      <c r="EK34" s="416"/>
      <c r="EL34" s="416"/>
      <c r="EM34" s="416"/>
      <c r="EN34" s="416"/>
      <c r="EO34" s="416"/>
      <c r="EP34" s="416"/>
      <c r="EQ34" s="416"/>
      <c r="ER34" s="416"/>
      <c r="ES34" s="416"/>
      <c r="ET34" s="416"/>
      <c r="EU34" s="416"/>
      <c r="EV34" s="416"/>
      <c r="EW34" s="416"/>
      <c r="EX34" s="416"/>
      <c r="EY34" s="416"/>
      <c r="EZ34" s="416"/>
      <c r="FA34" s="416"/>
      <c r="FB34" s="416"/>
      <c r="FC34" s="416"/>
      <c r="FD34" s="416"/>
      <c r="FE34" s="416"/>
      <c r="FF34" s="416"/>
      <c r="FG34" s="416"/>
      <c r="FH34" s="416"/>
      <c r="FI34" s="416"/>
      <c r="FJ34" s="416"/>
      <c r="FK34" s="416"/>
      <c r="FL34" s="416"/>
      <c r="FM34" s="416"/>
      <c r="FR34" s="3"/>
      <c r="FS34" s="3"/>
      <c r="FV34" s="58"/>
      <c r="FW34" s="58"/>
    </row>
    <row r="35" spans="2:179">
      <c r="B35" s="386">
        <v>22</v>
      </c>
      <c r="C35" s="394"/>
      <c r="D35" s="395"/>
      <c r="E35" s="385">
        <v>24201</v>
      </c>
      <c r="F35" s="385">
        <v>24501</v>
      </c>
      <c r="G35" s="390">
        <v>300</v>
      </c>
      <c r="H35" s="386" t="s">
        <v>263</v>
      </c>
      <c r="I35" s="386" t="s">
        <v>379</v>
      </c>
      <c r="J35" s="390">
        <v>2</v>
      </c>
      <c r="K35" s="386">
        <v>4.5999999999999996</v>
      </c>
      <c r="L35" s="386" t="s">
        <v>143</v>
      </c>
      <c r="M35" s="386">
        <v>4.2</v>
      </c>
      <c r="N35" s="386">
        <v>1</v>
      </c>
      <c r="O35" s="396">
        <v>1</v>
      </c>
      <c r="P35" s="386" t="s">
        <v>366</v>
      </c>
      <c r="Q35" s="397" t="s">
        <v>144</v>
      </c>
      <c r="R35" s="419" t="s">
        <v>73</v>
      </c>
      <c r="S35" s="310">
        <v>20</v>
      </c>
      <c r="T35" s="420"/>
      <c r="U35" s="279">
        <v>24</v>
      </c>
      <c r="V35" s="323">
        <v>6473.9966140621727</v>
      </c>
      <c r="W35" s="323">
        <v>2824.5698392986178</v>
      </c>
      <c r="X35" s="420"/>
      <c r="Y35" s="398">
        <f t="shared" si="0"/>
        <v>1</v>
      </c>
      <c r="Z35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35" s="182" t="s">
        <v>644</v>
      </c>
      <c r="AB35" s="391" t="s">
        <v>381</v>
      </c>
      <c r="AC35" s="31">
        <v>3.5</v>
      </c>
      <c r="AD35" s="31">
        <v>2.5</v>
      </c>
      <c r="AE35" s="421"/>
      <c r="AF35" s="421"/>
      <c r="AG35" s="421">
        <v>0</v>
      </c>
      <c r="AH35" s="441">
        <v>0.39</v>
      </c>
      <c r="AI35" s="25">
        <v>0.03</v>
      </c>
      <c r="AJ35" s="435">
        <v>8.7999999999999995E-2</v>
      </c>
      <c r="AK35" s="330">
        <v>573</v>
      </c>
      <c r="AL35" s="263">
        <v>0.55000000000000004</v>
      </c>
      <c r="AM35" s="414">
        <v>315.15000000000003</v>
      </c>
      <c r="AN35" s="417">
        <v>3</v>
      </c>
      <c r="AO35" s="467" t="s">
        <v>73</v>
      </c>
      <c r="AP35" s="439">
        <v>88</v>
      </c>
      <c r="AQ35" s="442">
        <v>0.33</v>
      </c>
      <c r="AR35" s="422">
        <v>0.88</v>
      </c>
      <c r="AS35" s="316"/>
      <c r="AT35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0.93</v>
      </c>
      <c r="AU35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1.9</v>
      </c>
      <c r="AV35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1.1000000000000001</v>
      </c>
      <c r="AW35" s="23">
        <f>1/(1+(Tabela24[[#This Row],[Pt]])*(Tabela24[[#This Row],[Et]]-1)+(Tabela24[[#This Row],[PRv]])*(Tabela24[[#This Row],[Er]]-1))</f>
        <v>0.73855243722304276</v>
      </c>
      <c r="AX35" s="423">
        <f>Tabela24[veic/h]/Tabela24[PHF]</f>
        <v>651.13636363636363</v>
      </c>
      <c r="AY35" s="423">
        <v>947.99853372434029</v>
      </c>
      <c r="AZ35" s="21">
        <f>Tabela24[veic/h]/(Tabela24[PHF]*Tabela24[fg ats]*Tabela24[fhv ats])</f>
        <v>947.99853372434029</v>
      </c>
      <c r="BA35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35" s="322" t="str">
        <f>IF(AND(Tabela24[[#This Row],[vp1]]*Tabela24[[#This Row],[distrib. direc.]]&lt;1700,Tabela24[[#This Row],[vp1]]&lt;3200),"OK!","FAIL")</f>
        <v>OK!</v>
      </c>
      <c r="BC35" s="23">
        <f>INDEX('HCM2000'!$L$68:$AF$83,MATCH(Tabela24[[#This Row],[faixa (m)]],'HCM2000'!$K$68:$K$83),MATCH(Tabela24[[#This Row],[acost (m)]],'HCM2000'!$L$67:$AF$67))</f>
        <v>0.7</v>
      </c>
      <c r="BD35" s="23">
        <f>MIN(16,(2/3)*Tabela24[[#This Row],[acessos/km]])</f>
        <v>2</v>
      </c>
      <c r="BE35" s="22">
        <f>Tabela24[BFFS]-Tabela24[fLS]-Tabela24[fA]</f>
        <v>85.3</v>
      </c>
      <c r="BF35" s="23" t="e">
        <v>#REF!</v>
      </c>
      <c r="BG35" s="463">
        <f>IFERROR(Tabela24[[#This Row],[vp1]],0)</f>
        <v>947.99853372434029</v>
      </c>
      <c r="BH35" s="463">
        <f>IFERROR(Tabela24[[#This Row],[% zonas s/ultra]],0)</f>
        <v>0.33</v>
      </c>
      <c r="BI35" s="23" t="str">
        <f t="shared" si="5"/>
        <v>FNP</v>
      </c>
      <c r="BJ35" s="23">
        <v>2.392803885630495</v>
      </c>
      <c r="BK35" s="43">
        <f>Tabela24[FFS]-0.0125*MAX(Tabela24[[#This Row],[vp1]],Tabela24[[#This Row],[vp1'']])-Tabela24[fnp'']</f>
        <v>71.057214442815237</v>
      </c>
      <c r="BL35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0.94</v>
      </c>
      <c r="BM35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1.5</v>
      </c>
      <c r="BN35" s="23">
        <v>1</v>
      </c>
      <c r="BO35" s="23">
        <f>1/(1+Tabela24[[#This Row],[Pt]]*(Tabela24[[#This Row],[Et time]]-1)+Tabela24[[#This Row],[PRv]]*(Tabela24[[#This Row],[Er time]]-1))</f>
        <v>0.83682008368200833</v>
      </c>
      <c r="BP35" s="23">
        <f>Tabela24[veic/h]/Tabela24[PHF]</f>
        <v>651.13636363636363</v>
      </c>
      <c r="BQ35" s="23">
        <v>827.77441972920701</v>
      </c>
      <c r="BR35" s="438">
        <f>Tabela24[veic/h]/(Tabela24[PHF]*Tabela24[fg time]*Tabela24[fhv follow])</f>
        <v>827.77441972920701</v>
      </c>
      <c r="BS35" s="438" t="str">
        <f>IF(AND(Tabela24[[#This Row],[vp2]]*Tabela24[[#This Row],[distrib. direc.]]&lt;1700,Tabela24[[#This Row],[vp2]]&lt;3200),"OK!","FAIL")</f>
        <v>OK!</v>
      </c>
      <c r="BT35" s="23">
        <f>100*(1-EXP(-0.000879*MAX(Tabela24[[#This Row],[vp2]],Tabela24[[#This Row],[vp2'']])))</f>
        <v>51.693966451460739</v>
      </c>
      <c r="BU35" s="304" t="e">
        <v>#REF!</v>
      </c>
      <c r="BV35" s="304">
        <f>IF(TYPE(Tabela24[distrib. direc.])&lt;&gt;1,0,Tabela24[distrib. direc.])</f>
        <v>0.55000000000000004</v>
      </c>
      <c r="BW35" s="304">
        <f>IF(TYPE(Tabela24[vp2])&lt;&gt;1,0,Tabela24[vp2])</f>
        <v>827.77441972920701</v>
      </c>
      <c r="BX35" s="304">
        <f>IF(TYPE(Tabela24[% zonas s/ultra])&lt;&gt;1,0,Tabela24[% zonas s/ultra])</f>
        <v>0.33</v>
      </c>
      <c r="BY35" s="304" t="str">
        <f t="shared" si="6"/>
        <v>FDNP</v>
      </c>
      <c r="BZ35" s="31">
        <v>9.1473862125238448</v>
      </c>
      <c r="CA35" s="305">
        <f>Tabela24[BPTSF]+Tabela24[fd/np'']</f>
        <v>60.84135266398458</v>
      </c>
      <c r="CB35" s="424">
        <f>Tabela24[vp1]/3200</f>
        <v>0.29624954178885632</v>
      </c>
      <c r="CC35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35" s="332">
        <f>VLOOKUP(Tabela24[faixa (m)],'HCM2000'!$B$541:$C$547,2,TRUE)</f>
        <v>1</v>
      </c>
      <c r="CE35" s="332">
        <f>IF(Tabela24[acost (m)]&gt;0,1.8,1.2)</f>
        <v>1.8</v>
      </c>
      <c r="CF35" s="332">
        <f>IF(Tabela24[Separador]=$CB$6,$CD$6,IF(Tabela24[Separador]=$CB$7,$CD$7,$CD$8))</f>
        <v>0</v>
      </c>
      <c r="CG35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35" s="332">
        <f>IF(Tabela24[Separador]="Sinalização horizontal",'HCM2000'!$C$590,'HCM2000'!$C$591)</f>
        <v>2.6</v>
      </c>
      <c r="CI35" s="332">
        <f>MIN((2/3)*Tabela24[[#This Row],[acessos/km]],16)</f>
        <v>2</v>
      </c>
      <c r="CJ35" s="332">
        <f>IF(Tabela24[fLC]="Pista simples","-",Tabela24[BFFS]-Tabela24[fLW]-Tabela24[fLC]-Tabela24[fM]-Tabela24[fA2])</f>
        <v>80.300000000000011</v>
      </c>
      <c r="CK35" s="332">
        <f>IF(Tabela24[plano/ondulado]="Montanhoso",Tabela24[Para PT&lt;],VLOOKUP(Tabela24[plano/ondulado],'HCM2000'!$B$606:$C$608,2,FALSE))</f>
        <v>2.5</v>
      </c>
      <c r="CL35" s="332">
        <f>IF(Tabela24[[#This Row],[plano/ondulado]]="Montanhoso",Tabela24[[#This Row],[Para PT&lt;]],VLOOKUP(Tabela24[[#This Row],[plano/ondulado]],'HCM2000'!$E$606:$F$608,2,FALSE))</f>
        <v>2</v>
      </c>
      <c r="CM35" s="433">
        <f>1/(1+(Tabela24[Pt]*(Tabela24[Et2]-1))+(Tabela24[PRv]*(Tabela24[Er2]-1)))</f>
        <v>0.61919504643962853</v>
      </c>
      <c r="CN35" s="329">
        <f>K35+IF(Tabela24[[#This Row],[Num. Faixas Marg.]]="-",0,Tabela24[[#This Row],[Num. Faixas Marg.]])</f>
        <v>4.5999999999999996</v>
      </c>
      <c r="CO35" s="331">
        <f>Tabela24[[#This Row],[Vzão]]/(Tabela24[[#This Row],[PHF]]*Tabela24[[#This Row],[N]]*Tabela24[[#This Row],[fHV]])</f>
        <v>125.73301630434783</v>
      </c>
      <c r="CP35" s="332">
        <f>IF(Tabela24[fLC]="Pista simples","-",Tabela24[vp3]/Tabela24[S])</f>
        <v>1.5657909876008445</v>
      </c>
      <c r="CQ35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35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35" s="308" t="str">
        <f>IF(Tabela24[LOS_vp3]="F","F",VLOOKUP(Tabela24[LOS_vp3],'HCM2000'!$R$655:$S$659,2))</f>
        <v>F</v>
      </c>
      <c r="CT35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35" s="425" t="str">
        <f>IF(Tabela24[[#This Row],[LOS_vp3]]="F","F",IF(Tabela24[[#This Row],[fLC]]="Pista simples","-",VLOOKUP(Tabela24[[#This Row],[LOS_D3]],'HCM2000'!$R$655:$S$659,2)))</f>
        <v>F</v>
      </c>
      <c r="CV35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35" s="381"/>
      <c r="CX35" s="381"/>
      <c r="CY35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35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35" s="22">
        <f>ABS(INDEX('HCM2000'!$E$611:$M$611,1,MATCH(Tabela24[Pt]*100,'HCM2000'!$E$611:$M$611,1))-Tabela24[Pt]*100)</f>
        <v>14</v>
      </c>
      <c r="DB35" s="22" t="e">
        <f>INDEX('HCM2000'!$E$611:$M$611,1,MATCH(Tabela24[[#This Row],[Pt]]*100,'HCM2000'!$E$611:$M$611,1)+1)-Tabela24[[#This Row],[Pt]]*100</f>
        <v>#REF!</v>
      </c>
      <c r="DC35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35" s="440"/>
      <c r="DE35" s="423" t="e">
        <f>1/(1+(Tabela24[Pt]*(Tabela24[ETsu]-1))+(Tabela24[PRv]*(Tabela24[ERsu]-1)))</f>
        <v>#N/A</v>
      </c>
      <c r="DF35" s="438" t="e">
        <f>Tabela24[Vzão]/(Tabela24[PHF]*Tabela24[N]*Tabela24[fHVsu])</f>
        <v>#N/A</v>
      </c>
      <c r="DG35" s="332" t="e">
        <f>IF(Tabela24[fLC]="Pista simples","-",Tabela24[vpsu]/Tabela24[S])</f>
        <v>#N/A</v>
      </c>
      <c r="DH35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35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35" s="425" t="str">
        <f>IF(Tabela24[[#This Row],[LOS_vp3]]="F","F",VLOOKUP(Tabela24[[#This Row],[LOS_vp3]],'HCM2000'!$R$655:$S$659,2))</f>
        <v>F</v>
      </c>
      <c r="DK35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35" s="425" t="str">
        <f>IF(Tabela24[[#This Row],[LOS_vp3]]="F","F",IF(Tabela24[[#This Row],[fLC]]="Pista simples","-",VLOOKUP(Tabela24[[#This Row],[LOS_D3]],'HCM2000'!$R$655:$S$659,2)))</f>
        <v>F</v>
      </c>
      <c r="DM35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35" s="416"/>
      <c r="DO35" s="22">
        <f>Tabela24[[#This Row],[ATS]]</f>
        <v>71.057214442815237</v>
      </c>
      <c r="DP35" s="416">
        <v>69.400000000000006</v>
      </c>
      <c r="DQ35" s="22">
        <f t="shared" si="11"/>
        <v>1.6572144428152313</v>
      </c>
      <c r="DR35" s="22">
        <f>Tabela24[[#This Row],[PTSF]]</f>
        <v>60.84135266398458</v>
      </c>
      <c r="DS35" s="416">
        <v>64.3</v>
      </c>
      <c r="DT35" s="22">
        <f t="shared" si="12"/>
        <v>3.4586473360154173</v>
      </c>
      <c r="DU35" s="22"/>
      <c r="DV35" s="22">
        <v>70.195401382635993</v>
      </c>
      <c r="DW35" s="416">
        <v>69.400000000000006</v>
      </c>
      <c r="DX35" s="22">
        <v>0.79540138263598692</v>
      </c>
      <c r="DY35" s="22">
        <v>62.021674717862709</v>
      </c>
      <c r="DZ35" s="416">
        <v>64.3</v>
      </c>
      <c r="EA35" s="22">
        <v>0.74289968742191093</v>
      </c>
      <c r="EB35" s="416"/>
      <c r="EC35" s="416"/>
      <c r="ED35" s="416"/>
      <c r="EE35" s="416"/>
      <c r="EF35" s="416"/>
      <c r="EG35" s="416"/>
      <c r="EH35" s="416"/>
      <c r="EI35" s="416"/>
      <c r="EJ35" s="416"/>
      <c r="EK35" s="416"/>
      <c r="EL35" s="416"/>
      <c r="EM35" s="416"/>
      <c r="EN35" s="416"/>
      <c r="EO35" s="416"/>
      <c r="EP35" s="416"/>
      <c r="EQ35" s="416"/>
      <c r="ER35" s="416"/>
      <c r="ES35" s="416"/>
      <c r="ET35" s="416"/>
      <c r="EU35" s="416"/>
      <c r="EV35" s="416"/>
      <c r="EW35" s="416"/>
      <c r="EX35" s="416"/>
      <c r="EY35" s="416"/>
      <c r="EZ35" s="416"/>
      <c r="FA35" s="416"/>
      <c r="FB35" s="416"/>
      <c r="FC35" s="416"/>
      <c r="FD35" s="416"/>
      <c r="FE35" s="416"/>
      <c r="FF35" s="416"/>
      <c r="FG35" s="416"/>
      <c r="FH35" s="416"/>
      <c r="FI35" s="416"/>
      <c r="FJ35" s="416"/>
      <c r="FK35" s="416"/>
      <c r="FL35" s="416"/>
      <c r="FM35" s="416"/>
      <c r="FR35" s="3"/>
      <c r="FS35" s="3"/>
      <c r="FV35" s="58"/>
      <c r="FW35" s="58"/>
    </row>
    <row r="36" spans="2:179">
      <c r="B36" s="386">
        <v>23</v>
      </c>
      <c r="C36" s="394"/>
      <c r="D36" s="395"/>
      <c r="E36" s="385">
        <v>24201</v>
      </c>
      <c r="F36" s="385">
        <v>24501</v>
      </c>
      <c r="G36" s="390">
        <v>300</v>
      </c>
      <c r="H36" s="386" t="s">
        <v>263</v>
      </c>
      <c r="I36" s="386" t="s">
        <v>379</v>
      </c>
      <c r="J36" s="390">
        <v>2</v>
      </c>
      <c r="K36" s="386">
        <v>4.5999999999999996</v>
      </c>
      <c r="L36" s="386" t="s">
        <v>143</v>
      </c>
      <c r="M36" s="386">
        <v>4.2</v>
      </c>
      <c r="N36" s="386">
        <v>1</v>
      </c>
      <c r="O36" s="396">
        <v>1</v>
      </c>
      <c r="P36" s="386" t="s">
        <v>366</v>
      </c>
      <c r="Q36" s="397" t="s">
        <v>144</v>
      </c>
      <c r="R36" s="419" t="s">
        <v>73</v>
      </c>
      <c r="S36" s="310">
        <v>21</v>
      </c>
      <c r="T36" s="420"/>
      <c r="U36" s="279">
        <v>24</v>
      </c>
      <c r="V36" s="323">
        <v>6473.9966140621727</v>
      </c>
      <c r="W36" s="323">
        <v>2824.5698392986178</v>
      </c>
      <c r="X36" s="420"/>
      <c r="Y36" s="398">
        <f t="shared" si="0"/>
        <v>1</v>
      </c>
      <c r="Z36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36" s="182" t="s">
        <v>644</v>
      </c>
      <c r="AB36" s="391" t="s">
        <v>381</v>
      </c>
      <c r="AC36" s="31">
        <v>3.5</v>
      </c>
      <c r="AD36" s="31">
        <v>2.5</v>
      </c>
      <c r="AE36" s="421"/>
      <c r="AF36" s="421"/>
      <c r="AG36" s="421">
        <v>0</v>
      </c>
      <c r="AH36" s="441">
        <v>0.45</v>
      </c>
      <c r="AI36" s="25">
        <v>0.03</v>
      </c>
      <c r="AJ36" s="435">
        <v>8.7999999999999995E-2</v>
      </c>
      <c r="AK36" s="330">
        <v>477</v>
      </c>
      <c r="AL36" s="263">
        <v>0.55000000000000004</v>
      </c>
      <c r="AM36" s="414">
        <v>262.35000000000002</v>
      </c>
      <c r="AN36" s="417">
        <v>3</v>
      </c>
      <c r="AO36" s="467" t="s">
        <v>73</v>
      </c>
      <c r="AP36" s="439">
        <v>88</v>
      </c>
      <c r="AQ36" s="442">
        <v>0.62</v>
      </c>
      <c r="AR36" s="422">
        <v>0.88</v>
      </c>
      <c r="AS36" s="316"/>
      <c r="AT36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0.93</v>
      </c>
      <c r="AU36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1.9</v>
      </c>
      <c r="AV36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1.1000000000000001</v>
      </c>
      <c r="AW36" s="23">
        <f>1/(1+(Tabela24[[#This Row],[Pt]])*(Tabela24[[#This Row],[Et]]-1)+(Tabela24[[#This Row],[PRv]])*(Tabela24[[#This Row],[Er]]-1))</f>
        <v>0.71022727272727282</v>
      </c>
      <c r="AX36" s="423">
        <f>Tabela24[veic/h]/Tabela24[PHF]</f>
        <v>542.0454545454545</v>
      </c>
      <c r="AY36" s="423">
        <v>820.64516129032256</v>
      </c>
      <c r="AZ36" s="21">
        <f>Tabela24[veic/h]/(Tabela24[PHF]*Tabela24[fg ats]*Tabela24[fhv ats])</f>
        <v>820.64516129032256</v>
      </c>
      <c r="BA36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36" s="322" t="str">
        <f>IF(AND(Tabela24[[#This Row],[vp1]]*Tabela24[[#This Row],[distrib. direc.]]&lt;1700,Tabela24[[#This Row],[vp1]]&lt;3200),"OK!","FAIL")</f>
        <v>OK!</v>
      </c>
      <c r="BC36" s="23">
        <f>INDEX('HCM2000'!$L$68:$AF$83,MATCH(Tabela24[[#This Row],[faixa (m)]],'HCM2000'!$K$68:$K$83),MATCH(Tabela24[[#This Row],[acost (m)]],'HCM2000'!$L$67:$AF$67))</f>
        <v>0.7</v>
      </c>
      <c r="BD36" s="23">
        <f>MIN(16,(2/3)*Tabela24[[#This Row],[acessos/km]])</f>
        <v>2</v>
      </c>
      <c r="BE36" s="22">
        <f>Tabela24[BFFS]-Tabela24[fLS]-Tabela24[fA]</f>
        <v>85.3</v>
      </c>
      <c r="BF36" s="23" t="e">
        <v>#REF!</v>
      </c>
      <c r="BG36" s="463">
        <f>IFERROR(Tabela24[[#This Row],[vp1]],0)</f>
        <v>820.64516129032256</v>
      </c>
      <c r="BH36" s="463">
        <f>IFERROR(Tabela24[[#This Row],[% zonas s/ultra]],0)</f>
        <v>0.62</v>
      </c>
      <c r="BI36" s="23" t="str">
        <f t="shared" si="5"/>
        <v>FNP</v>
      </c>
      <c r="BJ36" s="23">
        <v>3.8677419354838669</v>
      </c>
      <c r="BK36" s="43">
        <f>Tabela24[FFS]-0.0125*MAX(Tabela24[[#This Row],[vp1]],Tabela24[[#This Row],[vp1'']])-Tabela24[fnp'']</f>
        <v>71.174193548387095</v>
      </c>
      <c r="BL36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0.94</v>
      </c>
      <c r="BM36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1.5</v>
      </c>
      <c r="BN36" s="23">
        <v>1</v>
      </c>
      <c r="BO36" s="23">
        <f>1/(1+Tabela24[[#This Row],[Pt]]*(Tabela24[[#This Row],[Et time]]-1)+Tabela24[[#This Row],[PRv]]*(Tabela24[[#This Row],[Er time]]-1))</f>
        <v>0.81632653061224481</v>
      </c>
      <c r="BP36" s="23">
        <f>Tabela24[veic/h]/Tabela24[PHF]</f>
        <v>542.0454545454545</v>
      </c>
      <c r="BQ36" s="23">
        <v>706.38902321083185</v>
      </c>
      <c r="BR36" s="438">
        <f>Tabela24[veic/h]/(Tabela24[PHF]*Tabela24[fg time]*Tabela24[fhv follow])</f>
        <v>706.38902321083185</v>
      </c>
      <c r="BS36" s="438" t="str">
        <f>IF(AND(Tabela24[[#This Row],[vp2]]*Tabela24[[#This Row],[distrib. direc.]]&lt;1700,Tabela24[[#This Row],[vp2]]&lt;3200),"OK!","FAIL")</f>
        <v>OK!</v>
      </c>
      <c r="BT36" s="23">
        <f>100*(1-EXP(-0.000879*MAX(Tabela24[[#This Row],[vp2]],Tabela24[[#This Row],[vp2'']])))</f>
        <v>46.254806777738523</v>
      </c>
      <c r="BU36" s="304" t="e">
        <v>#REF!</v>
      </c>
      <c r="BV36" s="304">
        <f>IF(TYPE(Tabela24[distrib. direc.])&lt;&gt;1,0,Tabela24[distrib. direc.])</f>
        <v>0.55000000000000004</v>
      </c>
      <c r="BW36" s="304">
        <f>IF(TYPE(Tabela24[vp2])&lt;&gt;1,0,Tabela24[vp2])</f>
        <v>706.38902321083185</v>
      </c>
      <c r="BX36" s="304">
        <f>IF(TYPE(Tabela24[% zonas s/ultra])&lt;&gt;1,0,Tabela24[% zonas s/ultra])</f>
        <v>0.62</v>
      </c>
      <c r="BY36" s="304" t="str">
        <f t="shared" si="6"/>
        <v>FDNP</v>
      </c>
      <c r="BZ36" s="31">
        <v>15.840884912958813</v>
      </c>
      <c r="CA36" s="305">
        <f>Tabela24[BPTSF]+Tabela24[fd/np'']</f>
        <v>62.095691690697336</v>
      </c>
      <c r="CB36" s="424">
        <f>Tabela24[vp1]/3200</f>
        <v>0.25645161290322582</v>
      </c>
      <c r="CC36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36" s="332">
        <f>VLOOKUP(Tabela24[faixa (m)],'HCM2000'!$B$541:$C$547,2,TRUE)</f>
        <v>1</v>
      </c>
      <c r="CE36" s="332">
        <f>IF(Tabela24[acost (m)]&gt;0,1.8,1.2)</f>
        <v>1.8</v>
      </c>
      <c r="CF36" s="332">
        <f>IF(Tabela24[Separador]=$CB$6,$CD$6,IF(Tabela24[Separador]=$CB$7,$CD$7,$CD$8))</f>
        <v>0</v>
      </c>
      <c r="CG36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36" s="332">
        <f>IF(Tabela24[Separador]="Sinalização horizontal",'HCM2000'!$C$590,'HCM2000'!$C$591)</f>
        <v>2.6</v>
      </c>
      <c r="CI36" s="332">
        <f>MIN((2/3)*Tabela24[[#This Row],[acessos/km]],16)</f>
        <v>2</v>
      </c>
      <c r="CJ36" s="332">
        <f>IF(Tabela24[fLC]="Pista simples","-",Tabela24[BFFS]-Tabela24[fLW]-Tabela24[fLC]-Tabela24[fM]-Tabela24[fA2])</f>
        <v>80.300000000000011</v>
      </c>
      <c r="CK36" s="332">
        <f>IF(Tabela24[plano/ondulado]="Montanhoso",Tabela24[Para PT&lt;],VLOOKUP(Tabela24[plano/ondulado],'HCM2000'!$B$606:$C$608,2,FALSE))</f>
        <v>2.5</v>
      </c>
      <c r="CL36" s="332">
        <f>IF(Tabela24[[#This Row],[plano/ondulado]]="Montanhoso",Tabela24[[#This Row],[Para PT&lt;]],VLOOKUP(Tabela24[[#This Row],[plano/ondulado]],'HCM2000'!$E$606:$F$608,2,FALSE))</f>
        <v>2</v>
      </c>
      <c r="CM36" s="433">
        <f>1/(1+(Tabela24[Pt]*(Tabela24[Et2]-1))+(Tabela24[PRv]*(Tabela24[Er2]-1)))</f>
        <v>0.58651026392961869</v>
      </c>
      <c r="CN36" s="329">
        <f>K36+IF(Tabela24[[#This Row],[Num. Faixas Marg.]]="-",0,Tabela24[[#This Row],[Num. Faixas Marg.]])</f>
        <v>4.5999999999999996</v>
      </c>
      <c r="CO36" s="331">
        <f>Tabela24[[#This Row],[Vzão]]/(Tabela24[[#This Row],[PHF]]*Tabela24[[#This Row],[N]]*Tabela24[[#This Row],[fHV]])</f>
        <v>110.50067934782611</v>
      </c>
      <c r="CP36" s="332">
        <f>IF(Tabela24[fLC]="Pista simples","-",Tabela24[vp3]/Tabela24[S])</f>
        <v>1.3760981238832639</v>
      </c>
      <c r="CQ36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36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36" s="308" t="str">
        <f>IF(Tabela24[LOS_vp3]="F","F",VLOOKUP(Tabela24[LOS_vp3],'HCM2000'!$R$655:$S$659,2))</f>
        <v>F</v>
      </c>
      <c r="CT36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36" s="425" t="str">
        <f>IF(Tabela24[[#This Row],[LOS_vp3]]="F","F",IF(Tabela24[[#This Row],[fLC]]="Pista simples","-",VLOOKUP(Tabela24[[#This Row],[LOS_D3]],'HCM2000'!$R$655:$S$659,2)))</f>
        <v>F</v>
      </c>
      <c r="CV36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36" s="381"/>
      <c r="CX36" s="381"/>
      <c r="CY36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36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36" s="22">
        <f>ABS(INDEX('HCM2000'!$E$611:$M$611,1,MATCH(Tabela24[Pt]*100,'HCM2000'!$E$611:$M$611,1))-Tabela24[Pt]*100)</f>
        <v>20</v>
      </c>
      <c r="DB36" s="22" t="e">
        <f>INDEX('HCM2000'!$E$611:$M$611,1,MATCH(Tabela24[[#This Row],[Pt]]*100,'HCM2000'!$E$611:$M$611,1)+1)-Tabela24[[#This Row],[Pt]]*100</f>
        <v>#REF!</v>
      </c>
      <c r="DC36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36" s="440"/>
      <c r="DE36" s="423" t="e">
        <f>1/(1+(Tabela24[Pt]*(Tabela24[ETsu]-1))+(Tabela24[PRv]*(Tabela24[ERsu]-1)))</f>
        <v>#N/A</v>
      </c>
      <c r="DF36" s="438" t="e">
        <f>Tabela24[Vzão]/(Tabela24[PHF]*Tabela24[N]*Tabela24[fHVsu])</f>
        <v>#N/A</v>
      </c>
      <c r="DG36" s="332" t="e">
        <f>IF(Tabela24[fLC]="Pista simples","-",Tabela24[vpsu]/Tabela24[S])</f>
        <v>#N/A</v>
      </c>
      <c r="DH36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36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36" s="425" t="str">
        <f>IF(Tabela24[[#This Row],[LOS_vp3]]="F","F",VLOOKUP(Tabela24[[#This Row],[LOS_vp3]],'HCM2000'!$R$655:$S$659,2))</f>
        <v>F</v>
      </c>
      <c r="DK36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36" s="425" t="str">
        <f>IF(Tabela24[[#This Row],[LOS_vp3]]="F","F",IF(Tabela24[[#This Row],[fLC]]="Pista simples","-",VLOOKUP(Tabela24[[#This Row],[LOS_D3]],'HCM2000'!$R$655:$S$659,2)))</f>
        <v>F</v>
      </c>
      <c r="DM36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36" s="416"/>
      <c r="DO36" s="22">
        <f>Tabela24[[#This Row],[ATS]]</f>
        <v>71.174193548387095</v>
      </c>
      <c r="DP36" s="416">
        <v>69.8</v>
      </c>
      <c r="DQ36" s="22">
        <f t="shared" si="11"/>
        <v>1.3741935483870975</v>
      </c>
      <c r="DR36" s="22">
        <f>Tabela24[[#This Row],[PTSF]]</f>
        <v>62.095691690697336</v>
      </c>
      <c r="DS36" s="416">
        <v>63.8</v>
      </c>
      <c r="DT36" s="22">
        <f t="shared" si="12"/>
        <v>1.704308309302661</v>
      </c>
      <c r="DU36" s="22"/>
      <c r="DV36" s="22">
        <v>66.930464148527534</v>
      </c>
      <c r="DW36" s="416">
        <v>69.8</v>
      </c>
      <c r="DX36" s="22">
        <v>2.8695358514724632</v>
      </c>
      <c r="DY36" s="22">
        <v>68.391423142634736</v>
      </c>
      <c r="DZ36" s="416">
        <v>63.8</v>
      </c>
      <c r="EA36" s="22">
        <v>4.5914231426347385</v>
      </c>
      <c r="EB36" s="416"/>
      <c r="EC36" s="416"/>
      <c r="ED36" s="416"/>
      <c r="EE36" s="416"/>
      <c r="EF36" s="416"/>
      <c r="EG36" s="416"/>
      <c r="EH36" s="416"/>
      <c r="EI36" s="416"/>
      <c r="EJ36" s="416"/>
      <c r="EK36" s="416"/>
      <c r="EL36" s="416"/>
      <c r="EM36" s="416"/>
      <c r="EN36" s="416"/>
      <c r="EO36" s="416"/>
      <c r="EP36" s="416"/>
      <c r="EQ36" s="416"/>
      <c r="ER36" s="416"/>
      <c r="ES36" s="416"/>
      <c r="ET36" s="416"/>
      <c r="EU36" s="416"/>
      <c r="EV36" s="416"/>
      <c r="EW36" s="416"/>
      <c r="EX36" s="416"/>
      <c r="EY36" s="416"/>
      <c r="EZ36" s="416"/>
      <c r="FA36" s="416"/>
      <c r="FB36" s="416"/>
      <c r="FC36" s="416"/>
      <c r="FD36" s="416"/>
      <c r="FE36" s="416"/>
      <c r="FF36" s="416"/>
      <c r="FG36" s="416"/>
      <c r="FH36" s="416"/>
      <c r="FI36" s="416"/>
      <c r="FJ36" s="416"/>
      <c r="FK36" s="416"/>
      <c r="FL36" s="416"/>
      <c r="FM36" s="416"/>
      <c r="FR36" s="3"/>
      <c r="FS36" s="3"/>
      <c r="FV36" s="58"/>
      <c r="FW36" s="58"/>
    </row>
    <row r="37" spans="2:179">
      <c r="B37" s="386">
        <v>24</v>
      </c>
      <c r="C37" s="394"/>
      <c r="D37" s="395"/>
      <c r="E37" s="385">
        <v>24201</v>
      </c>
      <c r="F37" s="385">
        <v>24501</v>
      </c>
      <c r="G37" s="390">
        <v>300</v>
      </c>
      <c r="H37" s="386" t="s">
        <v>263</v>
      </c>
      <c r="I37" s="386" t="s">
        <v>379</v>
      </c>
      <c r="J37" s="390">
        <v>2</v>
      </c>
      <c r="K37" s="386">
        <v>4.5999999999999996</v>
      </c>
      <c r="L37" s="386" t="s">
        <v>143</v>
      </c>
      <c r="M37" s="386">
        <v>4.2</v>
      </c>
      <c r="N37" s="386">
        <v>1</v>
      </c>
      <c r="O37" s="396">
        <v>1</v>
      </c>
      <c r="P37" s="386" t="s">
        <v>366</v>
      </c>
      <c r="Q37" s="397" t="s">
        <v>144</v>
      </c>
      <c r="R37" s="419" t="s">
        <v>73</v>
      </c>
      <c r="S37" s="310">
        <v>22</v>
      </c>
      <c r="T37" s="420"/>
      <c r="U37" s="279">
        <v>24</v>
      </c>
      <c r="V37" s="323">
        <v>6473.9966140621727</v>
      </c>
      <c r="W37" s="323">
        <v>2824.5698392986178</v>
      </c>
      <c r="X37" s="420"/>
      <c r="Y37" s="398">
        <f t="shared" si="0"/>
        <v>1</v>
      </c>
      <c r="Z37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37" s="182" t="s">
        <v>644</v>
      </c>
      <c r="AB37" s="391" t="s">
        <v>654</v>
      </c>
      <c r="AC37" s="31">
        <v>3.5</v>
      </c>
      <c r="AD37" s="31">
        <v>2.5</v>
      </c>
      <c r="AE37" s="421"/>
      <c r="AF37" s="421"/>
      <c r="AG37" s="421">
        <v>0</v>
      </c>
      <c r="AH37" s="441">
        <v>0.36</v>
      </c>
      <c r="AI37" s="25">
        <v>0.03</v>
      </c>
      <c r="AJ37" s="435">
        <v>8.7999999999999995E-2</v>
      </c>
      <c r="AK37" s="330">
        <v>628</v>
      </c>
      <c r="AL37" s="263">
        <v>0.55000000000000004</v>
      </c>
      <c r="AM37" s="414">
        <v>345.40000000000003</v>
      </c>
      <c r="AN37" s="417">
        <v>3</v>
      </c>
      <c r="AO37" s="467" t="s">
        <v>73</v>
      </c>
      <c r="AP37" s="439">
        <v>88</v>
      </c>
      <c r="AQ37" s="442">
        <v>0.68</v>
      </c>
      <c r="AR37" s="422">
        <v>0.88</v>
      </c>
      <c r="AS37" s="316"/>
      <c r="AT37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37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37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37" s="23">
        <f>1/(1+(Tabela24[[#This Row],[Pt]])*(Tabela24[[#This Row],[Et]]-1)+(Tabela24[[#This Row],[PRv]])*(Tabela24[[#This Row],[Er]]-1))</f>
        <v>0.93283582089552231</v>
      </c>
      <c r="AX37" s="423">
        <f>Tabela24[veic/h]/Tabela24[PHF]</f>
        <v>713.63636363636363</v>
      </c>
      <c r="AY37" s="423">
        <v>765.01818181818192</v>
      </c>
      <c r="AZ37" s="21">
        <f>Tabela24[veic/h]/(Tabela24[PHF]*Tabela24[fg ats]*Tabela24[fhv ats])</f>
        <v>765.01818181818192</v>
      </c>
      <c r="BA37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37" s="322" t="str">
        <f>IF(AND(Tabela24[[#This Row],[vp1]]*Tabela24[[#This Row],[distrib. direc.]]&lt;1700,Tabela24[[#This Row],[vp1]]&lt;3200),"OK!","FAIL")</f>
        <v>OK!</v>
      </c>
      <c r="BC37" s="23">
        <f>INDEX('HCM2000'!$L$68:$AF$83,MATCH(Tabela24[[#This Row],[faixa (m)]],'HCM2000'!$K$68:$K$83),MATCH(Tabela24[[#This Row],[acost (m)]],'HCM2000'!$L$67:$AF$67))</f>
        <v>0.7</v>
      </c>
      <c r="BD37" s="23">
        <f>MIN(16,(2/3)*Tabela24[[#This Row],[acessos/km]])</f>
        <v>2</v>
      </c>
      <c r="BE37" s="22">
        <f>Tabela24[BFFS]-Tabela24[fLS]-Tabela24[fA]</f>
        <v>85.3</v>
      </c>
      <c r="BF37" s="23" t="e">
        <v>#REF!</v>
      </c>
      <c r="BG37" s="463">
        <f>IFERROR(Tabela24[[#This Row],[vp1]],0)</f>
        <v>765.01818181818192</v>
      </c>
      <c r="BH37" s="463">
        <f>IFERROR(Tabela24[[#This Row],[% zonas s/ultra]],0)</f>
        <v>0.68</v>
      </c>
      <c r="BI37" s="23" t="str">
        <f t="shared" si="5"/>
        <v>FNP</v>
      </c>
      <c r="BJ37" s="23">
        <v>4.248901818181821</v>
      </c>
      <c r="BK37" s="43">
        <f>Tabela24[FFS]-0.0125*MAX(Tabela24[[#This Row],[vp1]],Tabela24[[#This Row],[vp1'']])-Tabela24[fnp'']</f>
        <v>71.488370909090904</v>
      </c>
      <c r="BL37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37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37" s="23">
        <v>1</v>
      </c>
      <c r="BO37" s="23">
        <f>1/(1+Tabela24[[#This Row],[Pt]]*(Tabela24[[#This Row],[Et time]]-1)+Tabela24[[#This Row],[PRv]]*(Tabela24[[#This Row],[Er time]]-1))</f>
        <v>0.96525096525096521</v>
      </c>
      <c r="BP37" s="23">
        <f>Tabela24[veic/h]/Tabela24[PHF]</f>
        <v>713.63636363636363</v>
      </c>
      <c r="BQ37" s="23">
        <v>739.32727272727277</v>
      </c>
      <c r="BR37" s="438">
        <f>Tabela24[veic/h]/(Tabela24[PHF]*Tabela24[fg time]*Tabela24[fhv follow])</f>
        <v>739.32727272727277</v>
      </c>
      <c r="BS37" s="438" t="str">
        <f>IF(AND(Tabela24[[#This Row],[vp2]]*Tabela24[[#This Row],[distrib. direc.]]&lt;1700,Tabela24[[#This Row],[vp2]]&lt;3200),"OK!","FAIL")</f>
        <v>OK!</v>
      </c>
      <c r="BT37" s="23">
        <f>100*(1-EXP(-0.000879*MAX(Tabela24[[#This Row],[vp2]],Tabela24[[#This Row],[vp2'']])))</f>
        <v>47.788565988886276</v>
      </c>
      <c r="BU37" s="304" t="e">
        <v>#REF!</v>
      </c>
      <c r="BV37" s="304">
        <f>IF(TYPE(Tabela24[distrib. direc.])&lt;&gt;1,0,Tabela24[distrib. direc.])</f>
        <v>0.55000000000000004</v>
      </c>
      <c r="BW37" s="304">
        <f>IF(TYPE(Tabela24[vp2])&lt;&gt;1,0,Tabela24[vp2])</f>
        <v>739.32727272727277</v>
      </c>
      <c r="BX37" s="304">
        <f>IF(TYPE(Tabela24[% zonas s/ultra])&lt;&gt;1,0,Tabela24[% zonas s/ultra])</f>
        <v>0.68</v>
      </c>
      <c r="BY37" s="304" t="str">
        <f t="shared" si="6"/>
        <v>FDNP</v>
      </c>
      <c r="BZ37" s="31">
        <v>15.094114545453975</v>
      </c>
      <c r="CA37" s="305">
        <f>Tabela24[BPTSF]+Tabela24[fd/np'']</f>
        <v>62.882680534340253</v>
      </c>
      <c r="CB37" s="424">
        <f>Tabela24[vp1]/3200</f>
        <v>0.23906818181818185</v>
      </c>
      <c r="CC37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37" s="332">
        <f>VLOOKUP(Tabela24[faixa (m)],'HCM2000'!$B$541:$C$547,2,TRUE)</f>
        <v>1</v>
      </c>
      <c r="CE37" s="332">
        <f>IF(Tabela24[acost (m)]&gt;0,1.8,1.2)</f>
        <v>1.8</v>
      </c>
      <c r="CF37" s="332">
        <f>IF(Tabela24[Separador]=$CB$6,$CD$6,IF(Tabela24[Separador]=$CB$7,$CD$7,$CD$8))</f>
        <v>0</v>
      </c>
      <c r="CG37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37" s="332">
        <f>IF(Tabela24[Separador]="Sinalização horizontal",'HCM2000'!$C$590,'HCM2000'!$C$591)</f>
        <v>2.6</v>
      </c>
      <c r="CI37" s="332">
        <f>MIN((2/3)*Tabela24[[#This Row],[acessos/km]],16)</f>
        <v>2</v>
      </c>
      <c r="CJ37" s="332">
        <f>IF(Tabela24[fLC]="Pista simples","-",Tabela24[BFFS]-Tabela24[fLW]-Tabela24[fLC]-Tabela24[fM]-Tabela24[fA2])</f>
        <v>80.300000000000011</v>
      </c>
      <c r="CK37" s="332">
        <f>IF(Tabela24[plano/ondulado]="Montanhoso",Tabela24[Para PT&lt;],VLOOKUP(Tabela24[plano/ondulado],'HCM2000'!$B$606:$C$608,2,FALSE))</f>
        <v>1.5</v>
      </c>
      <c r="CL37" s="332">
        <f>IF(Tabela24[[#This Row],[plano/ondulado]]="Montanhoso",Tabela24[[#This Row],[Para PT&lt;]],VLOOKUP(Tabela24[[#This Row],[plano/ondulado]],'HCM2000'!$E$606:$F$608,2,FALSE))</f>
        <v>1.2</v>
      </c>
      <c r="CM37" s="433">
        <f>1/(1+(Tabela24[Pt]*(Tabela24[Et2]-1))+(Tabela24[PRv]*(Tabela24[Er2]-1)))</f>
        <v>0.84317032040472184</v>
      </c>
      <c r="CN37" s="329">
        <f>K37+IF(Tabela24[[#This Row],[Num. Faixas Marg.]]="-",0,Tabela24[[#This Row],[Num. Faixas Marg.]])</f>
        <v>4.5999999999999996</v>
      </c>
      <c r="CO37" s="331">
        <f>Tabela24[[#This Row],[Vzão]]/(Tabela24[[#This Row],[PHF]]*Tabela24[[#This Row],[N]]*Tabela24[[#This Row],[fHV]])</f>
        <v>101.19673913043478</v>
      </c>
      <c r="CP37" s="332">
        <f>IF(Tabela24[fLC]="Pista simples","-",Tabela24[vp3]/Tabela24[S])</f>
        <v>1.2602333640153769</v>
      </c>
      <c r="CQ37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37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37" s="308" t="str">
        <f>IF(Tabela24[LOS_vp3]="F","F",VLOOKUP(Tabela24[LOS_vp3],'HCM2000'!$R$655:$S$659,2))</f>
        <v>F</v>
      </c>
      <c r="CT37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37" s="425" t="str">
        <f>IF(Tabela24[[#This Row],[LOS_vp3]]="F","F",IF(Tabela24[[#This Row],[fLC]]="Pista simples","-",VLOOKUP(Tabela24[[#This Row],[LOS_D3]],'HCM2000'!$R$655:$S$659,2)))</f>
        <v>F</v>
      </c>
      <c r="CV37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37" s="381"/>
      <c r="CX37" s="381"/>
      <c r="CY37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37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37" s="22">
        <f>ABS(INDEX('HCM2000'!$E$611:$M$611,1,MATCH(Tabela24[Pt]*100,'HCM2000'!$E$611:$M$611,1))-Tabela24[Pt]*100)</f>
        <v>11</v>
      </c>
      <c r="DB37" s="22" t="e">
        <f>INDEX('HCM2000'!$E$611:$M$611,1,MATCH(Tabela24[[#This Row],[Pt]]*100,'HCM2000'!$E$611:$M$611,1)+1)-Tabela24[[#This Row],[Pt]]*100</f>
        <v>#REF!</v>
      </c>
      <c r="DC37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37" s="440"/>
      <c r="DE37" s="423" t="e">
        <f>1/(1+(Tabela24[Pt]*(Tabela24[ETsu]-1))+(Tabela24[PRv]*(Tabela24[ERsu]-1)))</f>
        <v>#N/A</v>
      </c>
      <c r="DF37" s="438" t="e">
        <f>Tabela24[Vzão]/(Tabela24[PHF]*Tabela24[N]*Tabela24[fHVsu])</f>
        <v>#N/A</v>
      </c>
      <c r="DG37" s="332" t="e">
        <f>IF(Tabela24[fLC]="Pista simples","-",Tabela24[vpsu]/Tabela24[S])</f>
        <v>#N/A</v>
      </c>
      <c r="DH37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37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37" s="425" t="str">
        <f>IF(Tabela24[[#This Row],[LOS_vp3]]="F","F",VLOOKUP(Tabela24[[#This Row],[LOS_vp3]],'HCM2000'!$R$655:$S$659,2))</f>
        <v>F</v>
      </c>
      <c r="DK37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37" s="425" t="str">
        <f>IF(Tabela24[[#This Row],[LOS_vp3]]="F","F",IF(Tabela24[[#This Row],[fLC]]="Pista simples","-",VLOOKUP(Tabela24[[#This Row],[LOS_D3]],'HCM2000'!$R$655:$S$659,2)))</f>
        <v>F</v>
      </c>
      <c r="DM37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37" s="416"/>
      <c r="DO37" s="22">
        <f>Tabela24[[#This Row],[ATS]]</f>
        <v>71.488370909090904</v>
      </c>
      <c r="DP37" s="416">
        <v>71.5</v>
      </c>
      <c r="DQ37" s="22">
        <f t="shared" si="11"/>
        <v>1.1629090909096362E-2</v>
      </c>
      <c r="DR37" s="22">
        <f>Tabela24[[#This Row],[PTSF]]</f>
        <v>62.882680534340253</v>
      </c>
      <c r="DS37" s="416">
        <v>63.2</v>
      </c>
      <c r="DT37" s="22">
        <f t="shared" si="12"/>
        <v>0.31731946565975022</v>
      </c>
      <c r="DU37" s="22"/>
      <c r="DV37" s="22">
        <v>71.488370909090904</v>
      </c>
      <c r="DW37" s="416">
        <v>71.5</v>
      </c>
      <c r="DX37" s="22">
        <v>1.1629090909096362E-2</v>
      </c>
      <c r="DY37" s="22">
        <v>62.882680534340253</v>
      </c>
      <c r="DZ37" s="416">
        <v>63.2</v>
      </c>
      <c r="EA37" s="22">
        <v>0.31731946565975022</v>
      </c>
      <c r="EB37" s="416"/>
      <c r="EC37" s="416"/>
      <c r="ED37" s="416"/>
      <c r="EE37" s="416"/>
      <c r="EF37" s="416"/>
      <c r="EG37" s="416"/>
      <c r="EH37" s="416"/>
      <c r="EI37" s="416"/>
      <c r="EJ37" s="416"/>
      <c r="EK37" s="416"/>
      <c r="EL37" s="416"/>
      <c r="EM37" s="416"/>
      <c r="EN37" s="416"/>
      <c r="EO37" s="416"/>
      <c r="EP37" s="416"/>
      <c r="EQ37" s="416"/>
      <c r="ER37" s="416"/>
      <c r="ES37" s="416"/>
      <c r="ET37" s="416"/>
      <c r="EU37" s="416"/>
      <c r="EV37" s="416"/>
      <c r="EW37" s="416"/>
      <c r="EX37" s="416"/>
      <c r="EY37" s="416"/>
      <c r="EZ37" s="416"/>
      <c r="FA37" s="416"/>
      <c r="FB37" s="416"/>
      <c r="FC37" s="416"/>
      <c r="FD37" s="416"/>
      <c r="FE37" s="416"/>
      <c r="FF37" s="416"/>
      <c r="FG37" s="416"/>
      <c r="FH37" s="416"/>
      <c r="FI37" s="416"/>
      <c r="FJ37" s="416"/>
      <c r="FK37" s="416"/>
      <c r="FL37" s="416"/>
      <c r="FM37" s="416"/>
      <c r="FR37" s="3"/>
      <c r="FS37" s="3"/>
      <c r="FV37" s="58"/>
      <c r="FW37" s="58"/>
    </row>
    <row r="38" spans="2:179">
      <c r="B38" s="386">
        <v>25</v>
      </c>
      <c r="C38" s="394"/>
      <c r="D38" s="395"/>
      <c r="E38" s="385">
        <v>24201</v>
      </c>
      <c r="F38" s="385">
        <v>24501</v>
      </c>
      <c r="G38" s="390">
        <v>300</v>
      </c>
      <c r="H38" s="386" t="s">
        <v>263</v>
      </c>
      <c r="I38" s="386" t="s">
        <v>379</v>
      </c>
      <c r="J38" s="390">
        <v>2</v>
      </c>
      <c r="K38" s="386">
        <v>4.5999999999999996</v>
      </c>
      <c r="L38" s="386" t="s">
        <v>143</v>
      </c>
      <c r="M38" s="386">
        <v>4.2</v>
      </c>
      <c r="N38" s="386">
        <v>1</v>
      </c>
      <c r="O38" s="396">
        <v>1</v>
      </c>
      <c r="P38" s="386" t="s">
        <v>366</v>
      </c>
      <c r="Q38" s="397" t="s">
        <v>144</v>
      </c>
      <c r="R38" s="419" t="s">
        <v>73</v>
      </c>
      <c r="S38" s="310">
        <v>23</v>
      </c>
      <c r="T38" s="420"/>
      <c r="U38" s="279">
        <v>24</v>
      </c>
      <c r="V38" s="323">
        <v>6473.9966140621727</v>
      </c>
      <c r="W38" s="323">
        <v>2824.5698392986178</v>
      </c>
      <c r="X38" s="420"/>
      <c r="Y38" s="398">
        <f t="shared" si="0"/>
        <v>1</v>
      </c>
      <c r="Z38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38" s="182" t="s">
        <v>644</v>
      </c>
      <c r="AB38" s="391" t="s">
        <v>654</v>
      </c>
      <c r="AC38" s="31">
        <v>3.5</v>
      </c>
      <c r="AD38" s="31">
        <v>2.5</v>
      </c>
      <c r="AE38" s="421"/>
      <c r="AF38" s="421"/>
      <c r="AG38" s="421">
        <v>0</v>
      </c>
      <c r="AH38" s="441">
        <v>0.36</v>
      </c>
      <c r="AI38" s="25">
        <v>0.03</v>
      </c>
      <c r="AJ38" s="435">
        <v>8.7999999999999995E-2</v>
      </c>
      <c r="AK38" s="330">
        <v>786</v>
      </c>
      <c r="AL38" s="263">
        <v>0.55000000000000004</v>
      </c>
      <c r="AM38" s="414">
        <v>432.3</v>
      </c>
      <c r="AN38" s="417">
        <v>2</v>
      </c>
      <c r="AO38" s="467" t="s">
        <v>73</v>
      </c>
      <c r="AP38" s="439">
        <v>88</v>
      </c>
      <c r="AQ38" s="442">
        <v>0.51</v>
      </c>
      <c r="AR38" s="422">
        <v>0.88</v>
      </c>
      <c r="AS38" s="316"/>
      <c r="AT38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38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38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38" s="23">
        <f>1/(1+(Tabela24[[#This Row],[Pt]])*(Tabela24[[#This Row],[Et]]-1)+(Tabela24[[#This Row],[PRv]])*(Tabela24[[#This Row],[Er]]-1))</f>
        <v>0.93283582089552231</v>
      </c>
      <c r="AX38" s="423">
        <f>Tabela24[veic/h]/Tabela24[PHF]</f>
        <v>893.18181818181813</v>
      </c>
      <c r="AY38" s="423">
        <v>957.49090909090921</v>
      </c>
      <c r="AZ38" s="21">
        <f>Tabela24[veic/h]/(Tabela24[PHF]*Tabela24[fg ats]*Tabela24[fhv ats])</f>
        <v>957.49090909090921</v>
      </c>
      <c r="BA38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38" s="322" t="str">
        <f>IF(AND(Tabela24[[#This Row],[vp1]]*Tabela24[[#This Row],[distrib. direc.]]&lt;1700,Tabela24[[#This Row],[vp1]]&lt;3200),"OK!","FAIL")</f>
        <v>OK!</v>
      </c>
      <c r="BC38" s="23">
        <f>INDEX('HCM2000'!$L$68:$AF$83,MATCH(Tabela24[[#This Row],[faixa (m)]],'HCM2000'!$K$68:$K$83),MATCH(Tabela24[[#This Row],[acost (m)]],'HCM2000'!$L$67:$AF$67))</f>
        <v>0.7</v>
      </c>
      <c r="BD38" s="23">
        <f>MIN(16,(2/3)*Tabela24[[#This Row],[acessos/km]])</f>
        <v>1.3333333333333333</v>
      </c>
      <c r="BE38" s="22">
        <f>Tabela24[BFFS]-Tabela24[fLS]-Tabela24[fA]</f>
        <v>85.966666666666669</v>
      </c>
      <c r="BF38" s="23" t="e">
        <v>#REF!</v>
      </c>
      <c r="BG38" s="463">
        <f>IFERROR(Tabela24[[#This Row],[vp1]],0)</f>
        <v>957.49090909090921</v>
      </c>
      <c r="BH38" s="463">
        <f>IFERROR(Tabela24[[#This Row],[% zonas s/ultra]],0)</f>
        <v>0.51</v>
      </c>
      <c r="BI38" s="23" t="str">
        <f t="shared" si="5"/>
        <v>FNP</v>
      </c>
      <c r="BJ38" s="23">
        <v>3.0242172727272778</v>
      </c>
      <c r="BK38" s="43">
        <f>Tabela24[FFS]-0.0125*MAX(Tabela24[[#This Row],[vp1]],Tabela24[[#This Row],[vp1'']])-Tabela24[fnp'']</f>
        <v>70.97381303030302</v>
      </c>
      <c r="BL38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38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38" s="23">
        <v>1</v>
      </c>
      <c r="BO38" s="23">
        <f>1/(1+Tabela24[[#This Row],[Pt]]*(Tabela24[[#This Row],[Et time]]-1)+Tabela24[[#This Row],[PRv]]*(Tabela24[[#This Row],[Er time]]-1))</f>
        <v>0.96525096525096521</v>
      </c>
      <c r="BP38" s="23">
        <f>Tabela24[veic/h]/Tabela24[PHF]</f>
        <v>893.18181818181813</v>
      </c>
      <c r="BQ38" s="23">
        <v>925.33636363636367</v>
      </c>
      <c r="BR38" s="438">
        <f>Tabela24[veic/h]/(Tabela24[PHF]*Tabela24[fg time]*Tabela24[fhv follow])</f>
        <v>925.33636363636367</v>
      </c>
      <c r="BS38" s="438" t="str">
        <f>IF(AND(Tabela24[[#This Row],[vp2]]*Tabela24[[#This Row],[distrib. direc.]]&lt;1700,Tabela24[[#This Row],[vp2]]&lt;3200),"OK!","FAIL")</f>
        <v>OK!</v>
      </c>
      <c r="BT38" s="23">
        <f>100*(1-EXP(-0.000879*MAX(Tabela24[[#This Row],[vp2]],Tabela24[[#This Row],[vp2'']])))</f>
        <v>55.663887642187348</v>
      </c>
      <c r="BU38" s="304" t="e">
        <v>#REF!</v>
      </c>
      <c r="BV38" s="304">
        <f>IF(TYPE(Tabela24[distrib. direc.])&lt;&gt;1,0,Tabela24[distrib. direc.])</f>
        <v>0.55000000000000004</v>
      </c>
      <c r="BW38" s="304">
        <f>IF(TYPE(Tabela24[vp2])&lt;&gt;1,0,Tabela24[vp2])</f>
        <v>925.33636363636367</v>
      </c>
      <c r="BX38" s="304">
        <f>IF(TYPE(Tabela24[% zonas s/ultra])&lt;&gt;1,0,Tabela24[% zonas s/ultra])</f>
        <v>0.51</v>
      </c>
      <c r="BY38" s="304" t="str">
        <f t="shared" si="6"/>
        <v>FDNP</v>
      </c>
      <c r="BZ38" s="31">
        <v>10.64443909090987</v>
      </c>
      <c r="CA38" s="305">
        <f>Tabela24[BPTSF]+Tabela24[fd/np'']</f>
        <v>66.308326733097218</v>
      </c>
      <c r="CB38" s="424">
        <f>Tabela24[vp1]/3200</f>
        <v>0.29921590909090912</v>
      </c>
      <c r="CC38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D</v>
      </c>
      <c r="CD38" s="332">
        <f>VLOOKUP(Tabela24[faixa (m)],'HCM2000'!$B$541:$C$547,2,TRUE)</f>
        <v>1</v>
      </c>
      <c r="CE38" s="332">
        <f>IF(Tabela24[acost (m)]&gt;0,1.8,1.2)</f>
        <v>1.8</v>
      </c>
      <c r="CF38" s="332">
        <f>IF(Tabela24[Separador]=$CB$6,$CD$6,IF(Tabela24[Separador]=$CB$7,$CD$7,$CD$8))</f>
        <v>0</v>
      </c>
      <c r="CG38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38" s="332">
        <f>IF(Tabela24[Separador]="Sinalização horizontal",'HCM2000'!$C$590,'HCM2000'!$C$591)</f>
        <v>2.6</v>
      </c>
      <c r="CI38" s="332">
        <f>MIN((2/3)*Tabela24[[#This Row],[acessos/km]],16)</f>
        <v>1.3333333333333333</v>
      </c>
      <c r="CJ38" s="332">
        <f>IF(Tabela24[fLC]="Pista simples","-",Tabela24[BFFS]-Tabela24[fLW]-Tabela24[fLC]-Tabela24[fM]-Tabela24[fA2])</f>
        <v>80.966666666666683</v>
      </c>
      <c r="CK38" s="332">
        <f>IF(Tabela24[plano/ondulado]="Montanhoso",Tabela24[Para PT&lt;],VLOOKUP(Tabela24[plano/ondulado],'HCM2000'!$B$606:$C$608,2,FALSE))</f>
        <v>1.5</v>
      </c>
      <c r="CL38" s="332">
        <f>IF(Tabela24[[#This Row],[plano/ondulado]]="Montanhoso",Tabela24[[#This Row],[Para PT&lt;]],VLOOKUP(Tabela24[[#This Row],[plano/ondulado]],'HCM2000'!$E$606:$F$608,2,FALSE))</f>
        <v>1.2</v>
      </c>
      <c r="CM38" s="433">
        <f>1/(1+(Tabela24[Pt]*(Tabela24[Et2]-1))+(Tabela24[PRv]*(Tabela24[Er2]-1)))</f>
        <v>0.84317032040472184</v>
      </c>
      <c r="CN38" s="329">
        <f>K38+IF(Tabela24[[#This Row],[Num. Faixas Marg.]]="-",0,Tabela24[[#This Row],[Num. Faixas Marg.]])</f>
        <v>4.5999999999999996</v>
      </c>
      <c r="CO38" s="331">
        <f>Tabela24[[#This Row],[Vzão]]/(Tabela24[[#This Row],[PHF]]*Tabela24[[#This Row],[N]]*Tabela24[[#This Row],[fHV]])</f>
        <v>126.65706521739129</v>
      </c>
      <c r="CP38" s="332">
        <f>IF(Tabela24[fLC]="Pista simples","-",Tabela24[vp3]/Tabela24[S])</f>
        <v>1.5643112212934285</v>
      </c>
      <c r="CQ38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38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38" s="308" t="str">
        <f>IF(Tabela24[LOS_vp3]="F","F",VLOOKUP(Tabela24[LOS_vp3],'HCM2000'!$R$655:$S$659,2))</f>
        <v>F</v>
      </c>
      <c r="CT38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38" s="425" t="str">
        <f>IF(Tabela24[[#This Row],[LOS_vp3]]="F","F",IF(Tabela24[[#This Row],[fLC]]="Pista simples","-",VLOOKUP(Tabela24[[#This Row],[LOS_D3]],'HCM2000'!$R$655:$S$659,2)))</f>
        <v>F</v>
      </c>
      <c r="CV38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38" s="381"/>
      <c r="CX38" s="381"/>
      <c r="CY38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38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38" s="22">
        <f>ABS(INDEX('HCM2000'!$E$611:$M$611,1,MATCH(Tabela24[Pt]*100,'HCM2000'!$E$611:$M$611,1))-Tabela24[Pt]*100)</f>
        <v>11</v>
      </c>
      <c r="DB38" s="22" t="e">
        <f>INDEX('HCM2000'!$E$611:$M$611,1,MATCH(Tabela24[[#This Row],[Pt]]*100,'HCM2000'!$E$611:$M$611,1)+1)-Tabela24[[#This Row],[Pt]]*100</f>
        <v>#REF!</v>
      </c>
      <c r="DC38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38" s="440"/>
      <c r="DE38" s="423" t="e">
        <f>1/(1+(Tabela24[Pt]*(Tabela24[ETsu]-1))+(Tabela24[PRv]*(Tabela24[ERsu]-1)))</f>
        <v>#N/A</v>
      </c>
      <c r="DF38" s="438" t="e">
        <f>Tabela24[Vzão]/(Tabela24[PHF]*Tabela24[N]*Tabela24[fHVsu])</f>
        <v>#N/A</v>
      </c>
      <c r="DG38" s="332" t="e">
        <f>IF(Tabela24[fLC]="Pista simples","-",Tabela24[vpsu]/Tabela24[S])</f>
        <v>#N/A</v>
      </c>
      <c r="DH38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38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38" s="425" t="str">
        <f>IF(Tabela24[[#This Row],[LOS_vp3]]="F","F",VLOOKUP(Tabela24[[#This Row],[LOS_vp3]],'HCM2000'!$R$655:$S$659,2))</f>
        <v>F</v>
      </c>
      <c r="DK38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38" s="425" t="str">
        <f>IF(Tabela24[[#This Row],[LOS_vp3]]="F","F",IF(Tabela24[[#This Row],[fLC]]="Pista simples","-",VLOOKUP(Tabela24[[#This Row],[LOS_D3]],'HCM2000'!$R$655:$S$659,2)))</f>
        <v>F</v>
      </c>
      <c r="DM38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38" s="416"/>
      <c r="DO38" s="22">
        <f>Tabela24[[#This Row],[ATS]]</f>
        <v>70.97381303030302</v>
      </c>
      <c r="DP38" s="416">
        <v>71</v>
      </c>
      <c r="DQ38" s="22">
        <f t="shared" si="11"/>
        <v>2.6186969696979645E-2</v>
      </c>
      <c r="DR38" s="22">
        <f>Tabela24[[#This Row],[PTSF]]</f>
        <v>66.308326733097218</v>
      </c>
      <c r="DS38" s="416">
        <v>66.900000000000006</v>
      </c>
      <c r="DT38" s="22">
        <f t="shared" si="12"/>
        <v>0.59167326690278799</v>
      </c>
      <c r="DU38" s="22"/>
      <c r="DV38" s="22">
        <v>70.97381303030302</v>
      </c>
      <c r="DW38" s="22">
        <v>71</v>
      </c>
      <c r="DX38" s="22">
        <v>2.6186969696979645E-2</v>
      </c>
      <c r="DY38" s="22">
        <v>66.308326733097218</v>
      </c>
      <c r="DZ38" s="22">
        <v>66.900000000000006</v>
      </c>
      <c r="EA38" s="22">
        <v>0.59167326690278799</v>
      </c>
      <c r="EB38" s="416"/>
      <c r="EC38" s="416"/>
      <c r="ED38" s="416"/>
      <c r="EE38" s="416"/>
      <c r="EF38" s="416"/>
      <c r="EG38" s="416"/>
      <c r="EH38" s="416"/>
      <c r="EI38" s="416"/>
      <c r="EJ38" s="416"/>
      <c r="EK38" s="416"/>
      <c r="EL38" s="416"/>
      <c r="EM38" s="416"/>
      <c r="EN38" s="416"/>
      <c r="EO38" s="416"/>
      <c r="EP38" s="416"/>
      <c r="EQ38" s="416"/>
      <c r="ER38" s="416"/>
      <c r="ES38" s="416"/>
      <c r="ET38" s="416"/>
      <c r="EU38" s="416"/>
      <c r="EV38" s="416"/>
      <c r="EW38" s="416"/>
      <c r="EX38" s="416"/>
      <c r="EY38" s="416"/>
      <c r="EZ38" s="416"/>
      <c r="FA38" s="416"/>
      <c r="FB38" s="416"/>
      <c r="FC38" s="416"/>
      <c r="FD38" s="416"/>
      <c r="FE38" s="416"/>
      <c r="FF38" s="416"/>
      <c r="FG38" s="416"/>
      <c r="FH38" s="416"/>
      <c r="FI38" s="416"/>
      <c r="FJ38" s="416"/>
      <c r="FK38" s="416"/>
      <c r="FL38" s="416"/>
      <c r="FM38" s="416"/>
      <c r="FR38" s="3"/>
      <c r="FS38" s="3"/>
      <c r="FV38" s="58"/>
      <c r="FW38" s="58"/>
    </row>
    <row r="39" spans="2:179">
      <c r="B39" s="386">
        <v>26</v>
      </c>
      <c r="C39" s="394"/>
      <c r="D39" s="395"/>
      <c r="E39" s="385">
        <v>24201</v>
      </c>
      <c r="F39" s="385">
        <v>24501</v>
      </c>
      <c r="G39" s="390">
        <v>300</v>
      </c>
      <c r="H39" s="386" t="s">
        <v>263</v>
      </c>
      <c r="I39" s="386" t="s">
        <v>379</v>
      </c>
      <c r="J39" s="390">
        <v>2</v>
      </c>
      <c r="K39" s="386">
        <v>4.5999999999999996</v>
      </c>
      <c r="L39" s="386" t="s">
        <v>143</v>
      </c>
      <c r="M39" s="386">
        <v>4.2</v>
      </c>
      <c r="N39" s="386">
        <v>1</v>
      </c>
      <c r="O39" s="396">
        <v>1</v>
      </c>
      <c r="P39" s="386" t="s">
        <v>366</v>
      </c>
      <c r="Q39" s="397" t="s">
        <v>144</v>
      </c>
      <c r="R39" s="419" t="s">
        <v>73</v>
      </c>
      <c r="S39" s="310">
        <v>24</v>
      </c>
      <c r="T39" s="420"/>
      <c r="U39" s="279">
        <v>24</v>
      </c>
      <c r="V39" s="323">
        <v>6473.9966140621727</v>
      </c>
      <c r="W39" s="323">
        <v>2824.5698392986178</v>
      </c>
      <c r="X39" s="420"/>
      <c r="Y39" s="398">
        <f t="shared" si="0"/>
        <v>1</v>
      </c>
      <c r="Z39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39" s="182" t="s">
        <v>644</v>
      </c>
      <c r="AB39" s="391" t="s">
        <v>654</v>
      </c>
      <c r="AC39" s="31">
        <v>3.5</v>
      </c>
      <c r="AD39" s="31">
        <v>2.5</v>
      </c>
      <c r="AE39" s="421"/>
      <c r="AF39" s="421"/>
      <c r="AG39" s="421">
        <v>0</v>
      </c>
      <c r="AH39" s="441">
        <v>0.35</v>
      </c>
      <c r="AI39" s="25">
        <v>0.03</v>
      </c>
      <c r="AJ39" s="435">
        <v>8.7999999999999995E-2</v>
      </c>
      <c r="AK39" s="330">
        <v>650</v>
      </c>
      <c r="AL39" s="263">
        <v>0.55000000000000004</v>
      </c>
      <c r="AM39" s="414">
        <v>357.50000000000006</v>
      </c>
      <c r="AN39" s="417">
        <v>2</v>
      </c>
      <c r="AO39" s="467" t="s">
        <v>73</v>
      </c>
      <c r="AP39" s="439">
        <v>88</v>
      </c>
      <c r="AQ39" s="442">
        <v>0.44</v>
      </c>
      <c r="AR39" s="422">
        <v>0.88</v>
      </c>
      <c r="AS39" s="316"/>
      <c r="AT39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39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39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39" s="23">
        <f>1/(1+(Tabela24[[#This Row],[Pt]])*(Tabela24[[#This Row],[Et]]-1)+(Tabela24[[#This Row],[PRv]])*(Tabela24[[#This Row],[Er]]-1))</f>
        <v>0.93457943925233644</v>
      </c>
      <c r="AX39" s="423">
        <f>Tabela24[veic/h]/Tabela24[PHF]</f>
        <v>738.63636363636363</v>
      </c>
      <c r="AY39" s="423">
        <v>790.34090909090912</v>
      </c>
      <c r="AZ39" s="21">
        <f>Tabela24[veic/h]/(Tabela24[PHF]*Tabela24[fg ats]*Tabela24[fhv ats])</f>
        <v>790.34090909090912</v>
      </c>
      <c r="BA39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39" s="322" t="str">
        <f>IF(AND(Tabela24[[#This Row],[vp1]]*Tabela24[[#This Row],[distrib. direc.]]&lt;1700,Tabela24[[#This Row],[vp1]]&lt;3200),"OK!","FAIL")</f>
        <v>OK!</v>
      </c>
      <c r="BC39" s="23">
        <f>INDEX('HCM2000'!$L$68:$AF$83,MATCH(Tabela24[[#This Row],[faixa (m)]],'HCM2000'!$K$68:$K$83),MATCH(Tabela24[[#This Row],[acost (m)]],'HCM2000'!$L$67:$AF$67))</f>
        <v>0.7</v>
      </c>
      <c r="BD39" s="23">
        <f>MIN(16,(2/3)*Tabela24[[#This Row],[acessos/km]])</f>
        <v>1.3333333333333333</v>
      </c>
      <c r="BE39" s="22">
        <f>Tabela24[BFFS]-Tabela24[fLS]-Tabela24[fA]</f>
        <v>85.966666666666669</v>
      </c>
      <c r="BF39" s="23" t="e">
        <v>#REF!</v>
      </c>
      <c r="BG39" s="463">
        <f>IFERROR(Tabela24[[#This Row],[vp1]],0)</f>
        <v>790.34090909090912</v>
      </c>
      <c r="BH39" s="463">
        <f>IFERROR(Tabela24[[#This Row],[% zonas s/ultra]],0)</f>
        <v>0.44</v>
      </c>
      <c r="BI39" s="23" t="str">
        <f t="shared" si="5"/>
        <v>FNP</v>
      </c>
      <c r="BJ39" s="23">
        <v>3.2967045454545341</v>
      </c>
      <c r="BK39" s="43">
        <f>Tabela24[FFS]-0.0125*MAX(Tabela24[[#This Row],[vp1]],Tabela24[[#This Row],[vp1'']])-Tabela24[fnp'']</f>
        <v>72.790700757575777</v>
      </c>
      <c r="BL39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39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39" s="23">
        <v>1</v>
      </c>
      <c r="BO39" s="23">
        <f>1/(1+Tabela24[[#This Row],[Pt]]*(Tabela24[[#This Row],[Et time]]-1)+Tabela24[[#This Row],[PRv]]*(Tabela24[[#This Row],[Er time]]-1))</f>
        <v>0.9661835748792269</v>
      </c>
      <c r="BP39" s="23">
        <f>Tabela24[veic/h]/Tabela24[PHF]</f>
        <v>738.63636363636363</v>
      </c>
      <c r="BQ39" s="23">
        <v>764.48863636363649</v>
      </c>
      <c r="BR39" s="438">
        <f>Tabela24[veic/h]/(Tabela24[PHF]*Tabela24[fg time]*Tabela24[fhv follow])</f>
        <v>764.48863636363649</v>
      </c>
      <c r="BS39" s="438" t="str">
        <f>IF(AND(Tabela24[[#This Row],[vp2]]*Tabela24[[#This Row],[distrib. direc.]]&lt;1700,Tabela24[[#This Row],[vp2]]&lt;3200),"OK!","FAIL")</f>
        <v>OK!</v>
      </c>
      <c r="BT39" s="23">
        <f>100*(1-EXP(-0.000879*MAX(Tabela24[[#This Row],[vp2]],Tabela24[[#This Row],[vp2'']])))</f>
        <v>48.930641743380342</v>
      </c>
      <c r="BU39" s="304" t="e">
        <v>#REF!</v>
      </c>
      <c r="BV39" s="304">
        <f>IF(TYPE(Tabela24[distrib. direc.])&lt;&gt;1,0,Tabela24[distrib. direc.])</f>
        <v>0.55000000000000004</v>
      </c>
      <c r="BW39" s="304">
        <f>IF(TYPE(Tabela24[vp2])&lt;&gt;1,0,Tabela24[vp2])</f>
        <v>764.48863636363649</v>
      </c>
      <c r="BX39" s="304">
        <f>IF(TYPE(Tabela24[% zonas s/ultra])&lt;&gt;1,0,Tabela24[% zonas s/ultra])</f>
        <v>0.44</v>
      </c>
      <c r="BY39" s="304" t="str">
        <f t="shared" si="6"/>
        <v>FDNP</v>
      </c>
      <c r="BZ39" s="31">
        <v>11.74553977272746</v>
      </c>
      <c r="CA39" s="305">
        <f>Tabela24[BPTSF]+Tabela24[fd/np'']</f>
        <v>60.676181516107803</v>
      </c>
      <c r="CB39" s="424">
        <f>Tabela24[vp1]/3200</f>
        <v>0.24698153409090909</v>
      </c>
      <c r="CC39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39" s="332">
        <f>VLOOKUP(Tabela24[faixa (m)],'HCM2000'!$B$541:$C$547,2,TRUE)</f>
        <v>1</v>
      </c>
      <c r="CE39" s="332">
        <f>IF(Tabela24[acost (m)]&gt;0,1.8,1.2)</f>
        <v>1.8</v>
      </c>
      <c r="CF39" s="332">
        <f>IF(Tabela24[Separador]=$CB$6,$CD$6,IF(Tabela24[Separador]=$CB$7,$CD$7,$CD$8))</f>
        <v>0</v>
      </c>
      <c r="CG39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39" s="332">
        <f>IF(Tabela24[Separador]="Sinalização horizontal",'HCM2000'!$C$590,'HCM2000'!$C$591)</f>
        <v>2.6</v>
      </c>
      <c r="CI39" s="332">
        <f>MIN((2/3)*Tabela24[[#This Row],[acessos/km]],16)</f>
        <v>1.3333333333333333</v>
      </c>
      <c r="CJ39" s="332">
        <f>IF(Tabela24[fLC]="Pista simples","-",Tabela24[BFFS]-Tabela24[fLW]-Tabela24[fLC]-Tabela24[fM]-Tabela24[fA2])</f>
        <v>80.966666666666683</v>
      </c>
      <c r="CK39" s="332">
        <f>IF(Tabela24[plano/ondulado]="Montanhoso",Tabela24[Para PT&lt;],VLOOKUP(Tabela24[plano/ondulado],'HCM2000'!$B$606:$C$608,2,FALSE))</f>
        <v>1.5</v>
      </c>
      <c r="CL39" s="332">
        <f>IF(Tabela24[[#This Row],[plano/ondulado]]="Montanhoso",Tabela24[[#This Row],[Para PT&lt;]],VLOOKUP(Tabela24[[#This Row],[plano/ondulado]],'HCM2000'!$E$606:$F$608,2,FALSE))</f>
        <v>1.2</v>
      </c>
      <c r="CM39" s="433">
        <f>1/(1+(Tabela24[Pt]*(Tabela24[Et2]-1))+(Tabela24[PRv]*(Tabela24[Er2]-1)))</f>
        <v>0.84674005080440307</v>
      </c>
      <c r="CN39" s="329">
        <f>K39+IF(Tabela24[[#This Row],[Num. Faixas Marg.]]="-",0,Tabela24[[#This Row],[Num. Faixas Marg.]])</f>
        <v>4.5999999999999996</v>
      </c>
      <c r="CO39" s="331">
        <f>Tabela24[[#This Row],[Vzão]]/(Tabela24[[#This Row],[PHF]]*Tabela24[[#This Row],[N]]*Tabela24[[#This Row],[fHV]])</f>
        <v>104.30027173913045</v>
      </c>
      <c r="CP39" s="332">
        <f>IF(Tabela24[fLC]="Pista simples","-",Tabela24[vp3]/Tabela24[S])</f>
        <v>1.2881877942255715</v>
      </c>
      <c r="CQ39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39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39" s="308" t="str">
        <f>IF(Tabela24[LOS_vp3]="F","F",VLOOKUP(Tabela24[LOS_vp3],'HCM2000'!$R$655:$S$659,2))</f>
        <v>F</v>
      </c>
      <c r="CT39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39" s="425" t="str">
        <f>IF(Tabela24[[#This Row],[LOS_vp3]]="F","F",IF(Tabela24[[#This Row],[fLC]]="Pista simples","-",VLOOKUP(Tabela24[[#This Row],[LOS_D3]],'HCM2000'!$R$655:$S$659,2)))</f>
        <v>F</v>
      </c>
      <c r="CV39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39" s="381"/>
      <c r="CX39" s="381"/>
      <c r="CY39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39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39" s="22">
        <f>ABS(INDEX('HCM2000'!$E$611:$M$611,1,MATCH(Tabela24[Pt]*100,'HCM2000'!$E$611:$M$611,1))-Tabela24[Pt]*100)</f>
        <v>10</v>
      </c>
      <c r="DB39" s="22" t="e">
        <f>INDEX('HCM2000'!$E$611:$M$611,1,MATCH(Tabela24[[#This Row],[Pt]]*100,'HCM2000'!$E$611:$M$611,1)+1)-Tabela24[[#This Row],[Pt]]*100</f>
        <v>#REF!</v>
      </c>
      <c r="DC39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39" s="440"/>
      <c r="DE39" s="423" t="e">
        <f>1/(1+(Tabela24[Pt]*(Tabela24[ETsu]-1))+(Tabela24[PRv]*(Tabela24[ERsu]-1)))</f>
        <v>#N/A</v>
      </c>
      <c r="DF39" s="438" t="e">
        <f>Tabela24[Vzão]/(Tabela24[PHF]*Tabela24[N]*Tabela24[fHVsu])</f>
        <v>#N/A</v>
      </c>
      <c r="DG39" s="332" t="e">
        <f>IF(Tabela24[fLC]="Pista simples","-",Tabela24[vpsu]/Tabela24[S])</f>
        <v>#N/A</v>
      </c>
      <c r="DH39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39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39" s="425" t="str">
        <f>IF(Tabela24[[#This Row],[LOS_vp3]]="F","F",VLOOKUP(Tabela24[[#This Row],[LOS_vp3]],'HCM2000'!$R$655:$S$659,2))</f>
        <v>F</v>
      </c>
      <c r="DK39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39" s="425" t="str">
        <f>IF(Tabela24[[#This Row],[LOS_vp3]]="F","F",IF(Tabela24[[#This Row],[fLC]]="Pista simples","-",VLOOKUP(Tabela24[[#This Row],[LOS_D3]],'HCM2000'!$R$655:$S$659,2)))</f>
        <v>F</v>
      </c>
      <c r="DM39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39" s="416"/>
      <c r="DO39" s="22">
        <f>Tabela24[[#This Row],[ATS]]</f>
        <v>72.790700757575777</v>
      </c>
      <c r="DP39" s="416">
        <v>72.8</v>
      </c>
      <c r="DQ39" s="22">
        <f t="shared" si="11"/>
        <v>9.2992424242197558E-3</v>
      </c>
      <c r="DR39" s="22">
        <f>Tabela24[[#This Row],[PTSF]]</f>
        <v>60.676181516107803</v>
      </c>
      <c r="DS39" s="416">
        <v>61.5</v>
      </c>
      <c r="DT39" s="22">
        <f t="shared" si="12"/>
        <v>0.8238184838921967</v>
      </c>
      <c r="DU39" s="22"/>
      <c r="DV39" s="22">
        <v>72.790700757575777</v>
      </c>
      <c r="DW39" s="440">
        <v>72.8</v>
      </c>
      <c r="DX39" s="22">
        <v>9.2992424242197558E-3</v>
      </c>
      <c r="DY39" s="22">
        <v>60.676181516107803</v>
      </c>
      <c r="DZ39" s="440">
        <v>61.5</v>
      </c>
      <c r="EA39" s="22">
        <v>0.8238184838921967</v>
      </c>
      <c r="EB39" s="416"/>
      <c r="EC39" s="416"/>
      <c r="ED39" s="416"/>
      <c r="EE39" s="416"/>
      <c r="EF39" s="416"/>
      <c r="EG39" s="416"/>
      <c r="EH39" s="416"/>
      <c r="EI39" s="416"/>
      <c r="EJ39" s="416"/>
      <c r="EK39" s="416"/>
      <c r="EL39" s="416"/>
      <c r="EM39" s="416"/>
      <c r="EN39" s="416"/>
      <c r="EO39" s="416"/>
      <c r="EP39" s="416"/>
      <c r="EQ39" s="416"/>
      <c r="ER39" s="416"/>
      <c r="ES39" s="416"/>
      <c r="ET39" s="416"/>
      <c r="EU39" s="416"/>
      <c r="EV39" s="416"/>
      <c r="EW39" s="416"/>
      <c r="EX39" s="416"/>
      <c r="EY39" s="416"/>
      <c r="EZ39" s="416"/>
      <c r="FA39" s="416"/>
      <c r="FB39" s="416"/>
      <c r="FC39" s="416"/>
      <c r="FD39" s="416"/>
      <c r="FE39" s="416"/>
      <c r="FF39" s="416"/>
      <c r="FG39" s="416"/>
      <c r="FH39" s="416"/>
      <c r="FI39" s="416"/>
      <c r="FJ39" s="416"/>
      <c r="FK39" s="416"/>
      <c r="FL39" s="416"/>
      <c r="FM39" s="416"/>
      <c r="FR39" s="3"/>
      <c r="FS39" s="3"/>
      <c r="FV39" s="58"/>
      <c r="FW39" s="58"/>
    </row>
    <row r="40" spans="2:179">
      <c r="B40" s="386">
        <v>27</v>
      </c>
      <c r="C40" s="394"/>
      <c r="D40" s="395"/>
      <c r="E40" s="385">
        <v>24201</v>
      </c>
      <c r="F40" s="385">
        <v>24501</v>
      </c>
      <c r="G40" s="390">
        <v>300</v>
      </c>
      <c r="H40" s="386" t="s">
        <v>263</v>
      </c>
      <c r="I40" s="386" t="s">
        <v>379</v>
      </c>
      <c r="J40" s="390">
        <v>2</v>
      </c>
      <c r="K40" s="386">
        <v>4.5999999999999996</v>
      </c>
      <c r="L40" s="386" t="s">
        <v>143</v>
      </c>
      <c r="M40" s="386">
        <v>4.2</v>
      </c>
      <c r="N40" s="386">
        <v>1</v>
      </c>
      <c r="O40" s="396">
        <v>1</v>
      </c>
      <c r="P40" s="386" t="s">
        <v>366</v>
      </c>
      <c r="Q40" s="397" t="s">
        <v>144</v>
      </c>
      <c r="R40" s="419" t="s">
        <v>73</v>
      </c>
      <c r="S40" s="310">
        <v>25</v>
      </c>
      <c r="T40" s="420"/>
      <c r="U40" s="279">
        <v>24</v>
      </c>
      <c r="V40" s="323">
        <v>6473.9966140621727</v>
      </c>
      <c r="W40" s="323">
        <v>2824.5698392986178</v>
      </c>
      <c r="X40" s="420"/>
      <c r="Y40" s="398">
        <f t="shared" si="0"/>
        <v>1</v>
      </c>
      <c r="Z40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40" s="182" t="s">
        <v>644</v>
      </c>
      <c r="AB40" s="391" t="s">
        <v>381</v>
      </c>
      <c r="AC40" s="31">
        <v>3.5</v>
      </c>
      <c r="AD40" s="31">
        <v>2.5</v>
      </c>
      <c r="AE40" s="421"/>
      <c r="AF40" s="421"/>
      <c r="AG40" s="421">
        <v>0</v>
      </c>
      <c r="AH40" s="441">
        <v>0.5</v>
      </c>
      <c r="AI40" s="25">
        <v>0.03</v>
      </c>
      <c r="AJ40" s="435">
        <v>8.7999999999999995E-2</v>
      </c>
      <c r="AK40" s="330">
        <v>444</v>
      </c>
      <c r="AL40" s="263">
        <v>0.55000000000000004</v>
      </c>
      <c r="AM40" s="414">
        <v>244.20000000000002</v>
      </c>
      <c r="AN40" s="417">
        <v>3</v>
      </c>
      <c r="AO40" s="467" t="s">
        <v>73</v>
      </c>
      <c r="AP40" s="439">
        <v>88</v>
      </c>
      <c r="AQ40" s="442">
        <v>0.41</v>
      </c>
      <c r="AR40" s="422">
        <v>0.88</v>
      </c>
      <c r="AS40" s="316"/>
      <c r="AT40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0.93</v>
      </c>
      <c r="AU40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1.9</v>
      </c>
      <c r="AV40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1.1000000000000001</v>
      </c>
      <c r="AW40" s="23">
        <f>1/(1+(Tabela24[[#This Row],[Pt]])*(Tabela24[[#This Row],[Et]]-1)+(Tabela24[[#This Row],[PRv]])*(Tabela24[[#This Row],[Er]]-1))</f>
        <v>0.68823124569855476</v>
      </c>
      <c r="AX40" s="423">
        <f>Tabela24[veic/h]/Tabela24[PHF]</f>
        <v>504.54545454545456</v>
      </c>
      <c r="AY40" s="423">
        <v>788.28445747800572</v>
      </c>
      <c r="AZ40" s="21">
        <f>Tabela24[veic/h]/(Tabela24[PHF]*Tabela24[fg ats]*Tabela24[fhv ats])</f>
        <v>788.28445747800572</v>
      </c>
      <c r="BA40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40" s="322" t="str">
        <f>IF(AND(Tabela24[[#This Row],[vp1]]*Tabela24[[#This Row],[distrib. direc.]]&lt;1700,Tabela24[[#This Row],[vp1]]&lt;3200),"OK!","FAIL")</f>
        <v>OK!</v>
      </c>
      <c r="BC40" s="23">
        <f>INDEX('HCM2000'!$L$68:$AF$83,MATCH(Tabela24[[#This Row],[faixa (m)]],'HCM2000'!$K$68:$K$83),MATCH(Tabela24[[#This Row],[acost (m)]],'HCM2000'!$L$67:$AF$67))</f>
        <v>0.7</v>
      </c>
      <c r="BD40" s="23">
        <f>MIN(16,(2/3)*Tabela24[[#This Row],[acessos/km]])</f>
        <v>2</v>
      </c>
      <c r="BE40" s="22">
        <f>Tabela24[BFFS]-Tabela24[fLS]-Tabela24[fA]</f>
        <v>85.3</v>
      </c>
      <c r="BF40" s="23" t="e">
        <v>#REF!</v>
      </c>
      <c r="BG40" s="463">
        <f>IFERROR(Tabela24[[#This Row],[vp1]],0)</f>
        <v>788.28445747800572</v>
      </c>
      <c r="BH40" s="463">
        <f>IFERROR(Tabela24[[#This Row],[% zonas s/ultra]],0)</f>
        <v>0.41</v>
      </c>
      <c r="BI40" s="23" t="str">
        <f t="shared" si="5"/>
        <v>FNP</v>
      </c>
      <c r="BJ40" s="23">
        <v>3.1818830645161182</v>
      </c>
      <c r="BK40" s="43">
        <f>Tabela24[FFS]-0.0125*MAX(Tabela24[[#This Row],[vp1]],Tabela24[[#This Row],[vp1'']])-Tabela24[fnp'']</f>
        <v>72.264561217008804</v>
      </c>
      <c r="BL40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0.94</v>
      </c>
      <c r="BM40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1.5</v>
      </c>
      <c r="BN40" s="23">
        <v>1</v>
      </c>
      <c r="BO40" s="23">
        <f>1/(1+Tabela24[[#This Row],[Pt]]*(Tabela24[[#This Row],[Et time]]-1)+Tabela24[[#This Row],[PRv]]*(Tabela24[[#This Row],[Er time]]-1))</f>
        <v>0.8</v>
      </c>
      <c r="BP40" s="23">
        <f>Tabela24[veic/h]/Tabela24[PHF]</f>
        <v>504.54545454545456</v>
      </c>
      <c r="BQ40" s="23">
        <v>670.93810444874271</v>
      </c>
      <c r="BR40" s="438">
        <f>Tabela24[veic/h]/(Tabela24[PHF]*Tabela24[fg time]*Tabela24[fhv follow])</f>
        <v>670.93810444874271</v>
      </c>
      <c r="BS40" s="438" t="str">
        <f>IF(AND(Tabela24[[#This Row],[vp2]]*Tabela24[[#This Row],[distrib. direc.]]&lt;1700,Tabela24[[#This Row],[vp2]]&lt;3200),"OK!","FAIL")</f>
        <v>OK!</v>
      </c>
      <c r="BT40" s="23">
        <f>100*(1-EXP(-0.000879*MAX(Tabela24[[#This Row],[vp2]],Tabela24[[#This Row],[vp2'']])))</f>
        <v>44.553666322545624</v>
      </c>
      <c r="BU40" s="304" t="e">
        <v>#REF!</v>
      </c>
      <c r="BV40" s="304">
        <f>IF(TYPE(Tabela24[distrib. direc.])&lt;&gt;1,0,Tabela24[distrib. direc.])</f>
        <v>0.55000000000000004</v>
      </c>
      <c r="BW40" s="304">
        <f>IF(TYPE(Tabela24[vp2])&lt;&gt;1,0,Tabela24[vp2])</f>
        <v>670.93810444874271</v>
      </c>
      <c r="BX40" s="304">
        <f>IF(TYPE(Tabela24[% zonas s/ultra])&lt;&gt;1,0,Tabela24[% zonas s/ultra])</f>
        <v>0.41</v>
      </c>
      <c r="BY40" s="304" t="str">
        <f t="shared" si="6"/>
        <v>FDNP</v>
      </c>
      <c r="BZ40" s="31">
        <v>13.629281914893767</v>
      </c>
      <c r="CA40" s="305">
        <f>Tabela24[BPTSF]+Tabela24[fd/np'']</f>
        <v>58.18294823743939</v>
      </c>
      <c r="CB40" s="424">
        <f>Tabela24[vp1]/3200</f>
        <v>0.24633889296187678</v>
      </c>
      <c r="CC40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40" s="332">
        <f>VLOOKUP(Tabela24[faixa (m)],'HCM2000'!$B$541:$C$547,2,TRUE)</f>
        <v>1</v>
      </c>
      <c r="CE40" s="332">
        <f>IF(Tabela24[acost (m)]&gt;0,1.8,1.2)</f>
        <v>1.8</v>
      </c>
      <c r="CF40" s="332">
        <f>IF(Tabela24[Separador]=$CB$6,$CD$6,IF(Tabela24[Separador]=$CB$7,$CD$7,$CD$8))</f>
        <v>0</v>
      </c>
      <c r="CG40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40" s="332">
        <f>IF(Tabela24[Separador]="Sinalização horizontal",'HCM2000'!$C$590,'HCM2000'!$C$591)</f>
        <v>2.6</v>
      </c>
      <c r="CI40" s="332">
        <f>MIN((2/3)*Tabela24[[#This Row],[acessos/km]],16)</f>
        <v>2</v>
      </c>
      <c r="CJ40" s="332">
        <f>IF(Tabela24[fLC]="Pista simples","-",Tabela24[BFFS]-Tabela24[fLW]-Tabela24[fLC]-Tabela24[fM]-Tabela24[fA2])</f>
        <v>80.300000000000011</v>
      </c>
      <c r="CK40" s="332">
        <f>IF(Tabela24[plano/ondulado]="Montanhoso",Tabela24[Para PT&lt;],VLOOKUP(Tabela24[plano/ondulado],'HCM2000'!$B$606:$C$608,2,FALSE))</f>
        <v>2.5</v>
      </c>
      <c r="CL40" s="332">
        <f>IF(Tabela24[[#This Row],[plano/ondulado]]="Montanhoso",Tabela24[[#This Row],[Para PT&lt;]],VLOOKUP(Tabela24[[#This Row],[plano/ondulado]],'HCM2000'!$E$606:$F$608,2,FALSE))</f>
        <v>2</v>
      </c>
      <c r="CM40" s="433">
        <f>1/(1+(Tabela24[Pt]*(Tabela24[Et2]-1))+(Tabela24[PRv]*(Tabela24[Er2]-1)))</f>
        <v>0.5617977528089888</v>
      </c>
      <c r="CN40" s="329">
        <f>K40+IF(Tabela24[[#This Row],[Num. Faixas Marg.]]="-",0,Tabela24[[#This Row],[Num. Faixas Marg.]])</f>
        <v>4.5999999999999996</v>
      </c>
      <c r="CO40" s="331">
        <f>Tabela24[[#This Row],[Vzão]]/(Tabela24[[#This Row],[PHF]]*Tabela24[[#This Row],[N]]*Tabela24[[#This Row],[fHV]])</f>
        <v>107.38043478260869</v>
      </c>
      <c r="CP40" s="332">
        <f>IF(Tabela24[fLC]="Pista simples","-",Tabela24[vp3]/Tabela24[S])</f>
        <v>1.3372407818506684</v>
      </c>
      <c r="CQ40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40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40" s="308" t="str">
        <f>IF(Tabela24[LOS_vp3]="F","F",VLOOKUP(Tabela24[LOS_vp3],'HCM2000'!$R$655:$S$659,2))</f>
        <v>F</v>
      </c>
      <c r="CT40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40" s="425" t="str">
        <f>IF(Tabela24[[#This Row],[LOS_vp3]]="F","F",IF(Tabela24[[#This Row],[fLC]]="Pista simples","-",VLOOKUP(Tabela24[[#This Row],[LOS_D3]],'HCM2000'!$R$655:$S$659,2)))</f>
        <v>F</v>
      </c>
      <c r="CV40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40" s="381"/>
      <c r="CX40" s="381"/>
      <c r="CY40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40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40" s="22">
        <f>ABS(INDEX('HCM2000'!$E$611:$M$611,1,MATCH(Tabela24[Pt]*100,'HCM2000'!$E$611:$M$611,1))-Tabela24[Pt]*100)</f>
        <v>25</v>
      </c>
      <c r="DB40" s="22" t="e">
        <f>INDEX('HCM2000'!$E$611:$M$611,1,MATCH(Tabela24[[#This Row],[Pt]]*100,'HCM2000'!$E$611:$M$611,1)+1)-Tabela24[[#This Row],[Pt]]*100</f>
        <v>#REF!</v>
      </c>
      <c r="DC40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40" s="440"/>
      <c r="DE40" s="423" t="e">
        <f>1/(1+(Tabela24[Pt]*(Tabela24[ETsu]-1))+(Tabela24[PRv]*(Tabela24[ERsu]-1)))</f>
        <v>#N/A</v>
      </c>
      <c r="DF40" s="438" t="e">
        <f>Tabela24[Vzão]/(Tabela24[PHF]*Tabela24[N]*Tabela24[fHVsu])</f>
        <v>#N/A</v>
      </c>
      <c r="DG40" s="332" t="e">
        <f>IF(Tabela24[fLC]="Pista simples","-",Tabela24[vpsu]/Tabela24[S])</f>
        <v>#N/A</v>
      </c>
      <c r="DH40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40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40" s="425" t="str">
        <f>IF(Tabela24[[#This Row],[LOS_vp3]]="F","F",VLOOKUP(Tabela24[[#This Row],[LOS_vp3]],'HCM2000'!$R$655:$S$659,2))</f>
        <v>F</v>
      </c>
      <c r="DK40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40" s="425" t="str">
        <f>IF(Tabela24[[#This Row],[LOS_vp3]]="F","F",IF(Tabela24[[#This Row],[fLC]]="Pista simples","-",VLOOKUP(Tabela24[[#This Row],[LOS_D3]],'HCM2000'!$R$655:$S$659,2)))</f>
        <v>F</v>
      </c>
      <c r="DM40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40" s="416"/>
      <c r="DO40" s="22">
        <f>Tabela24[[#This Row],[ATS]]</f>
        <v>72.264561217008804</v>
      </c>
      <c r="DP40" s="416">
        <v>70.7</v>
      </c>
      <c r="DQ40" s="22">
        <f t="shared" si="11"/>
        <v>1.5645612170088015</v>
      </c>
      <c r="DR40" s="22">
        <f>Tabela24[[#This Row],[PTSF]]</f>
        <v>58.18294823743939</v>
      </c>
      <c r="DS40" s="416">
        <v>60.8</v>
      </c>
      <c r="DT40" s="22">
        <f t="shared" si="12"/>
        <v>2.6170517625606067</v>
      </c>
      <c r="DU40" s="22"/>
      <c r="DV40" s="22">
        <v>67.836709827144688</v>
      </c>
      <c r="DW40" s="416">
        <v>70.7</v>
      </c>
      <c r="DX40" s="22">
        <v>2.8632901728553151</v>
      </c>
      <c r="DY40" s="22">
        <v>64.836184825737476</v>
      </c>
      <c r="DZ40" s="416">
        <v>60.8</v>
      </c>
      <c r="EA40" s="22">
        <v>4.0361848257374788</v>
      </c>
      <c r="EB40" s="416"/>
      <c r="EC40" s="416"/>
      <c r="ED40" s="416"/>
      <c r="EE40" s="416"/>
      <c r="EF40" s="416"/>
      <c r="EG40" s="416"/>
      <c r="EH40" s="416"/>
      <c r="EI40" s="416"/>
      <c r="EJ40" s="416"/>
      <c r="EK40" s="416"/>
      <c r="EL40" s="416"/>
      <c r="EM40" s="416"/>
      <c r="EN40" s="416"/>
      <c r="EO40" s="416"/>
      <c r="EP40" s="416"/>
      <c r="EQ40" s="416"/>
      <c r="ER40" s="416"/>
      <c r="ES40" s="416"/>
      <c r="ET40" s="416"/>
      <c r="EU40" s="416"/>
      <c r="EV40" s="416"/>
      <c r="EW40" s="416"/>
      <c r="EX40" s="416"/>
      <c r="EY40" s="416"/>
      <c r="EZ40" s="416"/>
      <c r="FA40" s="416"/>
      <c r="FB40" s="416"/>
      <c r="FC40" s="416"/>
      <c r="FD40" s="416"/>
      <c r="FE40" s="416"/>
      <c r="FF40" s="416"/>
      <c r="FG40" s="416"/>
      <c r="FH40" s="416"/>
      <c r="FI40" s="416"/>
      <c r="FJ40" s="416"/>
      <c r="FK40" s="416"/>
      <c r="FL40" s="416"/>
      <c r="FM40" s="416"/>
      <c r="FR40" s="3"/>
      <c r="FS40" s="3"/>
      <c r="FV40" s="58"/>
      <c r="FW40" s="58"/>
    </row>
    <row r="41" spans="2:179">
      <c r="B41" s="386">
        <v>28</v>
      </c>
      <c r="C41" s="394"/>
      <c r="D41" s="395"/>
      <c r="E41" s="385">
        <v>24201</v>
      </c>
      <c r="F41" s="385">
        <v>24501</v>
      </c>
      <c r="G41" s="390">
        <v>300</v>
      </c>
      <c r="H41" s="386" t="s">
        <v>263</v>
      </c>
      <c r="I41" s="386" t="s">
        <v>379</v>
      </c>
      <c r="J41" s="390">
        <v>2</v>
      </c>
      <c r="K41" s="386">
        <v>4.5999999999999996</v>
      </c>
      <c r="L41" s="386" t="s">
        <v>143</v>
      </c>
      <c r="M41" s="386">
        <v>4.2</v>
      </c>
      <c r="N41" s="386">
        <v>1</v>
      </c>
      <c r="O41" s="396">
        <v>1</v>
      </c>
      <c r="P41" s="386" t="s">
        <v>366</v>
      </c>
      <c r="Q41" s="397" t="s">
        <v>144</v>
      </c>
      <c r="R41" s="419" t="s">
        <v>73</v>
      </c>
      <c r="S41" s="310">
        <v>26</v>
      </c>
      <c r="T41" s="420"/>
      <c r="U41" s="279">
        <v>24</v>
      </c>
      <c r="V41" s="323">
        <v>6473.9966140621727</v>
      </c>
      <c r="W41" s="323">
        <v>2824.5698392986178</v>
      </c>
      <c r="X41" s="420"/>
      <c r="Y41" s="398">
        <f t="shared" si="0"/>
        <v>1</v>
      </c>
      <c r="Z41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41" s="182" t="s">
        <v>644</v>
      </c>
      <c r="AB41" s="391" t="s">
        <v>381</v>
      </c>
      <c r="AC41" s="31">
        <v>3.5</v>
      </c>
      <c r="AD41" s="31">
        <v>2.5</v>
      </c>
      <c r="AE41" s="421"/>
      <c r="AF41" s="421"/>
      <c r="AG41" s="421">
        <v>0</v>
      </c>
      <c r="AH41" s="441">
        <v>0.33</v>
      </c>
      <c r="AI41" s="25">
        <v>0.03</v>
      </c>
      <c r="AJ41" s="435">
        <v>8.7999999999999995E-2</v>
      </c>
      <c r="AK41" s="330">
        <v>753</v>
      </c>
      <c r="AL41" s="263">
        <v>0.55000000000000004</v>
      </c>
      <c r="AM41" s="414">
        <v>414.15000000000003</v>
      </c>
      <c r="AN41" s="417">
        <v>2</v>
      </c>
      <c r="AO41" s="467" t="s">
        <v>73</v>
      </c>
      <c r="AP41" s="439">
        <v>88</v>
      </c>
      <c r="AQ41" s="442">
        <v>0.46</v>
      </c>
      <c r="AR41" s="422">
        <v>0.88</v>
      </c>
      <c r="AS41" s="316"/>
      <c r="AT41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0.93</v>
      </c>
      <c r="AU41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1.9</v>
      </c>
      <c r="AV41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1.1000000000000001</v>
      </c>
      <c r="AW41" s="23">
        <f>1/(1+(Tabela24[[#This Row],[Pt]])*(Tabela24[[#This Row],[Et]]-1)+(Tabela24[[#This Row],[PRv]])*(Tabela24[[#This Row],[Er]]-1))</f>
        <v>0.76923076923076938</v>
      </c>
      <c r="AX41" s="423">
        <f>Tabela24[veic/h]/Tabela24[PHF]</f>
        <v>855.68181818181813</v>
      </c>
      <c r="AY41" s="423">
        <v>1196.1143695014659</v>
      </c>
      <c r="AZ41" s="21">
        <f>Tabela24[veic/h]/(Tabela24[PHF]*Tabela24[fg ats]*Tabela24[fhv ats])</f>
        <v>1196.1143695014659</v>
      </c>
      <c r="BA41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41" s="322" t="str">
        <f>IF(AND(Tabela24[[#This Row],[vp1]]*Tabela24[[#This Row],[distrib. direc.]]&lt;1700,Tabela24[[#This Row],[vp1]]&lt;3200),"OK!","FAIL")</f>
        <v>OK!</v>
      </c>
      <c r="BC41" s="23">
        <f>INDEX('HCM2000'!$L$68:$AF$83,MATCH(Tabela24[[#This Row],[faixa (m)]],'HCM2000'!$K$68:$K$83),MATCH(Tabela24[[#This Row],[acost (m)]],'HCM2000'!$L$67:$AF$67))</f>
        <v>0.7</v>
      </c>
      <c r="BD41" s="23">
        <f>MIN(16,(2/3)*Tabela24[[#This Row],[acessos/km]])</f>
        <v>1.3333333333333333</v>
      </c>
      <c r="BE41" s="22">
        <f>Tabela24[BFFS]-Tabela24[fLS]-Tabela24[fA]</f>
        <v>85.966666666666669</v>
      </c>
      <c r="BF41" s="23" t="e">
        <v>#REF!</v>
      </c>
      <c r="BG41" s="463">
        <f>IFERROR(Tabela24[[#This Row],[vp1]],0)</f>
        <v>1196.1143695014659</v>
      </c>
      <c r="BH41" s="463">
        <f>IFERROR(Tabela24[[#This Row],[% zonas s/ultra]],0)</f>
        <v>0.46</v>
      </c>
      <c r="BI41" s="23" t="str">
        <f t="shared" si="5"/>
        <v>FNP</v>
      </c>
      <c r="BJ41" s="23">
        <v>2.1902969208211092</v>
      </c>
      <c r="BK41" s="43">
        <f>Tabela24[FFS]-0.0125*MAX(Tabela24[[#This Row],[vp1]],Tabela24[[#This Row],[vp1'']])-Tabela24[fnp'']</f>
        <v>68.824940127077227</v>
      </c>
      <c r="BL41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41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1.5</v>
      </c>
      <c r="BN41" s="23">
        <v>1</v>
      </c>
      <c r="BO41" s="23">
        <f>1/(1+Tabela24[[#This Row],[Pt]]*(Tabela24[[#This Row],[Et time]]-1)+Tabela24[[#This Row],[PRv]]*(Tabela24[[#This Row],[Er time]]-1))</f>
        <v>0.85836909871244638</v>
      </c>
      <c r="BP41" s="23">
        <f>Tabela24[veic/h]/Tabela24[PHF]</f>
        <v>855.68181818181813</v>
      </c>
      <c r="BQ41" s="23">
        <v>1060.4992746615087</v>
      </c>
      <c r="BR41" s="438">
        <f>Tabela24[veic/h]/(Tabela24[PHF]*Tabela24[fg time]*Tabela24[fhv follow])</f>
        <v>996.86931818181813</v>
      </c>
      <c r="BS41" s="438" t="str">
        <f>IF(AND(Tabela24[[#This Row],[vp2]]*Tabela24[[#This Row],[distrib. direc.]]&lt;1700,Tabela24[[#This Row],[vp2]]&lt;3200),"OK!","FAIL")</f>
        <v>OK!</v>
      </c>
      <c r="BT41" s="23">
        <f>100*(1-EXP(-0.000879*MAX(Tabela24[[#This Row],[vp2]],Tabela24[[#This Row],[vp2'']])))</f>
        <v>60.630503200306165</v>
      </c>
      <c r="BU41" s="304" t="e">
        <v>#REF!</v>
      </c>
      <c r="BV41" s="304">
        <f>IF(TYPE(Tabela24[distrib. direc.])&lt;&gt;1,0,Tabela24[distrib. direc.])</f>
        <v>0.55000000000000004</v>
      </c>
      <c r="BW41" s="304">
        <f>IF(TYPE(Tabela24[vp2])&lt;&gt;1,0,Tabela24[vp2])</f>
        <v>996.86931818181813</v>
      </c>
      <c r="BX41" s="304">
        <f>IF(TYPE(Tabela24[% zonas s/ultra])&lt;&gt;1,0,Tabela24[% zonas s/ultra])</f>
        <v>0.46</v>
      </c>
      <c r="BY41" s="304" t="str">
        <f t="shared" si="6"/>
        <v>FDNP</v>
      </c>
      <c r="BZ41" s="31">
        <v>9.4169238636371571</v>
      </c>
      <c r="CA41" s="305">
        <f>Tabela24[BPTSF]+Tabela24[fd/np'']</f>
        <v>70.047427063943317</v>
      </c>
      <c r="CB41" s="424">
        <f>Tabela24[vp1]/3200</f>
        <v>0.37378574046920809</v>
      </c>
      <c r="CC41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D</v>
      </c>
      <c r="CD41" s="332">
        <f>VLOOKUP(Tabela24[faixa (m)],'HCM2000'!$B$541:$C$547,2,TRUE)</f>
        <v>1</v>
      </c>
      <c r="CE41" s="332">
        <f>IF(Tabela24[acost (m)]&gt;0,1.8,1.2)</f>
        <v>1.8</v>
      </c>
      <c r="CF41" s="332">
        <f>IF(Tabela24[Separador]=$CB$6,$CD$6,IF(Tabela24[Separador]=$CB$7,$CD$7,$CD$8))</f>
        <v>0</v>
      </c>
      <c r="CG41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41" s="332">
        <f>IF(Tabela24[Separador]="Sinalização horizontal",'HCM2000'!$C$590,'HCM2000'!$C$591)</f>
        <v>2.6</v>
      </c>
      <c r="CI41" s="332">
        <f>MIN((2/3)*Tabela24[[#This Row],[acessos/km]],16)</f>
        <v>1.3333333333333333</v>
      </c>
      <c r="CJ41" s="332">
        <f>IF(Tabela24[fLC]="Pista simples","-",Tabela24[BFFS]-Tabela24[fLW]-Tabela24[fLC]-Tabela24[fM]-Tabela24[fA2])</f>
        <v>80.966666666666683</v>
      </c>
      <c r="CK41" s="332">
        <f>IF(Tabela24[plano/ondulado]="Montanhoso",Tabela24[Para PT&lt;],VLOOKUP(Tabela24[plano/ondulado],'HCM2000'!$B$606:$C$608,2,FALSE))</f>
        <v>2.5</v>
      </c>
      <c r="CL41" s="332">
        <f>IF(Tabela24[[#This Row],[plano/ondulado]]="Montanhoso",Tabela24[[#This Row],[Para PT&lt;]],VLOOKUP(Tabela24[[#This Row],[plano/ondulado]],'HCM2000'!$E$606:$F$608,2,FALSE))</f>
        <v>2</v>
      </c>
      <c r="CM41" s="433">
        <f>1/(1+(Tabela24[Pt]*(Tabela24[Et2]-1))+(Tabela24[PRv]*(Tabela24[Er2]-1)))</f>
        <v>0.65573770491803274</v>
      </c>
      <c r="CN41" s="329">
        <f>K41+IF(Tabela24[[#This Row],[Num. Faixas Marg.]]="-",0,Tabela24[[#This Row],[Num. Faixas Marg.]])</f>
        <v>4.5999999999999996</v>
      </c>
      <c r="CO41" s="331">
        <f>Tabela24[[#This Row],[Vzão]]/(Tabela24[[#This Row],[PHF]]*Tabela24[[#This Row],[N]]*Tabela24[[#This Row],[fHV]])</f>
        <v>156.0224184782609</v>
      </c>
      <c r="CP41" s="332">
        <f>IF(Tabela24[fLC]="Pista simples","-",Tabela24[vp3]/Tabela24[S])</f>
        <v>1.9269956996079975</v>
      </c>
      <c r="CQ41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41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41" s="308" t="str">
        <f>IF(Tabela24[LOS_vp3]="F","F",VLOOKUP(Tabela24[LOS_vp3],'HCM2000'!$R$655:$S$659,2))</f>
        <v>F</v>
      </c>
      <c r="CT41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41" s="425" t="str">
        <f>IF(Tabela24[[#This Row],[LOS_vp3]]="F","F",IF(Tabela24[[#This Row],[fLC]]="Pista simples","-",VLOOKUP(Tabela24[[#This Row],[LOS_D3]],'HCM2000'!$R$655:$S$659,2)))</f>
        <v>F</v>
      </c>
      <c r="CV41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41" s="381"/>
      <c r="CX41" s="381"/>
      <c r="CY41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41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41" s="22">
        <f>ABS(INDEX('HCM2000'!$E$611:$M$611,1,MATCH(Tabela24[Pt]*100,'HCM2000'!$E$611:$M$611,1))-Tabela24[Pt]*100)</f>
        <v>8</v>
      </c>
      <c r="DB41" s="22" t="e">
        <f>INDEX('HCM2000'!$E$611:$M$611,1,MATCH(Tabela24[[#This Row],[Pt]]*100,'HCM2000'!$E$611:$M$611,1)+1)-Tabela24[[#This Row],[Pt]]*100</f>
        <v>#REF!</v>
      </c>
      <c r="DC41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41" s="440"/>
      <c r="DE41" s="423" t="e">
        <f>1/(1+(Tabela24[Pt]*(Tabela24[ETsu]-1))+(Tabela24[PRv]*(Tabela24[ERsu]-1)))</f>
        <v>#N/A</v>
      </c>
      <c r="DF41" s="438" t="e">
        <f>Tabela24[Vzão]/(Tabela24[PHF]*Tabela24[N]*Tabela24[fHVsu])</f>
        <v>#N/A</v>
      </c>
      <c r="DG41" s="332" t="e">
        <f>IF(Tabela24[fLC]="Pista simples","-",Tabela24[vpsu]/Tabela24[S])</f>
        <v>#N/A</v>
      </c>
      <c r="DH41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41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41" s="425" t="str">
        <f>IF(Tabela24[[#This Row],[LOS_vp3]]="F","F",VLOOKUP(Tabela24[[#This Row],[LOS_vp3]],'HCM2000'!$R$655:$S$659,2))</f>
        <v>F</v>
      </c>
      <c r="DK41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41" s="425" t="str">
        <f>IF(Tabela24[[#This Row],[LOS_vp3]]="F","F",IF(Tabela24[[#This Row],[fLC]]="Pista simples","-",VLOOKUP(Tabela24[[#This Row],[LOS_D3]],'HCM2000'!$R$655:$S$659,2)))</f>
        <v>F</v>
      </c>
      <c r="DM41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41" s="416"/>
      <c r="DO41" s="22">
        <f>Tabela24[[#This Row],[ATS]]</f>
        <v>68.824940127077227</v>
      </c>
      <c r="DP41" s="416">
        <v>68.8</v>
      </c>
      <c r="DQ41" s="22">
        <f t="shared" si="11"/>
        <v>2.494012707722959E-2</v>
      </c>
      <c r="DR41" s="22">
        <f>Tabela24[[#This Row],[PTSF]]</f>
        <v>70.047427063943317</v>
      </c>
      <c r="DS41" s="416">
        <v>69.900000000000006</v>
      </c>
      <c r="DT41" s="22">
        <f t="shared" si="12"/>
        <v>0.14742706394331151</v>
      </c>
      <c r="DU41" s="22"/>
      <c r="DV41" s="22">
        <v>68.824940127077227</v>
      </c>
      <c r="DW41" s="416">
        <v>68.8</v>
      </c>
      <c r="DX41" s="22">
        <v>2.494012707722959E-2</v>
      </c>
      <c r="DY41" s="22">
        <v>69.488109583285919</v>
      </c>
      <c r="DZ41" s="416">
        <v>69.900000000000006</v>
      </c>
      <c r="EA41" s="22">
        <v>0.41189041671408688</v>
      </c>
      <c r="EB41" s="416"/>
      <c r="EC41" s="416"/>
      <c r="ED41" s="416"/>
      <c r="EE41" s="416"/>
      <c r="EF41" s="416"/>
      <c r="EG41" s="416"/>
      <c r="EH41" s="416"/>
      <c r="EI41" s="416"/>
      <c r="EJ41" s="416"/>
      <c r="EK41" s="416"/>
      <c r="EL41" s="416"/>
      <c r="EM41" s="416"/>
      <c r="EN41" s="416"/>
      <c r="EO41" s="416"/>
      <c r="EP41" s="416"/>
      <c r="EQ41" s="416"/>
      <c r="ER41" s="416"/>
      <c r="ES41" s="416"/>
      <c r="ET41" s="416"/>
      <c r="EU41" s="416"/>
      <c r="EV41" s="416"/>
      <c r="EW41" s="416"/>
      <c r="EX41" s="416"/>
      <c r="EY41" s="416"/>
      <c r="EZ41" s="416"/>
      <c r="FA41" s="416"/>
      <c r="FB41" s="416"/>
      <c r="FC41" s="416"/>
      <c r="FD41" s="416"/>
      <c r="FE41" s="416"/>
      <c r="FF41" s="416"/>
      <c r="FG41" s="416"/>
      <c r="FH41" s="416"/>
      <c r="FI41" s="416"/>
      <c r="FJ41" s="416"/>
      <c r="FK41" s="416"/>
      <c r="FL41" s="416"/>
      <c r="FM41" s="416"/>
      <c r="FR41" s="3"/>
      <c r="FS41" s="3"/>
      <c r="FV41" s="58"/>
      <c r="FW41" s="58"/>
    </row>
    <row r="42" spans="2:179">
      <c r="B42" s="386">
        <v>29</v>
      </c>
      <c r="C42" s="394"/>
      <c r="D42" s="395"/>
      <c r="E42" s="385">
        <v>24201</v>
      </c>
      <c r="F42" s="385">
        <v>24501</v>
      </c>
      <c r="G42" s="390">
        <v>300</v>
      </c>
      <c r="H42" s="386" t="s">
        <v>263</v>
      </c>
      <c r="I42" s="386" t="s">
        <v>379</v>
      </c>
      <c r="J42" s="390">
        <v>2</v>
      </c>
      <c r="K42" s="386">
        <v>4.5999999999999996</v>
      </c>
      <c r="L42" s="386" t="s">
        <v>143</v>
      </c>
      <c r="M42" s="386">
        <v>4.2</v>
      </c>
      <c r="N42" s="386">
        <v>1</v>
      </c>
      <c r="O42" s="396">
        <v>1</v>
      </c>
      <c r="P42" s="386" t="s">
        <v>366</v>
      </c>
      <c r="Q42" s="397" t="s">
        <v>144</v>
      </c>
      <c r="R42" s="419" t="s">
        <v>73</v>
      </c>
      <c r="S42" s="310">
        <v>27</v>
      </c>
      <c r="T42" s="420"/>
      <c r="U42" s="279">
        <v>24</v>
      </c>
      <c r="V42" s="323">
        <v>6473.9966140621727</v>
      </c>
      <c r="W42" s="323">
        <v>2824.5698392986178</v>
      </c>
      <c r="X42" s="420"/>
      <c r="Y42" s="398">
        <f t="shared" si="0"/>
        <v>1</v>
      </c>
      <c r="Z42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42" s="182" t="s">
        <v>644</v>
      </c>
      <c r="AB42" s="391" t="s">
        <v>654</v>
      </c>
      <c r="AC42" s="31" t="s">
        <v>73</v>
      </c>
      <c r="AD42" s="31" t="s">
        <v>73</v>
      </c>
      <c r="AE42" s="421"/>
      <c r="AF42" s="421"/>
      <c r="AG42" s="421">
        <v>0</v>
      </c>
      <c r="AH42" s="441" t="e">
        <v>#VALUE!</v>
      </c>
      <c r="AI42" s="25" t="e">
        <v>#VALUE!</v>
      </c>
      <c r="AJ42" s="435">
        <v>8.7999999999999995E-2</v>
      </c>
      <c r="AK42" s="330" t="s">
        <v>73</v>
      </c>
      <c r="AL42" s="263">
        <v>0.55000000000000004</v>
      </c>
      <c r="AM42" s="414" t="e">
        <v>#VALUE!</v>
      </c>
      <c r="AN42" s="417" t="s">
        <v>73</v>
      </c>
      <c r="AO42" s="467" t="s">
        <v>73</v>
      </c>
      <c r="AP42" s="439" t="s">
        <v>73</v>
      </c>
      <c r="AQ42" s="442" t="e">
        <v>#VALUE!</v>
      </c>
      <c r="AR42" s="422" t="s">
        <v>73</v>
      </c>
      <c r="AS42" s="316"/>
      <c r="AT42" s="412" t="e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#VALUE!</v>
      </c>
      <c r="AU42" s="23" t="e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#VALUE!</v>
      </c>
      <c r="AV42" s="23" t="e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#VALUE!</v>
      </c>
      <c r="AW42" s="23" t="e">
        <f>1/(1+(Tabela24[[#This Row],[Pt]])*(Tabela24[[#This Row],[Et]]-1)+(Tabela24[[#This Row],[PRv]])*(Tabela24[[#This Row],[Er]]-1))</f>
        <v>#VALUE!</v>
      </c>
      <c r="AX42" s="423" t="e">
        <f>Tabela24[veic/h]/Tabela24[PHF]</f>
        <v>#VALUE!</v>
      </c>
      <c r="AY42" s="423" t="e">
        <v>#VALUE!</v>
      </c>
      <c r="AZ42" s="21" t="e">
        <f>Tabela24[veic/h]/(Tabela24[PHF]*Tabela24[fg ats]*Tabela24[fhv ats])</f>
        <v>#VALUE!</v>
      </c>
      <c r="BA42" s="322" t="e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#VALUE!</v>
      </c>
      <c r="BB42" s="322" t="e">
        <f>IF(AND(Tabela24[[#This Row],[vp1]]*Tabela24[[#This Row],[distrib. direc.]]&lt;1700,Tabela24[[#This Row],[vp1]]&lt;3200),"OK!","FAIL")</f>
        <v>#VALUE!</v>
      </c>
      <c r="BC42" s="23" t="e">
        <f>INDEX('HCM2000'!$L$68:$AF$83,MATCH(Tabela24[[#This Row],[faixa (m)]],'HCM2000'!$K$68:$K$83),MATCH(Tabela24[[#This Row],[acost (m)]],'HCM2000'!$L$67:$AF$67))</f>
        <v>#N/A</v>
      </c>
      <c r="BD42" s="23" t="e">
        <f>MIN(16,(2/3)*Tabela24[[#This Row],[acessos/km]])</f>
        <v>#VALUE!</v>
      </c>
      <c r="BE42" s="22" t="e">
        <f>Tabela24[BFFS]-Tabela24[fLS]-Tabela24[fA]</f>
        <v>#VALUE!</v>
      </c>
      <c r="BF42" s="23" t="e">
        <v>#REF!</v>
      </c>
      <c r="BG42" s="463">
        <f>IFERROR(Tabela24[[#This Row],[vp1]],0)</f>
        <v>0</v>
      </c>
      <c r="BH42" s="463">
        <f>IFERROR(Tabela24[[#This Row],[% zonas s/ultra]],0)</f>
        <v>0</v>
      </c>
      <c r="BI42" s="23" t="str">
        <f t="shared" si="5"/>
        <v>FNP</v>
      </c>
      <c r="BJ42" s="23">
        <v>0</v>
      </c>
      <c r="BK42" s="43" t="e">
        <f>Tabela24[FFS]-0.0125*MAX(Tabela24[[#This Row],[vp1]],Tabela24[[#This Row],[vp1'']])-Tabela24[fnp'']</f>
        <v>#VALUE!</v>
      </c>
      <c r="BL42" s="412" t="e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#VALUE!</v>
      </c>
      <c r="BM42" s="23" t="e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#VALUE!</v>
      </c>
      <c r="BN42" s="23">
        <v>1</v>
      </c>
      <c r="BO42" s="23" t="e">
        <f>1/(1+Tabela24[[#This Row],[Pt]]*(Tabela24[[#This Row],[Et time]]-1)+Tabela24[[#This Row],[PRv]]*(Tabela24[[#This Row],[Er time]]-1))</f>
        <v>#VALUE!</v>
      </c>
      <c r="BP42" s="23" t="e">
        <f>Tabela24[veic/h]/Tabela24[PHF]</f>
        <v>#VALUE!</v>
      </c>
      <c r="BQ42" s="23" t="e">
        <v>#VALUE!</v>
      </c>
      <c r="BR42" s="438" t="e">
        <f>Tabela24[veic/h]/(Tabela24[PHF]*Tabela24[fg time]*Tabela24[fhv follow])</f>
        <v>#VALUE!</v>
      </c>
      <c r="BS42" s="438" t="e">
        <f>IF(AND(Tabela24[[#This Row],[vp2]]*Tabela24[[#This Row],[distrib. direc.]]&lt;1700,Tabela24[[#This Row],[vp2]]&lt;3200),"OK!","FAIL")</f>
        <v>#VALUE!</v>
      </c>
      <c r="BT42" s="23" t="e">
        <f>100*(1-EXP(-0.000879*MAX(Tabela24[[#This Row],[vp2]],Tabela24[[#This Row],[vp2'']])))</f>
        <v>#VALUE!</v>
      </c>
      <c r="BU42" s="304" t="e">
        <v>#REF!</v>
      </c>
      <c r="BV42" s="304">
        <f>IF(TYPE(Tabela24[distrib. direc.])&lt;&gt;1,0,Tabela24[distrib. direc.])</f>
        <v>0.55000000000000004</v>
      </c>
      <c r="BW42" s="304">
        <f>IF(TYPE(Tabela24[vp2])&lt;&gt;1,0,Tabela24[vp2])</f>
        <v>0</v>
      </c>
      <c r="BX42" s="304">
        <f>IF(TYPE(Tabela24[% zonas s/ultra])&lt;&gt;1,0,Tabela24[% zonas s/ultra])</f>
        <v>0</v>
      </c>
      <c r="BY42" s="304" t="str">
        <f t="shared" si="6"/>
        <v>FDNP</v>
      </c>
      <c r="BZ42" s="31">
        <v>1.6000000000000014</v>
      </c>
      <c r="CA42" s="305" t="e">
        <f>Tabela24[BPTSF]+Tabela24[fd/np'']</f>
        <v>#VALUE!</v>
      </c>
      <c r="CB42" s="424" t="e">
        <f>Tabela24[vp1]/3200</f>
        <v>#VALUE!</v>
      </c>
      <c r="CC42" s="280" t="e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#VALUE!</v>
      </c>
      <c r="CD42" s="332" t="e">
        <f>VLOOKUP(Tabela24[faixa (m)],'HCM2000'!$B$541:$C$547,2,TRUE)</f>
        <v>#N/A</v>
      </c>
      <c r="CE42" s="332">
        <f>IF(Tabela24[acost (m)]&gt;0,1.8,1.2)</f>
        <v>1.8</v>
      </c>
      <c r="CF42" s="332">
        <f>IF(Tabela24[Separador]=$CB$6,$CD$6,IF(Tabela24[Separador]=$CB$7,$CD$7,$CD$8))</f>
        <v>0</v>
      </c>
      <c r="CG42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42" s="332">
        <f>IF(Tabela24[Separador]="Sinalização horizontal",'HCM2000'!$C$590,'HCM2000'!$C$591)</f>
        <v>2.6</v>
      </c>
      <c r="CI42" s="332" t="e">
        <f>MIN((2/3)*Tabela24[[#This Row],[acessos/km]],16)</f>
        <v>#VALUE!</v>
      </c>
      <c r="CJ42" s="332" t="e">
        <f>IF(Tabela24[fLC]="Pista simples","-",Tabela24[BFFS]-Tabela24[fLW]-Tabela24[fLC]-Tabela24[fM]-Tabela24[fA2])</f>
        <v>#VALUE!</v>
      </c>
      <c r="CK42" s="332">
        <f>IF(Tabela24[plano/ondulado]="Montanhoso",Tabela24[Para PT&lt;],VLOOKUP(Tabela24[plano/ondulado],'HCM2000'!$B$606:$C$608,2,FALSE))</f>
        <v>1.5</v>
      </c>
      <c r="CL42" s="332">
        <f>IF(Tabela24[[#This Row],[plano/ondulado]]="Montanhoso",Tabela24[[#This Row],[Para PT&lt;]],VLOOKUP(Tabela24[[#This Row],[plano/ondulado]],'HCM2000'!$E$606:$F$608,2,FALSE))</f>
        <v>1.2</v>
      </c>
      <c r="CM42" s="433" t="e">
        <f>1/(1+(Tabela24[Pt]*(Tabela24[Et2]-1))+(Tabela24[PRv]*(Tabela24[Er2]-1)))</f>
        <v>#VALUE!</v>
      </c>
      <c r="CN42" s="329">
        <f>K42+IF(Tabela24[[#This Row],[Num. Faixas Marg.]]="-",0,Tabela24[[#This Row],[Num. Faixas Marg.]])</f>
        <v>4.5999999999999996</v>
      </c>
      <c r="CO42" s="331" t="e">
        <f>Tabela24[[#This Row],[Vzão]]/(Tabela24[[#This Row],[PHF]]*Tabela24[[#This Row],[N]]*Tabela24[[#This Row],[fHV]])</f>
        <v>#VALUE!</v>
      </c>
      <c r="CP42" s="332" t="e">
        <f>IF(Tabela24[fLC]="Pista simples","-",Tabela24[vp3]/Tabela24[S])</f>
        <v>#VALUE!</v>
      </c>
      <c r="CQ42" s="332" t="e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#VALUE!</v>
      </c>
      <c r="CR42" s="329" t="e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#VALUE!</v>
      </c>
      <c r="CS42" s="308" t="e">
        <f>IF(Tabela24[LOS_vp3]="F","F",VLOOKUP(Tabela24[LOS_vp3],'HCM2000'!$R$655:$S$659,2))</f>
        <v>#VALUE!</v>
      </c>
      <c r="CT42" s="329" t="e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#VALUE!</v>
      </c>
      <c r="CU42" s="425" t="e">
        <f>IF(Tabela24[[#This Row],[LOS_vp3]]="F","F",IF(Tabela24[[#This Row],[fLC]]="Pista simples","-",VLOOKUP(Tabela24[[#This Row],[LOS_D3]],'HCM2000'!$R$655:$S$659,2)))</f>
        <v>#VALUE!</v>
      </c>
      <c r="CV42" s="280" t="e">
        <f>IF(OR(Tabela24[[#This Row],[LOS_vp3]]="F",Tabela24[[#This Row],[LOS_D3]]="F"),"F",IF(Tabela24[[#This Row],[Pista]]="Pista Simples","-",VLOOKUP(MINA(Tabela24[LOS_vp],Tabela24[LOS_D]),'HCM2000'!$R$655:$S$659,2)))</f>
        <v>#VALUE!</v>
      </c>
      <c r="CW42" s="381"/>
      <c r="CX42" s="381"/>
      <c r="CY42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42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42" s="22" t="e">
        <f>ABS(INDEX('HCM2000'!$E$611:$M$611,1,MATCH(Tabela24[Pt]*100,'HCM2000'!$E$611:$M$611,1))-Tabela24[Pt]*100)</f>
        <v>#VALUE!</v>
      </c>
      <c r="DB42" s="22" t="e">
        <f>INDEX('HCM2000'!$E$611:$M$611,1,MATCH(Tabela24[[#This Row],[Pt]]*100,'HCM2000'!$E$611:$M$611,1)+1)-Tabela24[[#This Row],[Pt]]*100</f>
        <v>#VALUE!</v>
      </c>
      <c r="DC42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42" s="440"/>
      <c r="DE42" s="423" t="e">
        <f>1/(1+(Tabela24[Pt]*(Tabela24[ETsu]-1))+(Tabela24[PRv]*(Tabela24[ERsu]-1)))</f>
        <v>#VALUE!</v>
      </c>
      <c r="DF42" s="438" t="e">
        <f>Tabela24[Vzão]/(Tabela24[PHF]*Tabela24[N]*Tabela24[fHVsu])</f>
        <v>#VALUE!</v>
      </c>
      <c r="DG42" s="332" t="e">
        <f>IF(Tabela24[fLC]="Pista simples","-",Tabela24[vpsu]/Tabela24[S])</f>
        <v>#VALUE!</v>
      </c>
      <c r="DH42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#VALUE!</v>
      </c>
      <c r="DI42" s="426" t="e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#VALUE!</v>
      </c>
      <c r="DJ42" s="425" t="e">
        <f>IF(Tabela24[[#This Row],[LOS_vp3]]="F","F",VLOOKUP(Tabela24[[#This Row],[LOS_vp3]],'HCM2000'!$R$655:$S$659,2))</f>
        <v>#VALUE!</v>
      </c>
      <c r="DK42" s="426" t="e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#VALUE!</v>
      </c>
      <c r="DL42" s="425" t="e">
        <f>IF(Tabela24[[#This Row],[LOS_vp3]]="F","F",IF(Tabela24[[#This Row],[fLC]]="Pista simples","-",VLOOKUP(Tabela24[[#This Row],[LOS_D3]],'HCM2000'!$R$655:$S$659,2)))</f>
        <v>#VALUE!</v>
      </c>
      <c r="DM42" s="416" t="e">
        <f>IF(OR(Tabela24[[#This Row],[LOS_vp3]]="F",Tabela24[[#This Row],[LOS_D3]]="F"),"F",IF(Tabela24[[#This Row],[Pista]]="Pista Simples","-",VLOOKUP(MINA(Tabela24[LOS_vp3],Tabela24[LOS_D3]),'HCM2000'!$R$655:$S$659,2)))</f>
        <v>#VALUE!</v>
      </c>
      <c r="DN42" s="416"/>
      <c r="DO42" s="22" t="e">
        <f>Tabela24[[#This Row],[ATS]]</f>
        <v>#VALUE!</v>
      </c>
      <c r="DP42" s="416" t="s">
        <v>73</v>
      </c>
      <c r="DQ42" s="22" t="e">
        <f t="shared" si="11"/>
        <v>#VALUE!</v>
      </c>
      <c r="DR42" s="22" t="e">
        <f>Tabela24[[#This Row],[PTSF]]</f>
        <v>#VALUE!</v>
      </c>
      <c r="DS42" s="416" t="s">
        <v>73</v>
      </c>
      <c r="DT42" s="22" t="e">
        <f t="shared" si="12"/>
        <v>#VALUE!</v>
      </c>
      <c r="DU42" s="22"/>
      <c r="DV42" s="22" t="e">
        <v>#VALUE!</v>
      </c>
      <c r="DW42" s="416" t="s">
        <v>73</v>
      </c>
      <c r="DX42" s="22" t="e">
        <v>#VALUE!</v>
      </c>
      <c r="DY42" s="22" t="e">
        <v>#VALUE!</v>
      </c>
      <c r="DZ42" s="416" t="s">
        <v>73</v>
      </c>
      <c r="EA42" s="22" t="e">
        <v>#VALUE!</v>
      </c>
      <c r="EB42" s="416"/>
      <c r="EC42" s="416"/>
      <c r="ED42" s="416"/>
      <c r="EE42" s="416"/>
      <c r="EF42" s="416"/>
      <c r="EG42" s="416"/>
      <c r="EH42" s="416"/>
      <c r="EI42" s="416"/>
      <c r="EJ42" s="416"/>
      <c r="EK42" s="416"/>
      <c r="EL42" s="416"/>
      <c r="EM42" s="416"/>
      <c r="EN42" s="416"/>
      <c r="EO42" s="416"/>
      <c r="EP42" s="416"/>
      <c r="EQ42" s="416"/>
      <c r="ER42" s="416"/>
      <c r="ES42" s="416"/>
      <c r="ET42" s="416"/>
      <c r="EU42" s="416"/>
      <c r="EV42" s="416"/>
      <c r="EW42" s="416"/>
      <c r="EX42" s="416"/>
      <c r="EY42" s="416"/>
      <c r="EZ42" s="416"/>
      <c r="FA42" s="416"/>
      <c r="FB42" s="416"/>
      <c r="FC42" s="416"/>
      <c r="FD42" s="416"/>
      <c r="FE42" s="416"/>
      <c r="FF42" s="416"/>
      <c r="FG42" s="416"/>
      <c r="FH42" s="416"/>
      <c r="FI42" s="416"/>
      <c r="FJ42" s="416"/>
      <c r="FK42" s="416"/>
      <c r="FL42" s="416"/>
      <c r="FM42" s="416"/>
      <c r="FR42" s="3"/>
      <c r="FS42" s="3"/>
      <c r="FV42" s="58"/>
      <c r="FW42" s="58"/>
    </row>
    <row r="43" spans="2:179">
      <c r="B43" s="386">
        <v>30</v>
      </c>
      <c r="C43" s="394"/>
      <c r="D43" s="395"/>
      <c r="E43" s="385">
        <v>24201</v>
      </c>
      <c r="F43" s="385">
        <v>24501</v>
      </c>
      <c r="G43" s="390">
        <v>300</v>
      </c>
      <c r="H43" s="386" t="s">
        <v>263</v>
      </c>
      <c r="I43" s="386" t="s">
        <v>379</v>
      </c>
      <c r="J43" s="390">
        <v>2</v>
      </c>
      <c r="K43" s="386">
        <v>4.5999999999999996</v>
      </c>
      <c r="L43" s="386" t="s">
        <v>143</v>
      </c>
      <c r="M43" s="386">
        <v>4.2</v>
      </c>
      <c r="N43" s="386">
        <v>1</v>
      </c>
      <c r="O43" s="396">
        <v>1</v>
      </c>
      <c r="P43" s="386" t="s">
        <v>366</v>
      </c>
      <c r="Q43" s="397" t="s">
        <v>144</v>
      </c>
      <c r="R43" s="419" t="s">
        <v>73</v>
      </c>
      <c r="S43" s="310">
        <v>28</v>
      </c>
      <c r="T43" s="420"/>
      <c r="U43" s="279">
        <v>24</v>
      </c>
      <c r="V43" s="323">
        <v>6473.9966140621727</v>
      </c>
      <c r="W43" s="323">
        <v>2824.5698392986178</v>
      </c>
      <c r="X43" s="420"/>
      <c r="Y43" s="398">
        <f t="shared" si="0"/>
        <v>1</v>
      </c>
      <c r="Z43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43" s="182" t="s">
        <v>644</v>
      </c>
      <c r="AB43" s="391" t="s">
        <v>654</v>
      </c>
      <c r="AC43" s="31" t="s">
        <v>73</v>
      </c>
      <c r="AD43" s="31" t="s">
        <v>73</v>
      </c>
      <c r="AE43" s="421"/>
      <c r="AF43" s="421"/>
      <c r="AG43" s="421">
        <v>0</v>
      </c>
      <c r="AH43" s="441" t="e">
        <v>#VALUE!</v>
      </c>
      <c r="AI43" s="25" t="e">
        <v>#VALUE!</v>
      </c>
      <c r="AJ43" s="435">
        <v>8.7999999999999995E-2</v>
      </c>
      <c r="AK43" s="330" t="s">
        <v>73</v>
      </c>
      <c r="AL43" s="263">
        <v>0.55000000000000004</v>
      </c>
      <c r="AM43" s="414" t="e">
        <v>#VALUE!</v>
      </c>
      <c r="AN43" s="417" t="s">
        <v>73</v>
      </c>
      <c r="AO43" s="467" t="s">
        <v>73</v>
      </c>
      <c r="AP43" s="439" t="s">
        <v>73</v>
      </c>
      <c r="AQ43" s="442" t="e">
        <v>#VALUE!</v>
      </c>
      <c r="AR43" s="422" t="s">
        <v>73</v>
      </c>
      <c r="AS43" s="316"/>
      <c r="AT43" s="412" t="e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#VALUE!</v>
      </c>
      <c r="AU43" s="23" t="e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#VALUE!</v>
      </c>
      <c r="AV43" s="23" t="e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#VALUE!</v>
      </c>
      <c r="AW43" s="23" t="e">
        <f>1/(1+(Tabela24[[#This Row],[Pt]])*(Tabela24[[#This Row],[Et]]-1)+(Tabela24[[#This Row],[PRv]])*(Tabela24[[#This Row],[Er]]-1))</f>
        <v>#VALUE!</v>
      </c>
      <c r="AX43" s="423" t="e">
        <f>Tabela24[veic/h]/Tabela24[PHF]</f>
        <v>#VALUE!</v>
      </c>
      <c r="AY43" s="423" t="e">
        <v>#VALUE!</v>
      </c>
      <c r="AZ43" s="21" t="e">
        <f>Tabela24[veic/h]/(Tabela24[PHF]*Tabela24[fg ats]*Tabela24[fhv ats])</f>
        <v>#VALUE!</v>
      </c>
      <c r="BA43" s="322" t="e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#VALUE!</v>
      </c>
      <c r="BB43" s="322" t="e">
        <f>IF(AND(Tabela24[[#This Row],[vp1]]*Tabela24[[#This Row],[distrib. direc.]]&lt;1700,Tabela24[[#This Row],[vp1]]&lt;3200),"OK!","FAIL")</f>
        <v>#VALUE!</v>
      </c>
      <c r="BC43" s="23" t="e">
        <f>INDEX('HCM2000'!$L$68:$AF$83,MATCH(Tabela24[[#This Row],[faixa (m)]],'HCM2000'!$K$68:$K$83),MATCH(Tabela24[[#This Row],[acost (m)]],'HCM2000'!$L$67:$AF$67))</f>
        <v>#N/A</v>
      </c>
      <c r="BD43" s="23" t="e">
        <f>MIN(16,(2/3)*Tabela24[[#This Row],[acessos/km]])</f>
        <v>#VALUE!</v>
      </c>
      <c r="BE43" s="22" t="e">
        <f>Tabela24[BFFS]-Tabela24[fLS]-Tabela24[fA]</f>
        <v>#VALUE!</v>
      </c>
      <c r="BF43" s="23" t="e">
        <v>#REF!</v>
      </c>
      <c r="BG43" s="463">
        <f>IFERROR(Tabela24[[#This Row],[vp1]],0)</f>
        <v>0</v>
      </c>
      <c r="BH43" s="463">
        <f>IFERROR(Tabela24[[#This Row],[% zonas s/ultra]],0)</f>
        <v>0</v>
      </c>
      <c r="BI43" s="23" t="str">
        <f t="shared" si="5"/>
        <v>FNP</v>
      </c>
      <c r="BJ43" s="23">
        <v>0</v>
      </c>
      <c r="BK43" s="43" t="e">
        <f>Tabela24[FFS]-0.0125*MAX(Tabela24[[#This Row],[vp1]],Tabela24[[#This Row],[vp1'']])-Tabela24[fnp'']</f>
        <v>#VALUE!</v>
      </c>
      <c r="BL43" s="412" t="e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#VALUE!</v>
      </c>
      <c r="BM43" s="23" t="e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#VALUE!</v>
      </c>
      <c r="BN43" s="23">
        <v>1</v>
      </c>
      <c r="BO43" s="23" t="e">
        <f>1/(1+Tabela24[[#This Row],[Pt]]*(Tabela24[[#This Row],[Et time]]-1)+Tabela24[[#This Row],[PRv]]*(Tabela24[[#This Row],[Er time]]-1))</f>
        <v>#VALUE!</v>
      </c>
      <c r="BP43" s="23" t="e">
        <f>Tabela24[veic/h]/Tabela24[PHF]</f>
        <v>#VALUE!</v>
      </c>
      <c r="BQ43" s="23" t="e">
        <v>#VALUE!</v>
      </c>
      <c r="BR43" s="438" t="e">
        <f>Tabela24[veic/h]/(Tabela24[PHF]*Tabela24[fg time]*Tabela24[fhv follow])</f>
        <v>#VALUE!</v>
      </c>
      <c r="BS43" s="438" t="e">
        <f>IF(AND(Tabela24[[#This Row],[vp2]]*Tabela24[[#This Row],[distrib. direc.]]&lt;1700,Tabela24[[#This Row],[vp2]]&lt;3200),"OK!","FAIL")</f>
        <v>#VALUE!</v>
      </c>
      <c r="BT43" s="23" t="e">
        <f>100*(1-EXP(-0.000879*MAX(Tabela24[[#This Row],[vp2]],Tabela24[[#This Row],[vp2'']])))</f>
        <v>#VALUE!</v>
      </c>
      <c r="BU43" s="304" t="e">
        <v>#REF!</v>
      </c>
      <c r="BV43" s="304">
        <f>IF(TYPE(Tabela24[distrib. direc.])&lt;&gt;1,0,Tabela24[distrib. direc.])</f>
        <v>0.55000000000000004</v>
      </c>
      <c r="BW43" s="304">
        <f>IF(TYPE(Tabela24[vp2])&lt;&gt;1,0,Tabela24[vp2])</f>
        <v>0</v>
      </c>
      <c r="BX43" s="304">
        <f>IF(TYPE(Tabela24[% zonas s/ultra])&lt;&gt;1,0,Tabela24[% zonas s/ultra])</f>
        <v>0</v>
      </c>
      <c r="BY43" s="304" t="str">
        <f t="shared" si="6"/>
        <v>FDNP</v>
      </c>
      <c r="BZ43" s="31">
        <v>1.6000000000000014</v>
      </c>
      <c r="CA43" s="305" t="e">
        <f>Tabela24[BPTSF]+Tabela24[fd/np'']</f>
        <v>#VALUE!</v>
      </c>
      <c r="CB43" s="424" t="e">
        <f>Tabela24[vp1]/3200</f>
        <v>#VALUE!</v>
      </c>
      <c r="CC43" s="280" t="e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#VALUE!</v>
      </c>
      <c r="CD43" s="332" t="e">
        <f>VLOOKUP(Tabela24[faixa (m)],'HCM2000'!$B$541:$C$547,2,TRUE)</f>
        <v>#N/A</v>
      </c>
      <c r="CE43" s="332">
        <f>IF(Tabela24[acost (m)]&gt;0,1.8,1.2)</f>
        <v>1.8</v>
      </c>
      <c r="CF43" s="332">
        <f>IF(Tabela24[Separador]=$CB$6,$CD$6,IF(Tabela24[Separador]=$CB$7,$CD$7,$CD$8))</f>
        <v>0</v>
      </c>
      <c r="CG43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43" s="332">
        <f>IF(Tabela24[Separador]="Sinalização horizontal",'HCM2000'!$C$590,'HCM2000'!$C$591)</f>
        <v>2.6</v>
      </c>
      <c r="CI43" s="332" t="e">
        <f>MIN((2/3)*Tabela24[[#This Row],[acessos/km]],16)</f>
        <v>#VALUE!</v>
      </c>
      <c r="CJ43" s="332" t="e">
        <f>IF(Tabela24[fLC]="Pista simples","-",Tabela24[BFFS]-Tabela24[fLW]-Tabela24[fLC]-Tabela24[fM]-Tabela24[fA2])</f>
        <v>#VALUE!</v>
      </c>
      <c r="CK43" s="332">
        <f>IF(Tabela24[plano/ondulado]="Montanhoso",Tabela24[Para PT&lt;],VLOOKUP(Tabela24[plano/ondulado],'HCM2000'!$B$606:$C$608,2,FALSE))</f>
        <v>1.5</v>
      </c>
      <c r="CL43" s="332">
        <f>IF(Tabela24[[#This Row],[plano/ondulado]]="Montanhoso",Tabela24[[#This Row],[Para PT&lt;]],VLOOKUP(Tabela24[[#This Row],[plano/ondulado]],'HCM2000'!$E$606:$F$608,2,FALSE))</f>
        <v>1.2</v>
      </c>
      <c r="CM43" s="433" t="e">
        <f>1/(1+(Tabela24[Pt]*(Tabela24[Et2]-1))+(Tabela24[PRv]*(Tabela24[Er2]-1)))</f>
        <v>#VALUE!</v>
      </c>
      <c r="CN43" s="329">
        <f>K43+IF(Tabela24[[#This Row],[Num. Faixas Marg.]]="-",0,Tabela24[[#This Row],[Num. Faixas Marg.]])</f>
        <v>4.5999999999999996</v>
      </c>
      <c r="CO43" s="331" t="e">
        <f>Tabela24[[#This Row],[Vzão]]/(Tabela24[[#This Row],[PHF]]*Tabela24[[#This Row],[N]]*Tabela24[[#This Row],[fHV]])</f>
        <v>#VALUE!</v>
      </c>
      <c r="CP43" s="332" t="e">
        <f>IF(Tabela24[fLC]="Pista simples","-",Tabela24[vp3]/Tabela24[S])</f>
        <v>#VALUE!</v>
      </c>
      <c r="CQ43" s="332" t="e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#VALUE!</v>
      </c>
      <c r="CR43" s="329" t="e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#VALUE!</v>
      </c>
      <c r="CS43" s="308" t="e">
        <f>IF(Tabela24[LOS_vp3]="F","F",VLOOKUP(Tabela24[LOS_vp3],'HCM2000'!$R$655:$S$659,2))</f>
        <v>#VALUE!</v>
      </c>
      <c r="CT43" s="329" t="e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#VALUE!</v>
      </c>
      <c r="CU43" s="425" t="e">
        <f>IF(Tabela24[[#This Row],[LOS_vp3]]="F","F",IF(Tabela24[[#This Row],[fLC]]="Pista simples","-",VLOOKUP(Tabela24[[#This Row],[LOS_D3]],'HCM2000'!$R$655:$S$659,2)))</f>
        <v>#VALUE!</v>
      </c>
      <c r="CV43" s="280" t="e">
        <f>IF(OR(Tabela24[[#This Row],[LOS_vp3]]="F",Tabela24[[#This Row],[LOS_D3]]="F"),"F",IF(Tabela24[[#This Row],[Pista]]="Pista Simples","-",VLOOKUP(MINA(Tabela24[LOS_vp],Tabela24[LOS_D]),'HCM2000'!$R$655:$S$659,2)))</f>
        <v>#VALUE!</v>
      </c>
      <c r="CW43" s="381"/>
      <c r="CX43" s="381"/>
      <c r="CY43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43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43" s="22" t="e">
        <f>ABS(INDEX('HCM2000'!$E$611:$M$611,1,MATCH(Tabela24[Pt]*100,'HCM2000'!$E$611:$M$611,1))-Tabela24[Pt]*100)</f>
        <v>#VALUE!</v>
      </c>
      <c r="DB43" s="22" t="e">
        <f>INDEX('HCM2000'!$E$611:$M$611,1,MATCH(Tabela24[[#This Row],[Pt]]*100,'HCM2000'!$E$611:$M$611,1)+1)-Tabela24[[#This Row],[Pt]]*100</f>
        <v>#VALUE!</v>
      </c>
      <c r="DC43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43" s="440"/>
      <c r="DE43" s="423" t="e">
        <f>1/(1+(Tabela24[Pt]*(Tabela24[ETsu]-1))+(Tabela24[PRv]*(Tabela24[ERsu]-1)))</f>
        <v>#VALUE!</v>
      </c>
      <c r="DF43" s="438" t="e">
        <f>Tabela24[Vzão]/(Tabela24[PHF]*Tabela24[N]*Tabela24[fHVsu])</f>
        <v>#VALUE!</v>
      </c>
      <c r="DG43" s="332" t="e">
        <f>IF(Tabela24[fLC]="Pista simples","-",Tabela24[vpsu]/Tabela24[S])</f>
        <v>#VALUE!</v>
      </c>
      <c r="DH43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#VALUE!</v>
      </c>
      <c r="DI43" s="426" t="e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#VALUE!</v>
      </c>
      <c r="DJ43" s="425" t="e">
        <f>IF(Tabela24[[#This Row],[LOS_vp3]]="F","F",VLOOKUP(Tabela24[[#This Row],[LOS_vp3]],'HCM2000'!$R$655:$S$659,2))</f>
        <v>#VALUE!</v>
      </c>
      <c r="DK43" s="426" t="e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#VALUE!</v>
      </c>
      <c r="DL43" s="425" t="e">
        <f>IF(Tabela24[[#This Row],[LOS_vp3]]="F","F",IF(Tabela24[[#This Row],[fLC]]="Pista simples","-",VLOOKUP(Tabela24[[#This Row],[LOS_D3]],'HCM2000'!$R$655:$S$659,2)))</f>
        <v>#VALUE!</v>
      </c>
      <c r="DM43" s="416" t="e">
        <f>IF(OR(Tabela24[[#This Row],[LOS_vp3]]="F",Tabela24[[#This Row],[LOS_D3]]="F"),"F",IF(Tabela24[[#This Row],[Pista]]="Pista Simples","-",VLOOKUP(MINA(Tabela24[LOS_vp3],Tabela24[LOS_D3]),'HCM2000'!$R$655:$S$659,2)))</f>
        <v>#VALUE!</v>
      </c>
      <c r="DN43" s="416"/>
      <c r="DO43" s="22" t="e">
        <f>Tabela24[[#This Row],[ATS]]</f>
        <v>#VALUE!</v>
      </c>
      <c r="DP43" s="416" t="s">
        <v>73</v>
      </c>
      <c r="DQ43" s="22" t="e">
        <f t="shared" si="11"/>
        <v>#VALUE!</v>
      </c>
      <c r="DR43" s="22" t="e">
        <f>Tabela24[[#This Row],[PTSF]]</f>
        <v>#VALUE!</v>
      </c>
      <c r="DS43" s="416" t="s">
        <v>73</v>
      </c>
      <c r="DT43" s="22" t="e">
        <f t="shared" si="12"/>
        <v>#VALUE!</v>
      </c>
      <c r="DU43" s="22"/>
      <c r="DV43" s="22" t="e">
        <v>#VALUE!</v>
      </c>
      <c r="DW43" s="416" t="s">
        <v>73</v>
      </c>
      <c r="DX43" s="22" t="e">
        <v>#VALUE!</v>
      </c>
      <c r="DY43" s="22" t="e">
        <v>#VALUE!</v>
      </c>
      <c r="DZ43" s="416" t="s">
        <v>73</v>
      </c>
      <c r="EA43" s="22" t="e">
        <v>#VALUE!</v>
      </c>
      <c r="EB43" s="416"/>
      <c r="EC43" s="416"/>
      <c r="ED43" s="416"/>
      <c r="EE43" s="416"/>
      <c r="EF43" s="416"/>
      <c r="EG43" s="416"/>
      <c r="EH43" s="416"/>
      <c r="EI43" s="416"/>
      <c r="EJ43" s="416"/>
      <c r="EK43" s="416"/>
      <c r="EL43" s="416"/>
      <c r="EM43" s="416"/>
      <c r="EN43" s="416"/>
      <c r="EO43" s="416"/>
      <c r="EP43" s="416"/>
      <c r="EQ43" s="416"/>
      <c r="ER43" s="416"/>
      <c r="ES43" s="416"/>
      <c r="ET43" s="416"/>
      <c r="EU43" s="416"/>
      <c r="EV43" s="416"/>
      <c r="EW43" s="416"/>
      <c r="EX43" s="416"/>
      <c r="EY43" s="416"/>
      <c r="EZ43" s="416"/>
      <c r="FA43" s="416"/>
      <c r="FB43" s="416"/>
      <c r="FC43" s="416"/>
      <c r="FD43" s="416"/>
      <c r="FE43" s="416"/>
      <c r="FF43" s="416"/>
      <c r="FG43" s="416"/>
      <c r="FH43" s="416"/>
      <c r="FI43" s="416"/>
      <c r="FJ43" s="416"/>
      <c r="FK43" s="416"/>
      <c r="FL43" s="416"/>
      <c r="FM43" s="416"/>
      <c r="FR43" s="3"/>
      <c r="FS43" s="3"/>
      <c r="FV43" s="58"/>
      <c r="FW43" s="58"/>
    </row>
    <row r="44" spans="2:179">
      <c r="B44" s="386">
        <v>31</v>
      </c>
      <c r="C44" s="394"/>
      <c r="D44" s="395"/>
      <c r="E44" s="385">
        <v>24201</v>
      </c>
      <c r="F44" s="385">
        <v>24501</v>
      </c>
      <c r="G44" s="390">
        <v>300</v>
      </c>
      <c r="H44" s="386" t="s">
        <v>263</v>
      </c>
      <c r="I44" s="386" t="s">
        <v>379</v>
      </c>
      <c r="J44" s="390">
        <v>2</v>
      </c>
      <c r="K44" s="386">
        <v>4.5999999999999996</v>
      </c>
      <c r="L44" s="386" t="s">
        <v>143</v>
      </c>
      <c r="M44" s="386">
        <v>4.2</v>
      </c>
      <c r="N44" s="386">
        <v>1</v>
      </c>
      <c r="O44" s="396">
        <v>1</v>
      </c>
      <c r="P44" s="386" t="s">
        <v>366</v>
      </c>
      <c r="Q44" s="397" t="s">
        <v>144</v>
      </c>
      <c r="R44" s="419" t="s">
        <v>73</v>
      </c>
      <c r="S44" s="310">
        <v>29</v>
      </c>
      <c r="T44" s="420"/>
      <c r="U44" s="279">
        <v>24</v>
      </c>
      <c r="V44" s="323">
        <v>6473.9966140621727</v>
      </c>
      <c r="W44" s="323">
        <v>2824.5698392986178</v>
      </c>
      <c r="X44" s="420"/>
      <c r="Y44" s="398">
        <f t="shared" si="0"/>
        <v>1</v>
      </c>
      <c r="Z44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44" s="182" t="s">
        <v>644</v>
      </c>
      <c r="AB44" s="391" t="s">
        <v>654</v>
      </c>
      <c r="AC44" s="31">
        <v>3.5</v>
      </c>
      <c r="AD44" s="31">
        <v>2.5</v>
      </c>
      <c r="AE44" s="421"/>
      <c r="AF44" s="421"/>
      <c r="AG44" s="421">
        <v>0</v>
      </c>
      <c r="AH44" s="441">
        <v>0.5</v>
      </c>
      <c r="AI44" s="25">
        <v>0.03</v>
      </c>
      <c r="AJ44" s="435">
        <v>8.7999999999999995E-2</v>
      </c>
      <c r="AK44" s="330">
        <v>115</v>
      </c>
      <c r="AL44" s="263">
        <v>0.55000000000000004</v>
      </c>
      <c r="AM44" s="414">
        <v>63.250000000000007</v>
      </c>
      <c r="AN44" s="417">
        <v>2</v>
      </c>
      <c r="AO44" s="467" t="s">
        <v>73</v>
      </c>
      <c r="AP44" s="439">
        <v>88</v>
      </c>
      <c r="AQ44" s="442">
        <v>0.45</v>
      </c>
      <c r="AR44" s="422">
        <v>0.88</v>
      </c>
      <c r="AS44" s="316"/>
      <c r="AT44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44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44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44" s="23">
        <f>1/(1+(Tabela24[[#This Row],[Pt]])*(Tabela24[[#This Row],[Et]]-1)+(Tabela24[[#This Row],[PRv]])*(Tabela24[[#This Row],[Er]]-1))</f>
        <v>0.7407407407407407</v>
      </c>
      <c r="AX44" s="423">
        <f>Tabela24[veic/h]/Tabela24[PHF]</f>
        <v>130.68181818181819</v>
      </c>
      <c r="AY44" s="423">
        <v>176.42045454545456</v>
      </c>
      <c r="AZ44" s="21">
        <f>Tabela24[veic/h]/(Tabela24[PHF]*Tabela24[fg ats]*Tabela24[fhv ats])</f>
        <v>176.42045454545456</v>
      </c>
      <c r="BA44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44" s="322" t="str">
        <f>IF(AND(Tabela24[[#This Row],[vp1]]*Tabela24[[#This Row],[distrib. direc.]]&lt;1700,Tabela24[[#This Row],[vp1]]&lt;3200),"OK!","FAIL")</f>
        <v>OK!</v>
      </c>
      <c r="BC44" s="23">
        <f>INDEX('HCM2000'!$L$68:$AF$83,MATCH(Tabela24[[#This Row],[faixa (m)]],'HCM2000'!$K$68:$K$83),MATCH(Tabela24[[#This Row],[acost (m)]],'HCM2000'!$L$67:$AF$67))</f>
        <v>0.7</v>
      </c>
      <c r="BD44" s="23">
        <f>MIN(16,(2/3)*Tabela24[[#This Row],[acessos/km]])</f>
        <v>1.3333333333333333</v>
      </c>
      <c r="BE44" s="22">
        <f>Tabela24[BFFS]-Tabela24[fLS]-Tabela24[fA]</f>
        <v>85.966666666666669</v>
      </c>
      <c r="BF44" s="23" t="e">
        <v>#REF!</v>
      </c>
      <c r="BG44" s="463">
        <f>IFERROR(Tabela24[[#This Row],[vp1]],0)</f>
        <v>176.42045454545456</v>
      </c>
      <c r="BH44" s="463">
        <f>IFERROR(Tabela24[[#This Row],[% zonas s/ultra]],0)</f>
        <v>0.45</v>
      </c>
      <c r="BI44" s="23" t="str">
        <f t="shared" si="5"/>
        <v>FNP</v>
      </c>
      <c r="BJ44" s="23">
        <v>2.3596235795454548</v>
      </c>
      <c r="BK44" s="43">
        <f>Tabela24[FFS]-0.0125*MAX(Tabela24[[#This Row],[vp1]],Tabela24[[#This Row],[vp1'']])-Tabela24[fnp'']</f>
        <v>81.401787405303025</v>
      </c>
      <c r="BL44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44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44" s="23">
        <v>1</v>
      </c>
      <c r="BO44" s="23">
        <f>1/(1+Tabela24[[#This Row],[Pt]]*(Tabela24[[#This Row],[Et time]]-1)+Tabela24[[#This Row],[PRv]]*(Tabela24[[#This Row],[Er time]]-1))</f>
        <v>0.95238095238095233</v>
      </c>
      <c r="BP44" s="23">
        <f>Tabela24[veic/h]/Tabela24[PHF]</f>
        <v>130.68181818181819</v>
      </c>
      <c r="BQ44" s="23">
        <v>137.21590909090909</v>
      </c>
      <c r="BR44" s="438">
        <f>Tabela24[veic/h]/(Tabela24[PHF]*Tabela24[fg time]*Tabela24[fhv follow])</f>
        <v>137.21590909090909</v>
      </c>
      <c r="BS44" s="438" t="str">
        <f>IF(AND(Tabela24[[#This Row],[vp2]]*Tabela24[[#This Row],[distrib. direc.]]&lt;1700,Tabela24[[#This Row],[vp2]]&lt;3200),"OK!","FAIL")</f>
        <v>OK!</v>
      </c>
      <c r="BT44" s="23">
        <f>100*(1-EXP(-0.000879*MAX(Tabela24[[#This Row],[vp2]],Tabela24[[#This Row],[vp2'']])))</f>
        <v>11.362288752913607</v>
      </c>
      <c r="BU44" s="304" t="e">
        <v>#REF!</v>
      </c>
      <c r="BV44" s="304">
        <f>IF(TYPE(Tabela24[distrib. direc.])&lt;&gt;1,0,Tabela24[distrib. direc.])</f>
        <v>0.55000000000000004</v>
      </c>
      <c r="BW44" s="304">
        <f>IF(TYPE(Tabela24[vp2])&lt;&gt;1,0,Tabela24[vp2])</f>
        <v>137.21590909090909</v>
      </c>
      <c r="BX44" s="304">
        <f>IF(TYPE(Tabela24[% zonas s/ultra])&lt;&gt;1,0,Tabela24[% zonas s/ultra])</f>
        <v>0.45</v>
      </c>
      <c r="BY44" s="304" t="str">
        <f t="shared" si="6"/>
        <v>FDNP</v>
      </c>
      <c r="BZ44" s="31">
        <v>18.52500000000008</v>
      </c>
      <c r="CA44" s="305">
        <f>Tabela24[BPTSF]+Tabela24[fd/np'']</f>
        <v>29.887288752913687</v>
      </c>
      <c r="CB44" s="424">
        <f>Tabela24[vp1]/3200</f>
        <v>5.5131392045454551E-2</v>
      </c>
      <c r="CC44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B</v>
      </c>
      <c r="CD44" s="332">
        <f>VLOOKUP(Tabela24[faixa (m)],'HCM2000'!$B$541:$C$547,2,TRUE)</f>
        <v>1</v>
      </c>
      <c r="CE44" s="332">
        <f>IF(Tabela24[acost (m)]&gt;0,1.8,1.2)</f>
        <v>1.8</v>
      </c>
      <c r="CF44" s="332">
        <f>IF(Tabela24[Separador]=$CB$6,$CD$6,IF(Tabela24[Separador]=$CB$7,$CD$7,$CD$8))</f>
        <v>0</v>
      </c>
      <c r="CG44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44" s="332">
        <f>IF(Tabela24[Separador]="Sinalização horizontal",'HCM2000'!$C$590,'HCM2000'!$C$591)</f>
        <v>2.6</v>
      </c>
      <c r="CI44" s="332">
        <f>MIN((2/3)*Tabela24[[#This Row],[acessos/km]],16)</f>
        <v>1.3333333333333333</v>
      </c>
      <c r="CJ44" s="332">
        <f>IF(Tabela24[fLC]="Pista simples","-",Tabela24[BFFS]-Tabela24[fLW]-Tabela24[fLC]-Tabela24[fM]-Tabela24[fA2])</f>
        <v>80.966666666666683</v>
      </c>
      <c r="CK44" s="332">
        <f>IF(Tabela24[plano/ondulado]="Montanhoso",Tabela24[Para PT&lt;],VLOOKUP(Tabela24[plano/ondulado],'HCM2000'!$B$606:$C$608,2,FALSE))</f>
        <v>1.5</v>
      </c>
      <c r="CL44" s="332">
        <f>IF(Tabela24[[#This Row],[plano/ondulado]]="Montanhoso",Tabela24[[#This Row],[Para PT&lt;]],VLOOKUP(Tabela24[[#This Row],[plano/ondulado]],'HCM2000'!$E$606:$F$608,2,FALSE))</f>
        <v>1.2</v>
      </c>
      <c r="CM44" s="433">
        <f>1/(1+(Tabela24[Pt]*(Tabela24[Et2]-1))+(Tabela24[PRv]*(Tabela24[Er2]-1)))</f>
        <v>0.79617834394904463</v>
      </c>
      <c r="CN44" s="329">
        <f>K44+IF(Tabela24[[#This Row],[Num. Faixas Marg.]]="-",0,Tabela24[[#This Row],[Num. Faixas Marg.]])</f>
        <v>4.5999999999999996</v>
      </c>
      <c r="CO44" s="331">
        <f>Tabela24[[#This Row],[Vzão]]/(Tabela24[[#This Row],[PHF]]*Tabela24[[#This Row],[N]]*Tabela24[[#This Row],[fHV]])</f>
        <v>19.625</v>
      </c>
      <c r="CP44" s="332">
        <f>IF(Tabela24[fLC]="Pista simples","-",Tabela24[vp3]/Tabela24[S])</f>
        <v>0.24238369699464796</v>
      </c>
      <c r="CQ44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44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44" s="308" t="str">
        <f>IF(Tabela24[LOS_vp3]="F","F",VLOOKUP(Tabela24[LOS_vp3],'HCM2000'!$R$655:$S$659,2))</f>
        <v>F</v>
      </c>
      <c r="CT44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44" s="425" t="str">
        <f>IF(Tabela24[[#This Row],[LOS_vp3]]="F","F",IF(Tabela24[[#This Row],[fLC]]="Pista simples","-",VLOOKUP(Tabela24[[#This Row],[LOS_D3]],'HCM2000'!$R$655:$S$659,2)))</f>
        <v>F</v>
      </c>
      <c r="CV44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44" s="381"/>
      <c r="CX44" s="381"/>
      <c r="CY44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44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44" s="22">
        <f>ABS(INDEX('HCM2000'!$E$611:$M$611,1,MATCH(Tabela24[Pt]*100,'HCM2000'!$E$611:$M$611,1))-Tabela24[Pt]*100)</f>
        <v>25</v>
      </c>
      <c r="DB44" s="22" t="e">
        <f>INDEX('HCM2000'!$E$611:$M$611,1,MATCH(Tabela24[[#This Row],[Pt]]*100,'HCM2000'!$E$611:$M$611,1)+1)-Tabela24[[#This Row],[Pt]]*100</f>
        <v>#REF!</v>
      </c>
      <c r="DC44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44" s="440"/>
      <c r="DE44" s="423" t="e">
        <f>1/(1+(Tabela24[Pt]*(Tabela24[ETsu]-1))+(Tabela24[PRv]*(Tabela24[ERsu]-1)))</f>
        <v>#N/A</v>
      </c>
      <c r="DF44" s="438" t="e">
        <f>Tabela24[Vzão]/(Tabela24[PHF]*Tabela24[N]*Tabela24[fHVsu])</f>
        <v>#N/A</v>
      </c>
      <c r="DG44" s="332" t="e">
        <f>IF(Tabela24[fLC]="Pista simples","-",Tabela24[vpsu]/Tabela24[S])</f>
        <v>#N/A</v>
      </c>
      <c r="DH44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44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44" s="425" t="str">
        <f>IF(Tabela24[[#This Row],[LOS_vp3]]="F","F",VLOOKUP(Tabela24[[#This Row],[LOS_vp3]],'HCM2000'!$R$655:$S$659,2))</f>
        <v>F</v>
      </c>
      <c r="DK44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44" s="425" t="str">
        <f>IF(Tabela24[[#This Row],[LOS_vp3]]="F","F",IF(Tabela24[[#This Row],[fLC]]="Pista simples","-",VLOOKUP(Tabela24[[#This Row],[LOS_D3]],'HCM2000'!$R$655:$S$659,2)))</f>
        <v>F</v>
      </c>
      <c r="DM44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44" s="416"/>
      <c r="DO44" s="22">
        <f>Tabela24[[#This Row],[ATS]]</f>
        <v>81.401787405303025</v>
      </c>
      <c r="DP44" s="416">
        <v>81.400000000000006</v>
      </c>
      <c r="DQ44" s="22">
        <f t="shared" si="11"/>
        <v>1.7874053030197956E-3</v>
      </c>
      <c r="DR44" s="22">
        <f>Tabela24[[#This Row],[PTSF]]</f>
        <v>29.887288752913687</v>
      </c>
      <c r="DS44" s="416">
        <v>28.5</v>
      </c>
      <c r="DT44" s="22">
        <f t="shared" si="12"/>
        <v>1.3872887529136868</v>
      </c>
      <c r="DU44" s="22"/>
      <c r="DV44" s="22">
        <v>81.401787405303025</v>
      </c>
      <c r="DW44" s="416">
        <v>81.400000000000006</v>
      </c>
      <c r="DX44" s="22">
        <v>1.7874053030197956E-3</v>
      </c>
      <c r="DY44" s="22">
        <v>29.887288752913687</v>
      </c>
      <c r="DZ44" s="416">
        <v>28.5</v>
      </c>
      <c r="EA44" s="22">
        <v>1.3872887529136868</v>
      </c>
      <c r="EB44" s="416"/>
      <c r="EC44" s="416"/>
      <c r="ED44" s="416"/>
      <c r="EE44" s="416"/>
      <c r="EF44" s="416"/>
      <c r="EG44" s="416"/>
      <c r="EH44" s="416"/>
      <c r="EI44" s="416"/>
      <c r="EJ44" s="416"/>
      <c r="EK44" s="416"/>
      <c r="EL44" s="416"/>
      <c r="EM44" s="416"/>
      <c r="EN44" s="416"/>
      <c r="EO44" s="416"/>
      <c r="EP44" s="416"/>
      <c r="EQ44" s="416"/>
      <c r="ER44" s="416"/>
      <c r="ES44" s="416"/>
      <c r="ET44" s="416"/>
      <c r="EU44" s="416"/>
      <c r="EV44" s="416"/>
      <c r="EW44" s="416"/>
      <c r="EX44" s="416"/>
      <c r="EY44" s="416"/>
      <c r="EZ44" s="416"/>
      <c r="FA44" s="416"/>
      <c r="FB44" s="416"/>
      <c r="FC44" s="416"/>
      <c r="FD44" s="416"/>
      <c r="FE44" s="416"/>
      <c r="FF44" s="416"/>
      <c r="FG44" s="416"/>
      <c r="FH44" s="416"/>
      <c r="FI44" s="416"/>
      <c r="FJ44" s="416"/>
      <c r="FK44" s="416"/>
      <c r="FL44" s="416"/>
      <c r="FM44" s="416"/>
      <c r="FR44" s="3"/>
      <c r="FS44" s="3"/>
      <c r="FV44" s="58"/>
      <c r="FW44" s="58"/>
    </row>
    <row r="45" spans="2:179">
      <c r="B45" s="386">
        <v>32</v>
      </c>
      <c r="C45" s="394"/>
      <c r="D45" s="395"/>
      <c r="E45" s="385">
        <v>24201</v>
      </c>
      <c r="F45" s="385">
        <v>24501</v>
      </c>
      <c r="G45" s="390">
        <v>300</v>
      </c>
      <c r="H45" s="386" t="s">
        <v>263</v>
      </c>
      <c r="I45" s="386" t="s">
        <v>379</v>
      </c>
      <c r="J45" s="390">
        <v>2</v>
      </c>
      <c r="K45" s="386">
        <v>4.5999999999999996</v>
      </c>
      <c r="L45" s="386" t="s">
        <v>143</v>
      </c>
      <c r="M45" s="386">
        <v>4.2</v>
      </c>
      <c r="N45" s="386">
        <v>1</v>
      </c>
      <c r="O45" s="396">
        <v>1</v>
      </c>
      <c r="P45" s="386" t="s">
        <v>366</v>
      </c>
      <c r="Q45" s="397" t="s">
        <v>144</v>
      </c>
      <c r="R45" s="419" t="s">
        <v>73</v>
      </c>
      <c r="S45" s="310">
        <v>30</v>
      </c>
      <c r="T45" s="420"/>
      <c r="U45" s="279">
        <v>24</v>
      </c>
      <c r="V45" s="323">
        <v>6473.9966140621727</v>
      </c>
      <c r="W45" s="323">
        <v>2824.5698392986178</v>
      </c>
      <c r="X45" s="420"/>
      <c r="Y45" s="398">
        <f t="shared" si="0"/>
        <v>1</v>
      </c>
      <c r="Z45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45" s="182" t="s">
        <v>644</v>
      </c>
      <c r="AB45" s="391" t="s">
        <v>654</v>
      </c>
      <c r="AC45" s="31">
        <v>3.5</v>
      </c>
      <c r="AD45" s="31">
        <v>2.5</v>
      </c>
      <c r="AE45" s="421"/>
      <c r="AF45" s="421"/>
      <c r="AG45" s="421">
        <v>0</v>
      </c>
      <c r="AH45" s="441">
        <v>0.5</v>
      </c>
      <c r="AI45" s="25">
        <v>0.03</v>
      </c>
      <c r="AJ45" s="435">
        <v>8.7999999999999995E-2</v>
      </c>
      <c r="AK45" s="330">
        <v>115</v>
      </c>
      <c r="AL45" s="263">
        <v>0.55000000000000004</v>
      </c>
      <c r="AM45" s="414">
        <v>63.250000000000007</v>
      </c>
      <c r="AN45" s="417">
        <v>2</v>
      </c>
      <c r="AO45" s="467" t="s">
        <v>73</v>
      </c>
      <c r="AP45" s="439">
        <v>88</v>
      </c>
      <c r="AQ45" s="442">
        <v>0.49</v>
      </c>
      <c r="AR45" s="422">
        <v>0.88</v>
      </c>
      <c r="AS45" s="316"/>
      <c r="AT45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45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45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45" s="23">
        <f>1/(1+(Tabela24[[#This Row],[Pt]])*(Tabela24[[#This Row],[Et]]-1)+(Tabela24[[#This Row],[PRv]])*(Tabela24[[#This Row],[Er]]-1))</f>
        <v>0.7407407407407407</v>
      </c>
      <c r="AX45" s="423">
        <f>Tabela24[veic/h]/Tabela24[PHF]</f>
        <v>130.68181818181819</v>
      </c>
      <c r="AY45" s="423">
        <v>176.42045454545456</v>
      </c>
      <c r="AZ45" s="21">
        <f>Tabela24[veic/h]/(Tabela24[PHF]*Tabela24[fg ats]*Tabela24[fhv ats])</f>
        <v>176.42045454545456</v>
      </c>
      <c r="BA45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45" s="322" t="str">
        <f>IF(AND(Tabela24[[#This Row],[vp1]]*Tabela24[[#This Row],[distrib. direc.]]&lt;1700,Tabela24[[#This Row],[vp1]]&lt;3200),"OK!","FAIL")</f>
        <v>OK!</v>
      </c>
      <c r="BC45" s="23">
        <f>INDEX('HCM2000'!$L$68:$AF$83,MATCH(Tabela24[[#This Row],[faixa (m)]],'HCM2000'!$K$68:$K$83),MATCH(Tabela24[[#This Row],[acost (m)]],'HCM2000'!$L$67:$AF$67))</f>
        <v>0.7</v>
      </c>
      <c r="BD45" s="23">
        <f>MIN(16,(2/3)*Tabela24[[#This Row],[acessos/km]])</f>
        <v>1.3333333333333333</v>
      </c>
      <c r="BE45" s="22">
        <f>Tabela24[BFFS]-Tabela24[fLS]-Tabela24[fA]</f>
        <v>85.966666666666669</v>
      </c>
      <c r="BF45" s="23" t="e">
        <v>#REF!</v>
      </c>
      <c r="BG45" s="463">
        <f>IFERROR(Tabela24[[#This Row],[vp1]],0)</f>
        <v>176.42045454545456</v>
      </c>
      <c r="BH45" s="463">
        <f>IFERROR(Tabela24[[#This Row],[% zonas s/ultra]],0)</f>
        <v>0.49</v>
      </c>
      <c r="BI45" s="23" t="str">
        <f t="shared" si="5"/>
        <v>FNP</v>
      </c>
      <c r="BJ45" s="23">
        <v>2.6242542613636366</v>
      </c>
      <c r="BK45" s="43">
        <f>Tabela24[FFS]-0.0125*MAX(Tabela24[[#This Row],[vp1]],Tabela24[[#This Row],[vp1'']])-Tabela24[fnp'']</f>
        <v>81.13715672348485</v>
      </c>
      <c r="BL45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45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45" s="23">
        <v>1</v>
      </c>
      <c r="BO45" s="23">
        <f>1/(1+Tabela24[[#This Row],[Pt]]*(Tabela24[[#This Row],[Et time]]-1)+Tabela24[[#This Row],[PRv]]*(Tabela24[[#This Row],[Er time]]-1))</f>
        <v>0.95238095238095233</v>
      </c>
      <c r="BP45" s="23">
        <f>Tabela24[veic/h]/Tabela24[PHF]</f>
        <v>130.68181818181819</v>
      </c>
      <c r="BQ45" s="23">
        <v>137.21590909090909</v>
      </c>
      <c r="BR45" s="438">
        <f>Tabela24[veic/h]/(Tabela24[PHF]*Tabela24[fg time]*Tabela24[fhv follow])</f>
        <v>137.21590909090909</v>
      </c>
      <c r="BS45" s="438" t="str">
        <f>IF(AND(Tabela24[[#This Row],[vp2]]*Tabela24[[#This Row],[distrib. direc.]]&lt;1700,Tabela24[[#This Row],[vp2]]&lt;3200),"OK!","FAIL")</f>
        <v>OK!</v>
      </c>
      <c r="BT45" s="23">
        <f>100*(1-EXP(-0.000879*MAX(Tabela24[[#This Row],[vp2]],Tabela24[[#This Row],[vp2'']])))</f>
        <v>11.362288752913607</v>
      </c>
      <c r="BU45" s="304" t="e">
        <v>#REF!</v>
      </c>
      <c r="BV45" s="304">
        <f>IF(TYPE(Tabela24[distrib. direc.])&lt;&gt;1,0,Tabela24[distrib. direc.])</f>
        <v>0.55000000000000004</v>
      </c>
      <c r="BW45" s="304">
        <f>IF(TYPE(Tabela24[vp2])&lt;&gt;1,0,Tabela24[vp2])</f>
        <v>137.21590909090909</v>
      </c>
      <c r="BX45" s="304">
        <f>IF(TYPE(Tabela24[% zonas s/ultra])&lt;&gt;1,0,Tabela24[% zonas s/ultra])</f>
        <v>0.49</v>
      </c>
      <c r="BY45" s="304" t="str">
        <f t="shared" si="6"/>
        <v>FDNP</v>
      </c>
      <c r="BZ45" s="31">
        <v>19.585000000000079</v>
      </c>
      <c r="CA45" s="305">
        <f>Tabela24[BPTSF]+Tabela24[fd/np'']</f>
        <v>30.947288752913686</v>
      </c>
      <c r="CB45" s="424">
        <f>Tabela24[vp1]/3200</f>
        <v>5.5131392045454551E-2</v>
      </c>
      <c r="CC45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B</v>
      </c>
      <c r="CD45" s="332">
        <f>VLOOKUP(Tabela24[faixa (m)],'HCM2000'!$B$541:$C$547,2,TRUE)</f>
        <v>1</v>
      </c>
      <c r="CE45" s="332">
        <f>IF(Tabela24[acost (m)]&gt;0,1.8,1.2)</f>
        <v>1.8</v>
      </c>
      <c r="CF45" s="332">
        <f>IF(Tabela24[Separador]=$CB$6,$CD$6,IF(Tabela24[Separador]=$CB$7,$CD$7,$CD$8))</f>
        <v>0</v>
      </c>
      <c r="CG45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45" s="332">
        <f>IF(Tabela24[Separador]="Sinalização horizontal",'HCM2000'!$C$590,'HCM2000'!$C$591)</f>
        <v>2.6</v>
      </c>
      <c r="CI45" s="332">
        <f>MIN((2/3)*Tabela24[[#This Row],[acessos/km]],16)</f>
        <v>1.3333333333333333</v>
      </c>
      <c r="CJ45" s="332">
        <f>IF(Tabela24[fLC]="Pista simples","-",Tabela24[BFFS]-Tabela24[fLW]-Tabela24[fLC]-Tabela24[fM]-Tabela24[fA2])</f>
        <v>80.966666666666683</v>
      </c>
      <c r="CK45" s="332">
        <f>IF(Tabela24[plano/ondulado]="Montanhoso",Tabela24[Para PT&lt;],VLOOKUP(Tabela24[plano/ondulado],'HCM2000'!$B$606:$C$608,2,FALSE))</f>
        <v>1.5</v>
      </c>
      <c r="CL45" s="332">
        <f>IF(Tabela24[[#This Row],[plano/ondulado]]="Montanhoso",Tabela24[[#This Row],[Para PT&lt;]],VLOOKUP(Tabela24[[#This Row],[plano/ondulado]],'HCM2000'!$E$606:$F$608,2,FALSE))</f>
        <v>1.2</v>
      </c>
      <c r="CM45" s="433">
        <f>1/(1+(Tabela24[Pt]*(Tabela24[Et2]-1))+(Tabela24[PRv]*(Tabela24[Er2]-1)))</f>
        <v>0.79617834394904463</v>
      </c>
      <c r="CN45" s="329">
        <f>K45+IF(Tabela24[[#This Row],[Num. Faixas Marg.]]="-",0,Tabela24[[#This Row],[Num. Faixas Marg.]])</f>
        <v>4.5999999999999996</v>
      </c>
      <c r="CO45" s="331">
        <f>Tabela24[[#This Row],[Vzão]]/(Tabela24[[#This Row],[PHF]]*Tabela24[[#This Row],[N]]*Tabela24[[#This Row],[fHV]])</f>
        <v>19.625</v>
      </c>
      <c r="CP45" s="332">
        <f>IF(Tabela24[fLC]="Pista simples","-",Tabela24[vp3]/Tabela24[S])</f>
        <v>0.24238369699464796</v>
      </c>
      <c r="CQ45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45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45" s="308" t="str">
        <f>IF(Tabela24[LOS_vp3]="F","F",VLOOKUP(Tabela24[LOS_vp3],'HCM2000'!$R$655:$S$659,2))</f>
        <v>F</v>
      </c>
      <c r="CT45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45" s="425" t="str">
        <f>IF(Tabela24[[#This Row],[LOS_vp3]]="F","F",IF(Tabela24[[#This Row],[fLC]]="Pista simples","-",VLOOKUP(Tabela24[[#This Row],[LOS_D3]],'HCM2000'!$R$655:$S$659,2)))</f>
        <v>F</v>
      </c>
      <c r="CV45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45" s="381"/>
      <c r="CX45" s="381"/>
      <c r="CY45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45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45" s="22">
        <f>ABS(INDEX('HCM2000'!$E$611:$M$611,1,MATCH(Tabela24[Pt]*100,'HCM2000'!$E$611:$M$611,1))-Tabela24[Pt]*100)</f>
        <v>25</v>
      </c>
      <c r="DB45" s="22" t="e">
        <f>INDEX('HCM2000'!$E$611:$M$611,1,MATCH(Tabela24[[#This Row],[Pt]]*100,'HCM2000'!$E$611:$M$611,1)+1)-Tabela24[[#This Row],[Pt]]*100</f>
        <v>#REF!</v>
      </c>
      <c r="DC45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45" s="440"/>
      <c r="DE45" s="423" t="e">
        <f>1/(1+(Tabela24[Pt]*(Tabela24[ETsu]-1))+(Tabela24[PRv]*(Tabela24[ERsu]-1)))</f>
        <v>#N/A</v>
      </c>
      <c r="DF45" s="438" t="e">
        <f>Tabela24[Vzão]/(Tabela24[PHF]*Tabela24[N]*Tabela24[fHVsu])</f>
        <v>#N/A</v>
      </c>
      <c r="DG45" s="332" t="e">
        <f>IF(Tabela24[fLC]="Pista simples","-",Tabela24[vpsu]/Tabela24[S])</f>
        <v>#N/A</v>
      </c>
      <c r="DH45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45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45" s="425" t="str">
        <f>IF(Tabela24[[#This Row],[LOS_vp3]]="F","F",VLOOKUP(Tabela24[[#This Row],[LOS_vp3]],'HCM2000'!$R$655:$S$659,2))</f>
        <v>F</v>
      </c>
      <c r="DK45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45" s="425" t="str">
        <f>IF(Tabela24[[#This Row],[LOS_vp3]]="F","F",IF(Tabela24[[#This Row],[fLC]]="Pista simples","-",VLOOKUP(Tabela24[[#This Row],[LOS_D3]],'HCM2000'!$R$655:$S$659,2)))</f>
        <v>F</v>
      </c>
      <c r="DM45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45" s="416"/>
      <c r="DO45" s="22">
        <f>Tabela24[[#This Row],[ATS]]</f>
        <v>81.13715672348485</v>
      </c>
      <c r="DP45" s="416">
        <v>81.099999999999994</v>
      </c>
      <c r="DQ45" s="22">
        <f t="shared" si="11"/>
        <v>3.7156723484855547E-2</v>
      </c>
      <c r="DR45" s="22">
        <f>Tabela24[[#This Row],[PTSF]]</f>
        <v>30.947288752913686</v>
      </c>
      <c r="DS45" s="416">
        <v>28.5</v>
      </c>
      <c r="DT45" s="22">
        <f t="shared" si="12"/>
        <v>2.4472887529136855</v>
      </c>
      <c r="DU45" s="22"/>
      <c r="DV45" s="22">
        <v>81.13715672348485</v>
      </c>
      <c r="DW45" s="416">
        <v>81.099999999999994</v>
      </c>
      <c r="DX45" s="22">
        <v>3.7156723484855547E-2</v>
      </c>
      <c r="DY45" s="22">
        <v>30.947288752913686</v>
      </c>
      <c r="DZ45" s="416">
        <v>28.5</v>
      </c>
      <c r="EA45" s="22">
        <v>2.4472887529136855</v>
      </c>
      <c r="EB45" s="416"/>
      <c r="EC45" s="416"/>
      <c r="ED45" s="416"/>
      <c r="EE45" s="416"/>
      <c r="EF45" s="416"/>
      <c r="EG45" s="416"/>
      <c r="EH45" s="416"/>
      <c r="EI45" s="416"/>
      <c r="EJ45" s="416"/>
      <c r="EK45" s="416"/>
      <c r="EL45" s="416"/>
      <c r="EM45" s="416"/>
      <c r="EN45" s="416"/>
      <c r="EO45" s="416"/>
      <c r="EP45" s="416"/>
      <c r="EQ45" s="416"/>
      <c r="ER45" s="416"/>
      <c r="ES45" s="416"/>
      <c r="ET45" s="416"/>
      <c r="EU45" s="416"/>
      <c r="EV45" s="416"/>
      <c r="EW45" s="416"/>
      <c r="EX45" s="416"/>
      <c r="EY45" s="416"/>
      <c r="EZ45" s="416"/>
      <c r="FA45" s="416"/>
      <c r="FB45" s="416"/>
      <c r="FC45" s="416"/>
      <c r="FD45" s="416"/>
      <c r="FE45" s="416"/>
      <c r="FF45" s="416"/>
      <c r="FG45" s="416"/>
      <c r="FH45" s="416"/>
      <c r="FI45" s="416"/>
      <c r="FJ45" s="416"/>
      <c r="FK45" s="416"/>
      <c r="FL45" s="416"/>
      <c r="FM45" s="416"/>
      <c r="FR45" s="3"/>
      <c r="FS45" s="3"/>
      <c r="FV45" s="58"/>
      <c r="FW45" s="58"/>
    </row>
    <row r="46" spans="2:179">
      <c r="B46" s="386">
        <v>33</v>
      </c>
      <c r="C46" s="394"/>
      <c r="D46" s="395"/>
      <c r="E46" s="385">
        <v>24201</v>
      </c>
      <c r="F46" s="385">
        <v>24501</v>
      </c>
      <c r="G46" s="390">
        <v>300</v>
      </c>
      <c r="H46" s="386" t="s">
        <v>263</v>
      </c>
      <c r="I46" s="386" t="s">
        <v>379</v>
      </c>
      <c r="J46" s="390">
        <v>2</v>
      </c>
      <c r="K46" s="386">
        <v>4.5999999999999996</v>
      </c>
      <c r="L46" s="386" t="s">
        <v>143</v>
      </c>
      <c r="M46" s="386">
        <v>4.2</v>
      </c>
      <c r="N46" s="386">
        <v>1</v>
      </c>
      <c r="O46" s="396">
        <v>1</v>
      </c>
      <c r="P46" s="386" t="s">
        <v>366</v>
      </c>
      <c r="Q46" s="397" t="s">
        <v>144</v>
      </c>
      <c r="R46" s="419" t="s">
        <v>73</v>
      </c>
      <c r="S46" s="310">
        <v>31</v>
      </c>
      <c r="T46" s="420"/>
      <c r="U46" s="279">
        <v>24</v>
      </c>
      <c r="V46" s="323">
        <v>6473.9966140621727</v>
      </c>
      <c r="W46" s="323">
        <v>2824.5698392986178</v>
      </c>
      <c r="X46" s="420"/>
      <c r="Y46" s="398">
        <f t="shared" ref="Y46:Y77" si="15">IF(OR(H46="Dupla",H46="Pista Dupla"),4,1)</f>
        <v>1</v>
      </c>
      <c r="Z46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46" s="182" t="s">
        <v>644</v>
      </c>
      <c r="AB46" s="391" t="s">
        <v>654</v>
      </c>
      <c r="AC46" s="31">
        <v>3.5</v>
      </c>
      <c r="AD46" s="31">
        <v>2.5</v>
      </c>
      <c r="AE46" s="421"/>
      <c r="AF46" s="421"/>
      <c r="AG46" s="421">
        <v>0</v>
      </c>
      <c r="AH46" s="441">
        <v>0.34</v>
      </c>
      <c r="AI46" s="25">
        <v>0.03</v>
      </c>
      <c r="AJ46" s="435">
        <v>8.7999999999999995E-2</v>
      </c>
      <c r="AK46" s="330">
        <v>195</v>
      </c>
      <c r="AL46" s="263">
        <v>0.55000000000000004</v>
      </c>
      <c r="AM46" s="414">
        <v>107.25000000000001</v>
      </c>
      <c r="AN46" s="417">
        <v>2</v>
      </c>
      <c r="AO46" s="467" t="s">
        <v>73</v>
      </c>
      <c r="AP46" s="439">
        <v>88</v>
      </c>
      <c r="AQ46" s="442">
        <v>0.5</v>
      </c>
      <c r="AR46" s="422">
        <v>0.88</v>
      </c>
      <c r="AS46" s="316"/>
      <c r="AT46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46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46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46" s="23">
        <f>1/(1+(Tabela24[[#This Row],[Pt]])*(Tabela24[[#This Row],[Et]]-1)+(Tabela24[[#This Row],[PRv]])*(Tabela24[[#This Row],[Er]]-1))</f>
        <v>0.80775444264943463</v>
      </c>
      <c r="AX46" s="423">
        <f>Tabela24[veic/h]/Tabela24[PHF]</f>
        <v>221.59090909090909</v>
      </c>
      <c r="AY46" s="423">
        <v>274.32954545454544</v>
      </c>
      <c r="AZ46" s="21">
        <f>Tabela24[veic/h]/(Tabela24[PHF]*Tabela24[fg ats]*Tabela24[fhv ats])</f>
        <v>274.32954545454544</v>
      </c>
      <c r="BA46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46" s="322" t="str">
        <f>IF(AND(Tabela24[[#This Row],[vp1]]*Tabela24[[#This Row],[distrib. direc.]]&lt;1700,Tabela24[[#This Row],[vp1]]&lt;3200),"OK!","FAIL")</f>
        <v>OK!</v>
      </c>
      <c r="BC46" s="23">
        <f>INDEX('HCM2000'!$L$68:$AF$83,MATCH(Tabela24[[#This Row],[faixa (m)]],'HCM2000'!$K$68:$K$83),MATCH(Tabela24[[#This Row],[acost (m)]],'HCM2000'!$L$67:$AF$67))</f>
        <v>0.7</v>
      </c>
      <c r="BD46" s="23">
        <f>MIN(16,(2/3)*Tabela24[[#This Row],[acessos/km]])</f>
        <v>1.3333333333333333</v>
      </c>
      <c r="BE46" s="22">
        <f>Tabela24[BFFS]-Tabela24[fLS]-Tabela24[fA]</f>
        <v>85.966666666666669</v>
      </c>
      <c r="BF46" s="23" t="e">
        <v>#REF!</v>
      </c>
      <c r="BG46" s="463">
        <f>IFERROR(Tabela24[[#This Row],[vp1]],0)</f>
        <v>274.32954545454544</v>
      </c>
      <c r="BH46" s="463">
        <f>IFERROR(Tabela24[[#This Row],[% zonas s/ultra]],0)</f>
        <v>0.5</v>
      </c>
      <c r="BI46" s="23" t="str">
        <f t="shared" si="5"/>
        <v>FNP</v>
      </c>
      <c r="BJ46" s="23">
        <v>3.7747130681818164</v>
      </c>
      <c r="BK46" s="43">
        <f>Tabela24[FFS]-0.0125*MAX(Tabela24[[#This Row],[vp1]],Tabela24[[#This Row],[vp1'']])-Tabela24[fnp'']</f>
        <v>78.762834280303039</v>
      </c>
      <c r="BL46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46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46" s="23">
        <v>1</v>
      </c>
      <c r="BO46" s="23">
        <f>1/(1+Tabela24[[#This Row],[Pt]]*(Tabela24[[#This Row],[Et time]]-1)+Tabela24[[#This Row],[PRv]]*(Tabela24[[#This Row],[Er time]]-1))</f>
        <v>0.96711798839458407</v>
      </c>
      <c r="BP46" s="23">
        <f>Tabela24[veic/h]/Tabela24[PHF]</f>
        <v>221.59090909090909</v>
      </c>
      <c r="BQ46" s="23">
        <v>229.12500000000003</v>
      </c>
      <c r="BR46" s="438">
        <f>Tabela24[veic/h]/(Tabela24[PHF]*Tabela24[fg time]*Tabela24[fhv follow])</f>
        <v>229.12500000000003</v>
      </c>
      <c r="BS46" s="438" t="str">
        <f>IF(AND(Tabela24[[#This Row],[vp2]]*Tabela24[[#This Row],[distrib. direc.]]&lt;1700,Tabela24[[#This Row],[vp2]]&lt;3200),"OK!","FAIL")</f>
        <v>OK!</v>
      </c>
      <c r="BT46" s="23">
        <f>100*(1-EXP(-0.000879*MAX(Tabela24[[#This Row],[vp2]],Tabela24[[#This Row],[vp2'']])))</f>
        <v>18.241538338134365</v>
      </c>
      <c r="BU46" s="304" t="e">
        <v>#REF!</v>
      </c>
      <c r="BV46" s="304">
        <f>IF(TYPE(Tabela24[distrib. direc.])&lt;&gt;1,0,Tabela24[distrib. direc.])</f>
        <v>0.55000000000000004</v>
      </c>
      <c r="BW46" s="304">
        <f>IF(TYPE(Tabela24[vp2])&lt;&gt;1,0,Tabela24[vp2])</f>
        <v>229.12500000000003</v>
      </c>
      <c r="BX46" s="304">
        <f>IF(TYPE(Tabela24[% zonas s/ultra])&lt;&gt;1,0,Tabela24[% zonas s/ultra])</f>
        <v>0.5</v>
      </c>
      <c r="BY46" s="304" t="str">
        <f t="shared" si="6"/>
        <v>FDNP</v>
      </c>
      <c r="BZ46" s="31">
        <v>19.646124999999746</v>
      </c>
      <c r="CA46" s="305">
        <f>Tabela24[BPTSF]+Tabela24[fd/np'']</f>
        <v>37.887663338134111</v>
      </c>
      <c r="CB46" s="424">
        <f>Tabela24[vp1]/3200</f>
        <v>8.5727982954545451E-2</v>
      </c>
      <c r="CC46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46" s="332">
        <f>VLOOKUP(Tabela24[faixa (m)],'HCM2000'!$B$541:$C$547,2,TRUE)</f>
        <v>1</v>
      </c>
      <c r="CE46" s="332">
        <f>IF(Tabela24[acost (m)]&gt;0,1.8,1.2)</f>
        <v>1.8</v>
      </c>
      <c r="CF46" s="332">
        <f>IF(Tabela24[Separador]=$CB$6,$CD$6,IF(Tabela24[Separador]=$CB$7,$CD$7,$CD$8))</f>
        <v>0</v>
      </c>
      <c r="CG46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46" s="332">
        <f>IF(Tabela24[Separador]="Sinalização horizontal",'HCM2000'!$C$590,'HCM2000'!$C$591)</f>
        <v>2.6</v>
      </c>
      <c r="CI46" s="332">
        <f>MIN((2/3)*Tabela24[[#This Row],[acessos/km]],16)</f>
        <v>1.3333333333333333</v>
      </c>
      <c r="CJ46" s="332">
        <f>IF(Tabela24[fLC]="Pista simples","-",Tabela24[BFFS]-Tabela24[fLW]-Tabela24[fLC]-Tabela24[fM]-Tabela24[fA2])</f>
        <v>80.966666666666683</v>
      </c>
      <c r="CK46" s="332">
        <f>IF(Tabela24[plano/ondulado]="Montanhoso",Tabela24[Para PT&lt;],VLOOKUP(Tabela24[plano/ondulado],'HCM2000'!$B$606:$C$608,2,FALSE))</f>
        <v>1.5</v>
      </c>
      <c r="CL46" s="332">
        <f>IF(Tabela24[[#This Row],[plano/ondulado]]="Montanhoso",Tabela24[[#This Row],[Para PT&lt;]],VLOOKUP(Tabela24[[#This Row],[plano/ondulado]],'HCM2000'!$E$606:$F$608,2,FALSE))</f>
        <v>1.2</v>
      </c>
      <c r="CM46" s="433">
        <f>1/(1+(Tabela24[Pt]*(Tabela24[Et2]-1))+(Tabela24[PRv]*(Tabela24[Er2]-1)))</f>
        <v>0.85034013605442182</v>
      </c>
      <c r="CN46" s="329">
        <f>K46+IF(Tabela24[[#This Row],[Num. Faixas Marg.]]="-",0,Tabela24[[#This Row],[Num. Faixas Marg.]])</f>
        <v>4.5999999999999996</v>
      </c>
      <c r="CO46" s="331">
        <f>Tabela24[[#This Row],[Vzão]]/(Tabela24[[#This Row],[PHF]]*Tabela24[[#This Row],[N]]*Tabela24[[#This Row],[fHV]])</f>
        <v>31.157608695652176</v>
      </c>
      <c r="CP46" s="332">
        <f>IF(Tabela24[fLC]="Pista simples","-",Tabela24[vp3]/Tabela24[S])</f>
        <v>0.38482019797017913</v>
      </c>
      <c r="CQ46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46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46" s="308" t="str">
        <f>IF(Tabela24[LOS_vp3]="F","F",VLOOKUP(Tabela24[LOS_vp3],'HCM2000'!$R$655:$S$659,2))</f>
        <v>F</v>
      </c>
      <c r="CT46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46" s="425" t="str">
        <f>IF(Tabela24[[#This Row],[LOS_vp3]]="F","F",IF(Tabela24[[#This Row],[fLC]]="Pista simples","-",VLOOKUP(Tabela24[[#This Row],[LOS_D3]],'HCM2000'!$R$655:$S$659,2)))</f>
        <v>F</v>
      </c>
      <c r="CV46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46" s="381"/>
      <c r="CX46" s="381"/>
      <c r="CY46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46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46" s="22">
        <f>ABS(INDEX('HCM2000'!$E$611:$M$611,1,MATCH(Tabela24[Pt]*100,'HCM2000'!$E$611:$M$611,1))-Tabela24[Pt]*100)</f>
        <v>9</v>
      </c>
      <c r="DB46" s="22" t="e">
        <f>INDEX('HCM2000'!$E$611:$M$611,1,MATCH(Tabela24[[#This Row],[Pt]]*100,'HCM2000'!$E$611:$M$611,1)+1)-Tabela24[[#This Row],[Pt]]*100</f>
        <v>#REF!</v>
      </c>
      <c r="DC46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46" s="440"/>
      <c r="DE46" s="423" t="e">
        <f>1/(1+(Tabela24[Pt]*(Tabela24[ETsu]-1))+(Tabela24[PRv]*(Tabela24[ERsu]-1)))</f>
        <v>#N/A</v>
      </c>
      <c r="DF46" s="438" t="e">
        <f>Tabela24[Vzão]/(Tabela24[PHF]*Tabela24[N]*Tabela24[fHVsu])</f>
        <v>#N/A</v>
      </c>
      <c r="DG46" s="332" t="e">
        <f>IF(Tabela24[fLC]="Pista simples","-",Tabela24[vpsu]/Tabela24[S])</f>
        <v>#N/A</v>
      </c>
      <c r="DH46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46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46" s="425" t="str">
        <f>IF(Tabela24[[#This Row],[LOS_vp3]]="F","F",VLOOKUP(Tabela24[[#This Row],[LOS_vp3]],'HCM2000'!$R$655:$S$659,2))</f>
        <v>F</v>
      </c>
      <c r="DK46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46" s="425" t="str">
        <f>IF(Tabela24[[#This Row],[LOS_vp3]]="F","F",IF(Tabela24[[#This Row],[fLC]]="Pista simples","-",VLOOKUP(Tabela24[[#This Row],[LOS_D3]],'HCM2000'!$R$655:$S$659,2)))</f>
        <v>F</v>
      </c>
      <c r="DM46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46" s="416"/>
      <c r="DO46" s="22">
        <f>Tabela24[[#This Row],[ATS]]</f>
        <v>78.762834280303039</v>
      </c>
      <c r="DP46" s="416">
        <v>78.8</v>
      </c>
      <c r="DQ46" s="22">
        <f t="shared" si="11"/>
        <v>3.7165719696957922E-2</v>
      </c>
      <c r="DR46" s="22">
        <f>Tabela24[[#This Row],[PTSF]]</f>
        <v>37.887663338134111</v>
      </c>
      <c r="DS46" s="416">
        <v>35.4</v>
      </c>
      <c r="DT46" s="22">
        <f t="shared" si="12"/>
        <v>2.4876633381341122</v>
      </c>
      <c r="DU46" s="22"/>
      <c r="DV46" s="22">
        <v>78.762834280303039</v>
      </c>
      <c r="DW46" s="416">
        <v>78.8</v>
      </c>
      <c r="DX46" s="22">
        <v>3.7165719696957922E-2</v>
      </c>
      <c r="DY46" s="22">
        <v>37.887663338134111</v>
      </c>
      <c r="DZ46" s="416">
        <v>35.4</v>
      </c>
      <c r="EA46" s="22">
        <v>2.4876633381341122</v>
      </c>
      <c r="EB46" s="416"/>
      <c r="EC46" s="416"/>
      <c r="ED46" s="416"/>
      <c r="EE46" s="416"/>
      <c r="EF46" s="416"/>
      <c r="EG46" s="416"/>
      <c r="EH46" s="416"/>
      <c r="EI46" s="416"/>
      <c r="EJ46" s="416"/>
      <c r="EK46" s="416"/>
      <c r="EL46" s="416"/>
      <c r="EM46" s="416"/>
      <c r="EN46" s="416"/>
      <c r="EO46" s="416"/>
      <c r="EP46" s="416"/>
      <c r="EQ46" s="416"/>
      <c r="ER46" s="416"/>
      <c r="ES46" s="416"/>
      <c r="ET46" s="416"/>
      <c r="EU46" s="416"/>
      <c r="EV46" s="416"/>
      <c r="EW46" s="416"/>
      <c r="EX46" s="416"/>
      <c r="EY46" s="416"/>
      <c r="EZ46" s="416"/>
      <c r="FA46" s="416"/>
      <c r="FB46" s="416"/>
      <c r="FC46" s="416"/>
      <c r="FD46" s="416"/>
      <c r="FE46" s="416"/>
      <c r="FF46" s="416"/>
      <c r="FG46" s="416"/>
      <c r="FH46" s="416"/>
      <c r="FI46" s="416"/>
      <c r="FJ46" s="416"/>
      <c r="FK46" s="416"/>
      <c r="FL46" s="416"/>
      <c r="FM46" s="416"/>
      <c r="FR46" s="3"/>
      <c r="FS46" s="3"/>
      <c r="FV46" s="58"/>
      <c r="FW46" s="58"/>
    </row>
    <row r="47" spans="2:179">
      <c r="B47" s="386">
        <v>34</v>
      </c>
      <c r="C47" s="394"/>
      <c r="D47" s="395"/>
      <c r="E47" s="385">
        <v>24201</v>
      </c>
      <c r="F47" s="385">
        <v>24501</v>
      </c>
      <c r="G47" s="390">
        <v>300</v>
      </c>
      <c r="H47" s="386" t="s">
        <v>263</v>
      </c>
      <c r="I47" s="386" t="s">
        <v>379</v>
      </c>
      <c r="J47" s="390">
        <v>2</v>
      </c>
      <c r="K47" s="386">
        <v>4.5999999999999996</v>
      </c>
      <c r="L47" s="386" t="s">
        <v>143</v>
      </c>
      <c r="M47" s="386">
        <v>4.2</v>
      </c>
      <c r="N47" s="386">
        <v>1</v>
      </c>
      <c r="O47" s="396">
        <v>1</v>
      </c>
      <c r="P47" s="386" t="s">
        <v>366</v>
      </c>
      <c r="Q47" s="397" t="s">
        <v>144</v>
      </c>
      <c r="R47" s="419" t="s">
        <v>73</v>
      </c>
      <c r="S47" s="310">
        <v>32</v>
      </c>
      <c r="T47" s="420"/>
      <c r="U47" s="279">
        <v>24</v>
      </c>
      <c r="V47" s="323">
        <v>6473.9966140621727</v>
      </c>
      <c r="W47" s="323">
        <v>2824.5698392986178</v>
      </c>
      <c r="X47" s="420"/>
      <c r="Y47" s="398">
        <f t="shared" si="15"/>
        <v>1</v>
      </c>
      <c r="Z47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47" s="182" t="s">
        <v>644</v>
      </c>
      <c r="AB47" s="391" t="s">
        <v>654</v>
      </c>
      <c r="AC47" s="31">
        <v>3.5</v>
      </c>
      <c r="AD47" s="31">
        <v>2.5</v>
      </c>
      <c r="AE47" s="421"/>
      <c r="AF47" s="421"/>
      <c r="AG47" s="421">
        <v>0</v>
      </c>
      <c r="AH47" s="441">
        <v>0.49</v>
      </c>
      <c r="AI47" s="25">
        <v>0.03</v>
      </c>
      <c r="AJ47" s="435">
        <v>8.7999999999999995E-2</v>
      </c>
      <c r="AK47" s="330">
        <v>99</v>
      </c>
      <c r="AL47" s="263">
        <v>0.55000000000000004</v>
      </c>
      <c r="AM47" s="414">
        <v>54.45</v>
      </c>
      <c r="AN47" s="417">
        <v>2</v>
      </c>
      <c r="AO47" s="467" t="s">
        <v>73</v>
      </c>
      <c r="AP47" s="439">
        <v>88</v>
      </c>
      <c r="AQ47" s="442">
        <v>0.38</v>
      </c>
      <c r="AR47" s="422">
        <v>0.88</v>
      </c>
      <c r="AS47" s="316"/>
      <c r="AT47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47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47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47" s="23">
        <f>1/(1+(Tabela24[[#This Row],[Pt]])*(Tabela24[[#This Row],[Et]]-1)+(Tabela24[[#This Row],[PRv]])*(Tabela24[[#This Row],[Er]]-1))</f>
        <v>0.74460163812360391</v>
      </c>
      <c r="AX47" s="423">
        <f>Tabela24[veic/h]/Tabela24[PHF]</f>
        <v>112.5</v>
      </c>
      <c r="AY47" s="423">
        <v>151.08750000000001</v>
      </c>
      <c r="AZ47" s="21">
        <f>Tabela24[veic/h]/(Tabela24[PHF]*Tabela24[fg ats]*Tabela24[fhv ats])</f>
        <v>151.08750000000001</v>
      </c>
      <c r="BA47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47" s="322" t="str">
        <f>IF(AND(Tabela24[[#This Row],[vp1]]*Tabela24[[#This Row],[distrib. direc.]]&lt;1700,Tabela24[[#This Row],[vp1]]&lt;3200),"OK!","FAIL")</f>
        <v>OK!</v>
      </c>
      <c r="BC47" s="23">
        <f>INDEX('HCM2000'!$L$68:$AF$83,MATCH(Tabela24[[#This Row],[faixa (m)]],'HCM2000'!$K$68:$K$83),MATCH(Tabela24[[#This Row],[acost (m)]],'HCM2000'!$L$67:$AF$67))</f>
        <v>0.7</v>
      </c>
      <c r="BD47" s="23">
        <f>MIN(16,(2/3)*Tabela24[[#This Row],[acessos/km]])</f>
        <v>1.3333333333333333</v>
      </c>
      <c r="BE47" s="22">
        <f>Tabela24[BFFS]-Tabela24[fLS]-Tabela24[fA]</f>
        <v>85.966666666666669</v>
      </c>
      <c r="BF47" s="23" t="e">
        <v>#REF!</v>
      </c>
      <c r="BG47" s="463">
        <f>IFERROR(Tabela24[[#This Row],[vp1]],0)</f>
        <v>151.08750000000001</v>
      </c>
      <c r="BH47" s="463">
        <f>IFERROR(Tabela24[[#This Row],[% zonas s/ultra]],0)</f>
        <v>0.38</v>
      </c>
      <c r="BI47" s="23" t="str">
        <f t="shared" si="5"/>
        <v>FNP</v>
      </c>
      <c r="BJ47" s="23">
        <v>1.6392993749999998</v>
      </c>
      <c r="BK47" s="43">
        <f>Tabela24[FFS]-0.0125*MAX(Tabela24[[#This Row],[vp1]],Tabela24[[#This Row],[vp1'']])-Tabela24[fnp'']</f>
        <v>82.438773541666677</v>
      </c>
      <c r="BL47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47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47" s="23">
        <v>1</v>
      </c>
      <c r="BO47" s="23">
        <f>1/(1+Tabela24[[#This Row],[Pt]]*(Tabela24[[#This Row],[Et time]]-1)+Tabela24[[#This Row],[PRv]]*(Tabela24[[#This Row],[Er time]]-1))</f>
        <v>0.95328884652049573</v>
      </c>
      <c r="BP47" s="23">
        <f>Tabela24[veic/h]/Tabela24[PHF]</f>
        <v>112.5</v>
      </c>
      <c r="BQ47" s="23">
        <v>118.0125</v>
      </c>
      <c r="BR47" s="438">
        <f>Tabela24[veic/h]/(Tabela24[PHF]*Tabela24[fg time]*Tabela24[fhv follow])</f>
        <v>118.0125</v>
      </c>
      <c r="BS47" s="438" t="str">
        <f>IF(AND(Tabela24[[#This Row],[vp2]]*Tabela24[[#This Row],[distrib. direc.]]&lt;1700,Tabela24[[#This Row],[vp2]]&lt;3200),"OK!","FAIL")</f>
        <v>OK!</v>
      </c>
      <c r="BT47" s="23">
        <f>100*(1-EXP(-0.000879*MAX(Tabela24[[#This Row],[vp2]],Tabela24[[#This Row],[vp2'']])))</f>
        <v>9.8534032029474865</v>
      </c>
      <c r="BU47" s="304" t="e">
        <v>#REF!</v>
      </c>
      <c r="BV47" s="304">
        <f>IF(TYPE(Tabela24[distrib. direc.])&lt;&gt;1,0,Tabela24[distrib. direc.])</f>
        <v>0.55000000000000004</v>
      </c>
      <c r="BW47" s="304">
        <f>IF(TYPE(Tabela24[vp2])&lt;&gt;1,0,Tabela24[vp2])</f>
        <v>118.0125</v>
      </c>
      <c r="BX47" s="304">
        <f>IF(TYPE(Tabela24[% zonas s/ultra])&lt;&gt;1,0,Tabela24[% zonas s/ultra])</f>
        <v>0.38</v>
      </c>
      <c r="BY47" s="304" t="str">
        <f t="shared" si="6"/>
        <v>FDNP</v>
      </c>
      <c r="BZ47" s="31">
        <v>16.660000000000032</v>
      </c>
      <c r="CA47" s="305">
        <f>Tabela24[BPTSF]+Tabela24[fd/np'']</f>
        <v>26.513403202947519</v>
      </c>
      <c r="CB47" s="424">
        <f>Tabela24[vp1]/3200</f>
        <v>4.7214843749999999E-2</v>
      </c>
      <c r="CC47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B</v>
      </c>
      <c r="CD47" s="332">
        <f>VLOOKUP(Tabela24[faixa (m)],'HCM2000'!$B$541:$C$547,2,TRUE)</f>
        <v>1</v>
      </c>
      <c r="CE47" s="332">
        <f>IF(Tabela24[acost (m)]&gt;0,1.8,1.2)</f>
        <v>1.8</v>
      </c>
      <c r="CF47" s="332">
        <f>IF(Tabela24[Separador]=$CB$6,$CD$6,IF(Tabela24[Separador]=$CB$7,$CD$7,$CD$8))</f>
        <v>0</v>
      </c>
      <c r="CG47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47" s="332">
        <f>IF(Tabela24[Separador]="Sinalização horizontal",'HCM2000'!$C$590,'HCM2000'!$C$591)</f>
        <v>2.6</v>
      </c>
      <c r="CI47" s="332">
        <f>MIN((2/3)*Tabela24[[#This Row],[acessos/km]],16)</f>
        <v>1.3333333333333333</v>
      </c>
      <c r="CJ47" s="332">
        <f>IF(Tabela24[fLC]="Pista simples","-",Tabela24[BFFS]-Tabela24[fLW]-Tabela24[fLC]-Tabela24[fM]-Tabela24[fA2])</f>
        <v>80.966666666666683</v>
      </c>
      <c r="CK47" s="332">
        <f>IF(Tabela24[plano/ondulado]="Montanhoso",Tabela24[Para PT&lt;],VLOOKUP(Tabela24[plano/ondulado],'HCM2000'!$B$606:$C$608,2,FALSE))</f>
        <v>1.5</v>
      </c>
      <c r="CL47" s="332">
        <f>IF(Tabela24[[#This Row],[plano/ondulado]]="Montanhoso",Tabela24[[#This Row],[Para PT&lt;]],VLOOKUP(Tabela24[[#This Row],[plano/ondulado]],'HCM2000'!$E$606:$F$608,2,FALSE))</f>
        <v>1.2</v>
      </c>
      <c r="CM47" s="433">
        <f>1/(1+(Tabela24[Pt]*(Tabela24[Et2]-1))+(Tabela24[PRv]*(Tabela24[Er2]-1)))</f>
        <v>0.7993605115907273</v>
      </c>
      <c r="CN47" s="329">
        <f>K47+IF(Tabela24[[#This Row],[Num. Faixas Marg.]]="-",0,Tabela24[[#This Row],[Num. Faixas Marg.]])</f>
        <v>4.5999999999999996</v>
      </c>
      <c r="CO47" s="331">
        <f>Tabela24[[#This Row],[Vzão]]/(Tabela24[[#This Row],[PHF]]*Tabela24[[#This Row],[N]]*Tabela24[[#This Row],[fHV]])</f>
        <v>16.827309782608697</v>
      </c>
      <c r="CP47" s="332">
        <f>IF(Tabela24[fLC]="Pista simples","-",Tabela24[vp3]/Tabela24[S])</f>
        <v>0.20783009200422431</v>
      </c>
      <c r="CQ47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47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47" s="308" t="str">
        <f>IF(Tabela24[LOS_vp3]="F","F",VLOOKUP(Tabela24[LOS_vp3],'HCM2000'!$R$655:$S$659,2))</f>
        <v>F</v>
      </c>
      <c r="CT47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47" s="425" t="str">
        <f>IF(Tabela24[[#This Row],[LOS_vp3]]="F","F",IF(Tabela24[[#This Row],[fLC]]="Pista simples","-",VLOOKUP(Tabela24[[#This Row],[LOS_D3]],'HCM2000'!$R$655:$S$659,2)))</f>
        <v>F</v>
      </c>
      <c r="CV47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47" s="381"/>
      <c r="CX47" s="381"/>
      <c r="CY47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47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47" s="22">
        <f>ABS(INDEX('HCM2000'!$E$611:$M$611,1,MATCH(Tabela24[Pt]*100,'HCM2000'!$E$611:$M$611,1))-Tabela24[Pt]*100)</f>
        <v>24</v>
      </c>
      <c r="DB47" s="22" t="e">
        <f>INDEX('HCM2000'!$E$611:$M$611,1,MATCH(Tabela24[[#This Row],[Pt]]*100,'HCM2000'!$E$611:$M$611,1)+1)-Tabela24[[#This Row],[Pt]]*100</f>
        <v>#REF!</v>
      </c>
      <c r="DC47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47" s="440"/>
      <c r="DE47" s="423" t="e">
        <f>1/(1+(Tabela24[Pt]*(Tabela24[ETsu]-1))+(Tabela24[PRv]*(Tabela24[ERsu]-1)))</f>
        <v>#N/A</v>
      </c>
      <c r="DF47" s="438" t="e">
        <f>Tabela24[Vzão]/(Tabela24[PHF]*Tabela24[N]*Tabela24[fHVsu])</f>
        <v>#N/A</v>
      </c>
      <c r="DG47" s="332" t="e">
        <f>IF(Tabela24[fLC]="Pista simples","-",Tabela24[vpsu]/Tabela24[S])</f>
        <v>#N/A</v>
      </c>
      <c r="DH47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47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47" s="425" t="str">
        <f>IF(Tabela24[[#This Row],[LOS_vp3]]="F","F",VLOOKUP(Tabela24[[#This Row],[LOS_vp3]],'HCM2000'!$R$655:$S$659,2))</f>
        <v>F</v>
      </c>
      <c r="DK47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47" s="425" t="str">
        <f>IF(Tabela24[[#This Row],[LOS_vp3]]="F","F",IF(Tabela24[[#This Row],[fLC]]="Pista simples","-",VLOOKUP(Tabela24[[#This Row],[LOS_D3]],'HCM2000'!$R$655:$S$659,2)))</f>
        <v>F</v>
      </c>
      <c r="DM47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47" s="416"/>
      <c r="DO47" s="22">
        <f>Tabela24[[#This Row],[ATS]]</f>
        <v>82.438773541666677</v>
      </c>
      <c r="DP47" s="416">
        <v>82.4</v>
      </c>
      <c r="DQ47" s="22">
        <f t="shared" si="11"/>
        <v>3.8773541666671463E-2</v>
      </c>
      <c r="DR47" s="22">
        <f>Tabela24[[#This Row],[PTSF]]</f>
        <v>26.513403202947519</v>
      </c>
      <c r="DS47" s="416">
        <v>20.8</v>
      </c>
      <c r="DT47" s="22">
        <f t="shared" si="12"/>
        <v>5.7134032029475179</v>
      </c>
      <c r="DU47" s="22"/>
      <c r="DV47" s="22">
        <v>82.438773541666677</v>
      </c>
      <c r="DW47" s="416">
        <v>82.4</v>
      </c>
      <c r="DX47" s="22">
        <v>3.8773541666671463E-2</v>
      </c>
      <c r="DY47" s="22">
        <v>26.513403202947519</v>
      </c>
      <c r="DZ47" s="416">
        <v>20.8</v>
      </c>
      <c r="EA47" s="22">
        <v>5.7134032029475179</v>
      </c>
      <c r="EB47" s="416"/>
      <c r="EC47" s="416"/>
      <c r="ED47" s="416"/>
      <c r="EE47" s="416"/>
      <c r="EF47" s="416"/>
      <c r="EG47" s="416"/>
      <c r="EH47" s="416"/>
      <c r="EI47" s="416"/>
      <c r="EJ47" s="416"/>
      <c r="EK47" s="416"/>
      <c r="EL47" s="416"/>
      <c r="EM47" s="416"/>
      <c r="EN47" s="416"/>
      <c r="EO47" s="416"/>
      <c r="EP47" s="416"/>
      <c r="EQ47" s="416"/>
      <c r="ER47" s="416"/>
      <c r="ES47" s="416"/>
      <c r="ET47" s="416"/>
      <c r="EU47" s="416"/>
      <c r="EV47" s="416"/>
      <c r="EW47" s="416"/>
      <c r="EX47" s="416"/>
      <c r="EY47" s="416"/>
      <c r="EZ47" s="416"/>
      <c r="FA47" s="416"/>
      <c r="FB47" s="416"/>
      <c r="FC47" s="416"/>
      <c r="FD47" s="416"/>
      <c r="FE47" s="416"/>
      <c r="FF47" s="416"/>
      <c r="FG47" s="416"/>
      <c r="FH47" s="416"/>
      <c r="FI47" s="416"/>
      <c r="FJ47" s="416"/>
      <c r="FK47" s="416"/>
      <c r="FL47" s="416"/>
      <c r="FM47" s="416"/>
      <c r="FR47" s="3"/>
      <c r="FS47" s="3"/>
      <c r="FV47" s="58"/>
      <c r="FW47" s="58"/>
    </row>
    <row r="48" spans="2:179">
      <c r="B48" s="386">
        <v>35</v>
      </c>
      <c r="C48" s="394"/>
      <c r="D48" s="395"/>
      <c r="E48" s="385">
        <v>24201</v>
      </c>
      <c r="F48" s="385">
        <v>24501</v>
      </c>
      <c r="G48" s="390">
        <v>300</v>
      </c>
      <c r="H48" s="386" t="s">
        <v>263</v>
      </c>
      <c r="I48" s="386" t="s">
        <v>379</v>
      </c>
      <c r="J48" s="390">
        <v>2</v>
      </c>
      <c r="K48" s="386">
        <v>4.5999999999999996</v>
      </c>
      <c r="L48" s="386" t="s">
        <v>143</v>
      </c>
      <c r="M48" s="386">
        <v>4.2</v>
      </c>
      <c r="N48" s="386">
        <v>1</v>
      </c>
      <c r="O48" s="396">
        <v>1</v>
      </c>
      <c r="P48" s="386" t="s">
        <v>366</v>
      </c>
      <c r="Q48" s="397" t="s">
        <v>144</v>
      </c>
      <c r="R48" s="419" t="s">
        <v>73</v>
      </c>
      <c r="S48" s="310">
        <v>33</v>
      </c>
      <c r="T48" s="420"/>
      <c r="U48" s="279">
        <v>24</v>
      </c>
      <c r="V48" s="323">
        <v>6473.9966140621727</v>
      </c>
      <c r="W48" s="323">
        <v>2824.5698392986178</v>
      </c>
      <c r="X48" s="420"/>
      <c r="Y48" s="398">
        <f t="shared" si="15"/>
        <v>1</v>
      </c>
      <c r="Z48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48" s="182" t="s">
        <v>644</v>
      </c>
      <c r="AB48" s="391" t="s">
        <v>654</v>
      </c>
      <c r="AC48" s="31">
        <v>3.5</v>
      </c>
      <c r="AD48" s="31">
        <v>2.5</v>
      </c>
      <c r="AE48" s="421"/>
      <c r="AF48" s="421"/>
      <c r="AG48" s="421">
        <v>0</v>
      </c>
      <c r="AH48" s="441">
        <v>0.26</v>
      </c>
      <c r="AI48" s="25">
        <v>0.03</v>
      </c>
      <c r="AJ48" s="435">
        <v>8.7999999999999995E-2</v>
      </c>
      <c r="AK48" s="330">
        <v>45</v>
      </c>
      <c r="AL48" s="263">
        <v>0.55000000000000004</v>
      </c>
      <c r="AM48" s="414">
        <v>24.750000000000004</v>
      </c>
      <c r="AN48" s="417">
        <v>2</v>
      </c>
      <c r="AO48" s="467" t="s">
        <v>73</v>
      </c>
      <c r="AP48" s="439">
        <v>88</v>
      </c>
      <c r="AQ48" s="442">
        <v>0.4</v>
      </c>
      <c r="AR48" s="422">
        <v>0.88</v>
      </c>
      <c r="AS48" s="316"/>
      <c r="AT48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48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48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48" s="23">
        <f>1/(1+(Tabela24[[#This Row],[Pt]])*(Tabela24[[#This Row],[Et]]-1)+(Tabela24[[#This Row],[PRv]])*(Tabela24[[#This Row],[Er]]-1))</f>
        <v>0.84602368866328259</v>
      </c>
      <c r="AX48" s="423">
        <f>Tabela24[veic/h]/Tabela24[PHF]</f>
        <v>51.136363636363633</v>
      </c>
      <c r="AY48" s="423">
        <v>60.443181818181813</v>
      </c>
      <c r="AZ48" s="21">
        <f>Tabela24[veic/h]/(Tabela24[PHF]*Tabela24[fg ats]*Tabela24[fhv ats])</f>
        <v>60.443181818181813</v>
      </c>
      <c r="BA48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48" s="322" t="str">
        <f>IF(AND(Tabela24[[#This Row],[vp1]]*Tabela24[[#This Row],[distrib. direc.]]&lt;1700,Tabela24[[#This Row],[vp1]]&lt;3200),"OK!","FAIL")</f>
        <v>OK!</v>
      </c>
      <c r="BC48" s="23">
        <f>INDEX('HCM2000'!$L$68:$AF$83,MATCH(Tabela24[[#This Row],[faixa (m)]],'HCM2000'!$K$68:$K$83),MATCH(Tabela24[[#This Row],[acost (m)]],'HCM2000'!$L$67:$AF$67))</f>
        <v>0.7</v>
      </c>
      <c r="BD48" s="23">
        <f>MIN(16,(2/3)*Tabela24[[#This Row],[acessos/km]])</f>
        <v>1.3333333333333333</v>
      </c>
      <c r="BE48" s="22">
        <f>Tabela24[BFFS]-Tabela24[fLS]-Tabela24[fA]</f>
        <v>85.966666666666669</v>
      </c>
      <c r="BF48" s="23" t="e">
        <v>#REF!</v>
      </c>
      <c r="BG48" s="463">
        <f>IFERROR(Tabela24[[#This Row],[vp1]],0)</f>
        <v>60.443181818181813</v>
      </c>
      <c r="BH48" s="463">
        <f>IFERROR(Tabela24[[#This Row],[% zonas s/ultra]],0)</f>
        <v>0.4</v>
      </c>
      <c r="BI48" s="23" t="str">
        <f t="shared" si="5"/>
        <v>FNP</v>
      </c>
      <c r="BJ48" s="23">
        <v>0.69509659090909082</v>
      </c>
      <c r="BK48" s="43">
        <f>Tabela24[FFS]-0.0125*MAX(Tabela24[[#This Row],[vp1]],Tabela24[[#This Row],[vp1'']])-Tabela24[fnp'']</f>
        <v>84.516030303030306</v>
      </c>
      <c r="BL48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48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48" s="23">
        <v>1</v>
      </c>
      <c r="BO48" s="23">
        <f>1/(1+Tabela24[[#This Row],[Pt]]*(Tabela24[[#This Row],[Et time]]-1)+Tabela24[[#This Row],[PRv]]*(Tabela24[[#This Row],[Er time]]-1))</f>
        <v>0.97465886939571145</v>
      </c>
      <c r="BP48" s="23">
        <f>Tabela24[veic/h]/Tabela24[PHF]</f>
        <v>51.136363636363633</v>
      </c>
      <c r="BQ48" s="23">
        <v>52.465909090909093</v>
      </c>
      <c r="BR48" s="438">
        <f>Tabela24[veic/h]/(Tabela24[PHF]*Tabela24[fg time]*Tabela24[fhv follow])</f>
        <v>52.465909090909093</v>
      </c>
      <c r="BS48" s="438" t="str">
        <f>IF(AND(Tabela24[[#This Row],[vp2]]*Tabela24[[#This Row],[distrib. direc.]]&lt;1700,Tabela24[[#This Row],[vp2]]&lt;3200),"OK!","FAIL")</f>
        <v>OK!</v>
      </c>
      <c r="BT48" s="23">
        <f>100*(1-EXP(-0.000879*MAX(Tabela24[[#This Row],[vp2]],Tabela24[[#This Row],[vp2'']])))</f>
        <v>4.5070281201749722</v>
      </c>
      <c r="BU48" s="304" t="e">
        <v>#REF!</v>
      </c>
      <c r="BV48" s="304">
        <f>IF(TYPE(Tabela24[distrib. direc.])&lt;&gt;1,0,Tabela24[distrib. direc.])</f>
        <v>0.55000000000000004</v>
      </c>
      <c r="BW48" s="304">
        <f>IF(TYPE(Tabela24[vp2])&lt;&gt;1,0,Tabela24[vp2])</f>
        <v>52.465909090909093</v>
      </c>
      <c r="BX48" s="304">
        <f>IF(TYPE(Tabela24[% zonas s/ultra])&lt;&gt;1,0,Tabela24[% zonas s/ultra])</f>
        <v>0.4</v>
      </c>
      <c r="BY48" s="304" t="str">
        <f t="shared" si="6"/>
        <v>FDNP</v>
      </c>
      <c r="BZ48" s="31">
        <v>17.200000000000081</v>
      </c>
      <c r="CA48" s="305">
        <f>Tabela24[BPTSF]+Tabela24[fd/np'']</f>
        <v>21.707028120175053</v>
      </c>
      <c r="CB48" s="424">
        <f>Tabela24[vp1]/3200</f>
        <v>1.8888494318181816E-2</v>
      </c>
      <c r="CC48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B</v>
      </c>
      <c r="CD48" s="332">
        <f>VLOOKUP(Tabela24[faixa (m)],'HCM2000'!$B$541:$C$547,2,TRUE)</f>
        <v>1</v>
      </c>
      <c r="CE48" s="332">
        <f>IF(Tabela24[acost (m)]&gt;0,1.8,1.2)</f>
        <v>1.8</v>
      </c>
      <c r="CF48" s="332">
        <f>IF(Tabela24[Separador]=$CB$6,$CD$6,IF(Tabela24[Separador]=$CB$7,$CD$7,$CD$8))</f>
        <v>0</v>
      </c>
      <c r="CG48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48" s="332">
        <f>IF(Tabela24[Separador]="Sinalização horizontal",'HCM2000'!$C$590,'HCM2000'!$C$591)</f>
        <v>2.6</v>
      </c>
      <c r="CI48" s="332">
        <f>MIN((2/3)*Tabela24[[#This Row],[acessos/km]],16)</f>
        <v>1.3333333333333333</v>
      </c>
      <c r="CJ48" s="332">
        <f>IF(Tabela24[fLC]="Pista simples","-",Tabela24[BFFS]-Tabela24[fLW]-Tabela24[fLC]-Tabela24[fM]-Tabela24[fA2])</f>
        <v>80.966666666666683</v>
      </c>
      <c r="CK48" s="332">
        <f>IF(Tabela24[plano/ondulado]="Montanhoso",Tabela24[Para PT&lt;],VLOOKUP(Tabela24[plano/ondulado],'HCM2000'!$B$606:$C$608,2,FALSE))</f>
        <v>1.5</v>
      </c>
      <c r="CL48" s="332">
        <f>IF(Tabela24[[#This Row],[plano/ondulado]]="Montanhoso",Tabela24[[#This Row],[Para PT&lt;]],VLOOKUP(Tabela24[[#This Row],[plano/ondulado]],'HCM2000'!$E$606:$F$608,2,FALSE))</f>
        <v>1.2</v>
      </c>
      <c r="CM48" s="433">
        <f>1/(1+(Tabela24[Pt]*(Tabela24[Et2]-1))+(Tabela24[PRv]*(Tabela24[Er2]-1)))</f>
        <v>0.88028169014084512</v>
      </c>
      <c r="CN48" s="329">
        <f>K48+IF(Tabela24[[#This Row],[Num. Faixas Marg.]]="-",0,Tabela24[[#This Row],[Num. Faixas Marg.]])</f>
        <v>4.5999999999999996</v>
      </c>
      <c r="CO48" s="331">
        <f>Tabela24[[#This Row],[Vzão]]/(Tabela24[[#This Row],[PHF]]*Tabela24[[#This Row],[N]]*Tabela24[[#This Row],[fHV]])</f>
        <v>6.9456521739130439</v>
      </c>
      <c r="CP48" s="332">
        <f>IF(Tabela24[fLC]="Pista simples","-",Tabela24[vp3]/Tabela24[S])</f>
        <v>8.5784094366978703E-2</v>
      </c>
      <c r="CQ48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48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48" s="308" t="str">
        <f>IF(Tabela24[LOS_vp3]="F","F",VLOOKUP(Tabela24[LOS_vp3],'HCM2000'!$R$655:$S$659,2))</f>
        <v>F</v>
      </c>
      <c r="CT48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48" s="425" t="str">
        <f>IF(Tabela24[[#This Row],[LOS_vp3]]="F","F",IF(Tabela24[[#This Row],[fLC]]="Pista simples","-",VLOOKUP(Tabela24[[#This Row],[LOS_D3]],'HCM2000'!$R$655:$S$659,2)))</f>
        <v>F</v>
      </c>
      <c r="CV48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48" s="381"/>
      <c r="CX48" s="381"/>
      <c r="CY48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48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48" s="22">
        <f>ABS(INDEX('HCM2000'!$E$611:$M$611,1,MATCH(Tabela24[Pt]*100,'HCM2000'!$E$611:$M$611,1))-Tabela24[Pt]*100)</f>
        <v>1</v>
      </c>
      <c r="DB48" s="22" t="e">
        <f>INDEX('HCM2000'!$E$611:$M$611,1,MATCH(Tabela24[[#This Row],[Pt]]*100,'HCM2000'!$E$611:$M$611,1)+1)-Tabela24[[#This Row],[Pt]]*100</f>
        <v>#REF!</v>
      </c>
      <c r="DC48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48" s="440"/>
      <c r="DE48" s="423" t="e">
        <f>1/(1+(Tabela24[Pt]*(Tabela24[ETsu]-1))+(Tabela24[PRv]*(Tabela24[ERsu]-1)))</f>
        <v>#N/A</v>
      </c>
      <c r="DF48" s="438" t="e">
        <f>Tabela24[Vzão]/(Tabela24[PHF]*Tabela24[N]*Tabela24[fHVsu])</f>
        <v>#N/A</v>
      </c>
      <c r="DG48" s="332" t="e">
        <f>IF(Tabela24[fLC]="Pista simples","-",Tabela24[vpsu]/Tabela24[S])</f>
        <v>#N/A</v>
      </c>
      <c r="DH48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48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48" s="425" t="str">
        <f>IF(Tabela24[[#This Row],[LOS_vp3]]="F","F",VLOOKUP(Tabela24[[#This Row],[LOS_vp3]],'HCM2000'!$R$655:$S$659,2))</f>
        <v>F</v>
      </c>
      <c r="DK48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48" s="425" t="str">
        <f>IF(Tabela24[[#This Row],[LOS_vp3]]="F","F",IF(Tabela24[[#This Row],[fLC]]="Pista simples","-",VLOOKUP(Tabela24[[#This Row],[LOS_D3]],'HCM2000'!$R$655:$S$659,2)))</f>
        <v>F</v>
      </c>
      <c r="DM48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48" s="416"/>
      <c r="DO48" s="22">
        <f>Tabela24[[#This Row],[ATS]]</f>
        <v>84.516030303030306</v>
      </c>
      <c r="DP48" s="416">
        <v>84.5</v>
      </c>
      <c r="DQ48" s="22">
        <f t="shared" si="11"/>
        <v>1.6030303030305504E-2</v>
      </c>
      <c r="DR48" s="22">
        <f>Tabela24[[#This Row],[PTSF]]</f>
        <v>21.707028120175053</v>
      </c>
      <c r="DS48" s="416">
        <v>15.4</v>
      </c>
      <c r="DT48" s="22">
        <f t="shared" si="12"/>
        <v>6.3070281201750529</v>
      </c>
      <c r="DU48" s="22"/>
      <c r="DV48" s="22">
        <v>84.516030303030306</v>
      </c>
      <c r="DW48" s="416">
        <v>84.5</v>
      </c>
      <c r="DX48" s="22">
        <v>1.6030303030305504E-2</v>
      </c>
      <c r="DY48" s="22">
        <v>21.707028120175053</v>
      </c>
      <c r="DZ48" s="416">
        <v>15.4</v>
      </c>
      <c r="EA48" s="22">
        <v>6.3070281201750529</v>
      </c>
      <c r="EB48" s="416"/>
      <c r="EC48" s="416"/>
      <c r="ED48" s="416"/>
      <c r="EE48" s="416"/>
      <c r="EF48" s="416"/>
      <c r="EG48" s="416"/>
      <c r="EH48" s="416"/>
      <c r="EI48" s="416"/>
      <c r="EJ48" s="416"/>
      <c r="EK48" s="416"/>
      <c r="EL48" s="416"/>
      <c r="EM48" s="416"/>
      <c r="EN48" s="416"/>
      <c r="EO48" s="416"/>
      <c r="EP48" s="416"/>
      <c r="EQ48" s="416"/>
      <c r="ER48" s="416"/>
      <c r="ES48" s="416"/>
      <c r="ET48" s="416"/>
      <c r="EU48" s="416"/>
      <c r="EV48" s="416"/>
      <c r="EW48" s="416"/>
      <c r="EX48" s="416"/>
      <c r="EY48" s="416"/>
      <c r="EZ48" s="416"/>
      <c r="FA48" s="416"/>
      <c r="FB48" s="416"/>
      <c r="FC48" s="416"/>
      <c r="FD48" s="416"/>
      <c r="FE48" s="416"/>
      <c r="FF48" s="416"/>
      <c r="FG48" s="416"/>
      <c r="FH48" s="416"/>
      <c r="FI48" s="416"/>
      <c r="FJ48" s="416"/>
      <c r="FK48" s="416"/>
      <c r="FL48" s="416"/>
      <c r="FM48" s="416"/>
      <c r="FR48" s="3"/>
      <c r="FS48" s="3"/>
      <c r="FV48" s="58"/>
      <c r="FW48" s="58"/>
    </row>
    <row r="49" spans="2:179">
      <c r="B49" s="386">
        <v>36</v>
      </c>
      <c r="C49" s="394"/>
      <c r="D49" s="395"/>
      <c r="E49" s="385">
        <v>24201</v>
      </c>
      <c r="F49" s="385">
        <v>24501</v>
      </c>
      <c r="G49" s="390">
        <v>300</v>
      </c>
      <c r="H49" s="386" t="s">
        <v>263</v>
      </c>
      <c r="I49" s="386" t="s">
        <v>379</v>
      </c>
      <c r="J49" s="390">
        <v>2</v>
      </c>
      <c r="K49" s="386">
        <v>4.5999999999999996</v>
      </c>
      <c r="L49" s="386" t="s">
        <v>143</v>
      </c>
      <c r="M49" s="386">
        <v>4.2</v>
      </c>
      <c r="N49" s="386">
        <v>1</v>
      </c>
      <c r="O49" s="396">
        <v>1</v>
      </c>
      <c r="P49" s="386" t="s">
        <v>366</v>
      </c>
      <c r="Q49" s="397" t="s">
        <v>144</v>
      </c>
      <c r="R49" s="419" t="s">
        <v>73</v>
      </c>
      <c r="S49" s="310">
        <v>34</v>
      </c>
      <c r="T49" s="420"/>
      <c r="U49" s="279">
        <v>24</v>
      </c>
      <c r="V49" s="323">
        <v>6473.9966140621727</v>
      </c>
      <c r="W49" s="323">
        <v>2824.5698392986178</v>
      </c>
      <c r="X49" s="420"/>
      <c r="Y49" s="398">
        <f t="shared" si="15"/>
        <v>1</v>
      </c>
      <c r="Z49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49" s="182" t="s">
        <v>644</v>
      </c>
      <c r="AB49" s="391" t="s">
        <v>654</v>
      </c>
      <c r="AC49" s="31">
        <v>3.5</v>
      </c>
      <c r="AD49" s="31">
        <v>2.5</v>
      </c>
      <c r="AE49" s="421"/>
      <c r="AF49" s="421"/>
      <c r="AG49" s="421">
        <v>0</v>
      </c>
      <c r="AH49" s="441">
        <v>0.26</v>
      </c>
      <c r="AI49" s="25">
        <v>0.03</v>
      </c>
      <c r="AJ49" s="435">
        <v>8.7999999999999995E-2</v>
      </c>
      <c r="AK49" s="330">
        <v>45</v>
      </c>
      <c r="AL49" s="263">
        <v>0.55000000000000004</v>
      </c>
      <c r="AM49" s="414">
        <v>24.750000000000004</v>
      </c>
      <c r="AN49" s="417">
        <v>2</v>
      </c>
      <c r="AO49" s="467" t="s">
        <v>73</v>
      </c>
      <c r="AP49" s="439">
        <v>88</v>
      </c>
      <c r="AQ49" s="442">
        <v>0.38</v>
      </c>
      <c r="AR49" s="422">
        <v>0.88</v>
      </c>
      <c r="AS49" s="316"/>
      <c r="AT49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49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49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49" s="23">
        <f>1/(1+(Tabela24[[#This Row],[Pt]])*(Tabela24[[#This Row],[Et]]-1)+(Tabela24[[#This Row],[PRv]])*(Tabela24[[#This Row],[Er]]-1))</f>
        <v>0.84602368866328259</v>
      </c>
      <c r="AX49" s="423">
        <f>Tabela24[veic/h]/Tabela24[PHF]</f>
        <v>51.136363636363633</v>
      </c>
      <c r="AY49" s="423">
        <v>60.443181818181813</v>
      </c>
      <c r="AZ49" s="21">
        <f>Tabela24[veic/h]/(Tabela24[PHF]*Tabela24[fg ats]*Tabela24[fhv ats])</f>
        <v>60.443181818181813</v>
      </c>
      <c r="BA49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49" s="322" t="str">
        <f>IF(AND(Tabela24[[#This Row],[vp1]]*Tabela24[[#This Row],[distrib. direc.]]&lt;1700,Tabela24[[#This Row],[vp1]]&lt;3200),"OK!","FAIL")</f>
        <v>OK!</v>
      </c>
      <c r="BC49" s="23">
        <f>INDEX('HCM2000'!$L$68:$AF$83,MATCH(Tabela24[[#This Row],[faixa (m)]],'HCM2000'!$K$68:$K$83),MATCH(Tabela24[[#This Row],[acost (m)]],'HCM2000'!$L$67:$AF$67))</f>
        <v>0.7</v>
      </c>
      <c r="BD49" s="23">
        <f>MIN(16,(2/3)*Tabela24[[#This Row],[acessos/km]])</f>
        <v>1.3333333333333333</v>
      </c>
      <c r="BE49" s="22">
        <f>Tabela24[BFFS]-Tabela24[fLS]-Tabela24[fA]</f>
        <v>85.966666666666669</v>
      </c>
      <c r="BF49" s="23" t="e">
        <v>#REF!</v>
      </c>
      <c r="BG49" s="463">
        <f>IFERROR(Tabela24[[#This Row],[vp1]],0)</f>
        <v>60.443181818181813</v>
      </c>
      <c r="BH49" s="463">
        <f>IFERROR(Tabela24[[#This Row],[% zonas s/ultra]],0)</f>
        <v>0.38</v>
      </c>
      <c r="BI49" s="23" t="str">
        <f t="shared" si="5"/>
        <v>FNP</v>
      </c>
      <c r="BJ49" s="23">
        <v>0.65580852272727252</v>
      </c>
      <c r="BK49" s="43">
        <f>Tabela24[FFS]-0.0125*MAX(Tabela24[[#This Row],[vp1]],Tabela24[[#This Row],[vp1'']])-Tabela24[fnp'']</f>
        <v>84.555318371212124</v>
      </c>
      <c r="BL49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49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49" s="23">
        <v>1</v>
      </c>
      <c r="BO49" s="23">
        <f>1/(1+Tabela24[[#This Row],[Pt]]*(Tabela24[[#This Row],[Et time]]-1)+Tabela24[[#This Row],[PRv]]*(Tabela24[[#This Row],[Er time]]-1))</f>
        <v>0.97465886939571145</v>
      </c>
      <c r="BP49" s="23">
        <f>Tabela24[veic/h]/Tabela24[PHF]</f>
        <v>51.136363636363633</v>
      </c>
      <c r="BQ49" s="23">
        <v>52.465909090909093</v>
      </c>
      <c r="BR49" s="438">
        <f>Tabela24[veic/h]/(Tabela24[PHF]*Tabela24[fg time]*Tabela24[fhv follow])</f>
        <v>52.465909090909093</v>
      </c>
      <c r="BS49" s="438" t="str">
        <f>IF(AND(Tabela24[[#This Row],[vp2]]*Tabela24[[#This Row],[distrib. direc.]]&lt;1700,Tabela24[[#This Row],[vp2]]&lt;3200),"OK!","FAIL")</f>
        <v>OK!</v>
      </c>
      <c r="BT49" s="23">
        <f>100*(1-EXP(-0.000879*MAX(Tabela24[[#This Row],[vp2]],Tabela24[[#This Row],[vp2'']])))</f>
        <v>4.5070281201749722</v>
      </c>
      <c r="BU49" s="304" t="e">
        <v>#REF!</v>
      </c>
      <c r="BV49" s="304">
        <f>IF(TYPE(Tabela24[distrib. direc.])&lt;&gt;1,0,Tabela24[distrib. direc.])</f>
        <v>0.55000000000000004</v>
      </c>
      <c r="BW49" s="304">
        <f>IF(TYPE(Tabela24[vp2])&lt;&gt;1,0,Tabela24[vp2])</f>
        <v>52.465909090909093</v>
      </c>
      <c r="BX49" s="304">
        <f>IF(TYPE(Tabela24[% zonas s/ultra])&lt;&gt;1,0,Tabela24[% zonas s/ultra])</f>
        <v>0.38</v>
      </c>
      <c r="BY49" s="304" t="str">
        <f t="shared" si="6"/>
        <v>FDNP</v>
      </c>
      <c r="BZ49" s="31">
        <v>16.660000000000032</v>
      </c>
      <c r="CA49" s="305">
        <f>Tabela24[BPTSF]+Tabela24[fd/np'']</f>
        <v>21.167028120175004</v>
      </c>
      <c r="CB49" s="424">
        <f>Tabela24[vp1]/3200</f>
        <v>1.8888494318181816E-2</v>
      </c>
      <c r="CC49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B</v>
      </c>
      <c r="CD49" s="332">
        <f>VLOOKUP(Tabela24[faixa (m)],'HCM2000'!$B$541:$C$547,2,TRUE)</f>
        <v>1</v>
      </c>
      <c r="CE49" s="332">
        <f>IF(Tabela24[acost (m)]&gt;0,1.8,1.2)</f>
        <v>1.8</v>
      </c>
      <c r="CF49" s="332">
        <f>IF(Tabela24[Separador]=$CB$6,$CD$6,IF(Tabela24[Separador]=$CB$7,$CD$7,$CD$8))</f>
        <v>0</v>
      </c>
      <c r="CG49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49" s="332">
        <f>IF(Tabela24[Separador]="Sinalização horizontal",'HCM2000'!$C$590,'HCM2000'!$C$591)</f>
        <v>2.6</v>
      </c>
      <c r="CI49" s="332">
        <f>MIN((2/3)*Tabela24[[#This Row],[acessos/km]],16)</f>
        <v>1.3333333333333333</v>
      </c>
      <c r="CJ49" s="332">
        <f>IF(Tabela24[fLC]="Pista simples","-",Tabela24[BFFS]-Tabela24[fLW]-Tabela24[fLC]-Tabela24[fM]-Tabela24[fA2])</f>
        <v>80.966666666666683</v>
      </c>
      <c r="CK49" s="332">
        <f>IF(Tabela24[plano/ondulado]="Montanhoso",Tabela24[Para PT&lt;],VLOOKUP(Tabela24[plano/ondulado],'HCM2000'!$B$606:$C$608,2,FALSE))</f>
        <v>1.5</v>
      </c>
      <c r="CL49" s="332">
        <f>IF(Tabela24[[#This Row],[plano/ondulado]]="Montanhoso",Tabela24[[#This Row],[Para PT&lt;]],VLOOKUP(Tabela24[[#This Row],[plano/ondulado]],'HCM2000'!$E$606:$F$608,2,FALSE))</f>
        <v>1.2</v>
      </c>
      <c r="CM49" s="433">
        <f>1/(1+(Tabela24[Pt]*(Tabela24[Et2]-1))+(Tabela24[PRv]*(Tabela24[Er2]-1)))</f>
        <v>0.88028169014084512</v>
      </c>
      <c r="CN49" s="329">
        <f>K49+IF(Tabela24[[#This Row],[Num. Faixas Marg.]]="-",0,Tabela24[[#This Row],[Num. Faixas Marg.]])</f>
        <v>4.5999999999999996</v>
      </c>
      <c r="CO49" s="331">
        <f>Tabela24[[#This Row],[Vzão]]/(Tabela24[[#This Row],[PHF]]*Tabela24[[#This Row],[N]]*Tabela24[[#This Row],[fHV]])</f>
        <v>6.9456521739130439</v>
      </c>
      <c r="CP49" s="332">
        <f>IF(Tabela24[fLC]="Pista simples","-",Tabela24[vp3]/Tabela24[S])</f>
        <v>8.5784094366978703E-2</v>
      </c>
      <c r="CQ49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49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49" s="308" t="str">
        <f>IF(Tabela24[LOS_vp3]="F","F",VLOOKUP(Tabela24[LOS_vp3],'HCM2000'!$R$655:$S$659,2))</f>
        <v>F</v>
      </c>
      <c r="CT49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49" s="425" t="str">
        <f>IF(Tabela24[[#This Row],[LOS_vp3]]="F","F",IF(Tabela24[[#This Row],[fLC]]="Pista simples","-",VLOOKUP(Tabela24[[#This Row],[LOS_D3]],'HCM2000'!$R$655:$S$659,2)))</f>
        <v>F</v>
      </c>
      <c r="CV49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49" s="381"/>
      <c r="CX49" s="381"/>
      <c r="CY49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49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49" s="22">
        <f>ABS(INDEX('HCM2000'!$E$611:$M$611,1,MATCH(Tabela24[Pt]*100,'HCM2000'!$E$611:$M$611,1))-Tabela24[Pt]*100)</f>
        <v>1</v>
      </c>
      <c r="DB49" s="22" t="e">
        <f>INDEX('HCM2000'!$E$611:$M$611,1,MATCH(Tabela24[[#This Row],[Pt]]*100,'HCM2000'!$E$611:$M$611,1)+1)-Tabela24[[#This Row],[Pt]]*100</f>
        <v>#REF!</v>
      </c>
      <c r="DC49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49" s="440"/>
      <c r="DE49" s="423" t="e">
        <f>1/(1+(Tabela24[Pt]*(Tabela24[ETsu]-1))+(Tabela24[PRv]*(Tabela24[ERsu]-1)))</f>
        <v>#N/A</v>
      </c>
      <c r="DF49" s="438" t="e">
        <f>Tabela24[Vzão]/(Tabela24[PHF]*Tabela24[N]*Tabela24[fHVsu])</f>
        <v>#N/A</v>
      </c>
      <c r="DG49" s="332" t="e">
        <f>IF(Tabela24[fLC]="Pista simples","-",Tabela24[vpsu]/Tabela24[S])</f>
        <v>#N/A</v>
      </c>
      <c r="DH49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49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49" s="425" t="str">
        <f>IF(Tabela24[[#This Row],[LOS_vp3]]="F","F",VLOOKUP(Tabela24[[#This Row],[LOS_vp3]],'HCM2000'!$R$655:$S$659,2))</f>
        <v>F</v>
      </c>
      <c r="DK49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49" s="425" t="str">
        <f>IF(Tabela24[[#This Row],[LOS_vp3]]="F","F",IF(Tabela24[[#This Row],[fLC]]="Pista simples","-",VLOOKUP(Tabela24[[#This Row],[LOS_D3]],'HCM2000'!$R$655:$S$659,2)))</f>
        <v>F</v>
      </c>
      <c r="DM49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49" s="416"/>
      <c r="DO49" s="22">
        <f>Tabela24[[#This Row],[ATS]]</f>
        <v>84.555318371212124</v>
      </c>
      <c r="DP49" s="416">
        <v>84.6</v>
      </c>
      <c r="DQ49" s="22">
        <f t="shared" si="11"/>
        <v>4.4681628787870409E-2</v>
      </c>
      <c r="DR49" s="22">
        <f>Tabela24[[#This Row],[PTSF]]</f>
        <v>21.167028120175004</v>
      </c>
      <c r="DS49" s="416">
        <v>15.4</v>
      </c>
      <c r="DT49" s="22">
        <f t="shared" si="12"/>
        <v>5.767028120175004</v>
      </c>
      <c r="DU49" s="22"/>
      <c r="DV49" s="22">
        <v>84.555318371212124</v>
      </c>
      <c r="DW49" s="416">
        <v>84.6</v>
      </c>
      <c r="DX49" s="22">
        <v>4.4681628787870409E-2</v>
      </c>
      <c r="DY49" s="22">
        <v>21.167028120175004</v>
      </c>
      <c r="DZ49" s="416">
        <v>15.4</v>
      </c>
      <c r="EA49" s="22">
        <v>5.767028120175004</v>
      </c>
      <c r="EB49" s="416"/>
      <c r="EC49" s="416"/>
      <c r="ED49" s="416"/>
      <c r="EE49" s="416"/>
      <c r="EF49" s="416"/>
      <c r="EG49" s="416"/>
      <c r="EH49" s="416"/>
      <c r="EI49" s="416"/>
      <c r="EJ49" s="416"/>
      <c r="EK49" s="416"/>
      <c r="EL49" s="416"/>
      <c r="EM49" s="416"/>
      <c r="EN49" s="416"/>
      <c r="EO49" s="416"/>
      <c r="EP49" s="416"/>
      <c r="EQ49" s="416"/>
      <c r="ER49" s="416"/>
      <c r="ES49" s="416"/>
      <c r="ET49" s="416"/>
      <c r="EU49" s="416"/>
      <c r="EV49" s="416"/>
      <c r="EW49" s="416"/>
      <c r="EX49" s="416"/>
      <c r="EY49" s="416"/>
      <c r="EZ49" s="416"/>
      <c r="FA49" s="416"/>
      <c r="FB49" s="416"/>
      <c r="FC49" s="416"/>
      <c r="FD49" s="416"/>
      <c r="FE49" s="416"/>
      <c r="FF49" s="416"/>
      <c r="FG49" s="416"/>
      <c r="FH49" s="416"/>
      <c r="FI49" s="416"/>
      <c r="FJ49" s="416"/>
      <c r="FK49" s="416"/>
      <c r="FL49" s="416"/>
      <c r="FM49" s="416"/>
      <c r="FR49" s="3"/>
      <c r="FS49" s="3"/>
      <c r="FV49" s="58"/>
      <c r="FW49" s="58"/>
    </row>
    <row r="50" spans="2:179">
      <c r="B50" s="386">
        <v>37</v>
      </c>
      <c r="C50" s="394"/>
      <c r="D50" s="395"/>
      <c r="E50" s="385">
        <v>24201</v>
      </c>
      <c r="F50" s="385">
        <v>24501</v>
      </c>
      <c r="G50" s="390">
        <v>300</v>
      </c>
      <c r="H50" s="386" t="s">
        <v>263</v>
      </c>
      <c r="I50" s="386" t="s">
        <v>379</v>
      </c>
      <c r="J50" s="390">
        <v>2</v>
      </c>
      <c r="K50" s="386">
        <v>4.5999999999999996</v>
      </c>
      <c r="L50" s="386" t="s">
        <v>143</v>
      </c>
      <c r="M50" s="386">
        <v>4.2</v>
      </c>
      <c r="N50" s="386">
        <v>1</v>
      </c>
      <c r="O50" s="396">
        <v>1</v>
      </c>
      <c r="P50" s="386" t="s">
        <v>366</v>
      </c>
      <c r="Q50" s="397" t="s">
        <v>144</v>
      </c>
      <c r="R50" s="419" t="s">
        <v>73</v>
      </c>
      <c r="S50" s="310">
        <v>35</v>
      </c>
      <c r="T50" s="420"/>
      <c r="U50" s="279">
        <v>24</v>
      </c>
      <c r="V50" s="323">
        <v>6473.9966140621727</v>
      </c>
      <c r="W50" s="323">
        <v>2824.5698392986178</v>
      </c>
      <c r="X50" s="420"/>
      <c r="Y50" s="398">
        <f t="shared" si="15"/>
        <v>1</v>
      </c>
      <c r="Z50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50" s="182" t="s">
        <v>644</v>
      </c>
      <c r="AB50" s="391" t="s">
        <v>654</v>
      </c>
      <c r="AC50" s="31">
        <v>3.5</v>
      </c>
      <c r="AD50" s="31">
        <v>2.5</v>
      </c>
      <c r="AE50" s="421"/>
      <c r="AF50" s="421"/>
      <c r="AG50" s="421">
        <v>0</v>
      </c>
      <c r="AH50" s="441">
        <v>0.26</v>
      </c>
      <c r="AI50" s="25">
        <v>0.03</v>
      </c>
      <c r="AJ50" s="435">
        <v>8.7999999999999995E-2</v>
      </c>
      <c r="AK50" s="330">
        <v>45</v>
      </c>
      <c r="AL50" s="263">
        <v>0.55000000000000004</v>
      </c>
      <c r="AM50" s="414">
        <v>24.750000000000004</v>
      </c>
      <c r="AN50" s="417">
        <v>2</v>
      </c>
      <c r="AO50" s="467" t="s">
        <v>73</v>
      </c>
      <c r="AP50" s="439">
        <v>88</v>
      </c>
      <c r="AQ50" s="442">
        <v>0.45</v>
      </c>
      <c r="AR50" s="422">
        <v>0.88</v>
      </c>
      <c r="AS50" s="316"/>
      <c r="AT50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50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50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50" s="23">
        <f>1/(1+(Tabela24[[#This Row],[Pt]])*(Tabela24[[#This Row],[Et]]-1)+(Tabela24[[#This Row],[PRv]])*(Tabela24[[#This Row],[Er]]-1))</f>
        <v>0.84602368866328259</v>
      </c>
      <c r="AX50" s="423">
        <f>Tabela24[veic/h]/Tabela24[PHF]</f>
        <v>51.136363636363633</v>
      </c>
      <c r="AY50" s="423">
        <v>60.443181818181813</v>
      </c>
      <c r="AZ50" s="21">
        <f>Tabela24[veic/h]/(Tabela24[PHF]*Tabela24[fg ats]*Tabela24[fhv ats])</f>
        <v>60.443181818181813</v>
      </c>
      <c r="BA50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50" s="322" t="str">
        <f>IF(AND(Tabela24[[#This Row],[vp1]]*Tabela24[[#This Row],[distrib. direc.]]&lt;1700,Tabela24[[#This Row],[vp1]]&lt;3200),"OK!","FAIL")</f>
        <v>OK!</v>
      </c>
      <c r="BC50" s="23">
        <f>INDEX('HCM2000'!$L$68:$AF$83,MATCH(Tabela24[[#This Row],[faixa (m)]],'HCM2000'!$K$68:$K$83),MATCH(Tabela24[[#This Row],[acost (m)]],'HCM2000'!$L$67:$AF$67))</f>
        <v>0.7</v>
      </c>
      <c r="BD50" s="23">
        <f>MIN(16,(2/3)*Tabela24[[#This Row],[acessos/km]])</f>
        <v>1.3333333333333333</v>
      </c>
      <c r="BE50" s="22">
        <f>Tabela24[BFFS]-Tabela24[fLS]-Tabela24[fA]</f>
        <v>85.966666666666669</v>
      </c>
      <c r="BF50" s="23" t="e">
        <v>#REF!</v>
      </c>
      <c r="BG50" s="463">
        <f>IFERROR(Tabela24[[#This Row],[vp1]],0)</f>
        <v>60.443181818181813</v>
      </c>
      <c r="BH50" s="463">
        <f>IFERROR(Tabela24[[#This Row],[% zonas s/ultra]],0)</f>
        <v>0.45</v>
      </c>
      <c r="BI50" s="23" t="str">
        <f t="shared" si="5"/>
        <v>FNP</v>
      </c>
      <c r="BJ50" s="23">
        <v>0.80842755681818168</v>
      </c>
      <c r="BK50" s="43">
        <f>Tabela24[FFS]-0.0125*MAX(Tabela24[[#This Row],[vp1]],Tabela24[[#This Row],[vp1'']])-Tabela24[fnp'']</f>
        <v>84.402699337121206</v>
      </c>
      <c r="BL50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50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50" s="23">
        <v>1</v>
      </c>
      <c r="BO50" s="23">
        <f>1/(1+Tabela24[[#This Row],[Pt]]*(Tabela24[[#This Row],[Et time]]-1)+Tabela24[[#This Row],[PRv]]*(Tabela24[[#This Row],[Er time]]-1))</f>
        <v>0.97465886939571145</v>
      </c>
      <c r="BP50" s="23">
        <f>Tabela24[veic/h]/Tabela24[PHF]</f>
        <v>51.136363636363633</v>
      </c>
      <c r="BQ50" s="23">
        <v>52.465909090909093</v>
      </c>
      <c r="BR50" s="438">
        <f>Tabela24[veic/h]/(Tabela24[PHF]*Tabela24[fg time]*Tabela24[fhv follow])</f>
        <v>52.465909090909093</v>
      </c>
      <c r="BS50" s="438" t="str">
        <f>IF(AND(Tabela24[[#This Row],[vp2]]*Tabela24[[#This Row],[distrib. direc.]]&lt;1700,Tabela24[[#This Row],[vp2]]&lt;3200),"OK!","FAIL")</f>
        <v>OK!</v>
      </c>
      <c r="BT50" s="23">
        <f>100*(1-EXP(-0.000879*MAX(Tabela24[[#This Row],[vp2]],Tabela24[[#This Row],[vp2'']])))</f>
        <v>4.5070281201749722</v>
      </c>
      <c r="BU50" s="304" t="e">
        <v>#REF!</v>
      </c>
      <c r="BV50" s="304">
        <f>IF(TYPE(Tabela24[distrib. direc.])&lt;&gt;1,0,Tabela24[distrib. direc.])</f>
        <v>0.55000000000000004</v>
      </c>
      <c r="BW50" s="304">
        <f>IF(TYPE(Tabela24[vp2])&lt;&gt;1,0,Tabela24[vp2])</f>
        <v>52.465909090909093</v>
      </c>
      <c r="BX50" s="304">
        <f>IF(TYPE(Tabela24[% zonas s/ultra])&lt;&gt;1,0,Tabela24[% zonas s/ultra])</f>
        <v>0.45</v>
      </c>
      <c r="BY50" s="304" t="str">
        <f t="shared" si="6"/>
        <v>FDNP</v>
      </c>
      <c r="BZ50" s="31">
        <v>18.52500000000008</v>
      </c>
      <c r="CA50" s="305">
        <f>Tabela24[BPTSF]+Tabela24[fd/np'']</f>
        <v>23.032028120175053</v>
      </c>
      <c r="CB50" s="424">
        <f>Tabela24[vp1]/3200</f>
        <v>1.8888494318181816E-2</v>
      </c>
      <c r="CC50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B</v>
      </c>
      <c r="CD50" s="332">
        <f>VLOOKUP(Tabela24[faixa (m)],'HCM2000'!$B$541:$C$547,2,TRUE)</f>
        <v>1</v>
      </c>
      <c r="CE50" s="332">
        <f>IF(Tabela24[acost (m)]&gt;0,1.8,1.2)</f>
        <v>1.8</v>
      </c>
      <c r="CF50" s="332">
        <f>IF(Tabela24[Separador]=$CB$6,$CD$6,IF(Tabela24[Separador]=$CB$7,$CD$7,$CD$8))</f>
        <v>0</v>
      </c>
      <c r="CG50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50" s="332">
        <f>IF(Tabela24[Separador]="Sinalização horizontal",'HCM2000'!$C$590,'HCM2000'!$C$591)</f>
        <v>2.6</v>
      </c>
      <c r="CI50" s="332">
        <f>MIN((2/3)*Tabela24[[#This Row],[acessos/km]],16)</f>
        <v>1.3333333333333333</v>
      </c>
      <c r="CJ50" s="332">
        <f>IF(Tabela24[fLC]="Pista simples","-",Tabela24[BFFS]-Tabela24[fLW]-Tabela24[fLC]-Tabela24[fM]-Tabela24[fA2])</f>
        <v>80.966666666666683</v>
      </c>
      <c r="CK50" s="332">
        <f>IF(Tabela24[plano/ondulado]="Montanhoso",Tabela24[Para PT&lt;],VLOOKUP(Tabela24[plano/ondulado],'HCM2000'!$B$606:$C$608,2,FALSE))</f>
        <v>1.5</v>
      </c>
      <c r="CL50" s="332">
        <f>IF(Tabela24[[#This Row],[plano/ondulado]]="Montanhoso",Tabela24[[#This Row],[Para PT&lt;]],VLOOKUP(Tabela24[[#This Row],[plano/ondulado]],'HCM2000'!$E$606:$F$608,2,FALSE))</f>
        <v>1.2</v>
      </c>
      <c r="CM50" s="433">
        <f>1/(1+(Tabela24[Pt]*(Tabela24[Et2]-1))+(Tabela24[PRv]*(Tabela24[Er2]-1)))</f>
        <v>0.88028169014084512</v>
      </c>
      <c r="CN50" s="329">
        <f>K50+IF(Tabela24[[#This Row],[Num. Faixas Marg.]]="-",0,Tabela24[[#This Row],[Num. Faixas Marg.]])</f>
        <v>4.5999999999999996</v>
      </c>
      <c r="CO50" s="331">
        <f>Tabela24[[#This Row],[Vzão]]/(Tabela24[[#This Row],[PHF]]*Tabela24[[#This Row],[N]]*Tabela24[[#This Row],[fHV]])</f>
        <v>6.9456521739130439</v>
      </c>
      <c r="CP50" s="332">
        <f>IF(Tabela24[fLC]="Pista simples","-",Tabela24[vp3]/Tabela24[S])</f>
        <v>8.5784094366978703E-2</v>
      </c>
      <c r="CQ50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50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50" s="308" t="str">
        <f>IF(Tabela24[LOS_vp3]="F","F",VLOOKUP(Tabela24[LOS_vp3],'HCM2000'!$R$655:$S$659,2))</f>
        <v>F</v>
      </c>
      <c r="CT50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50" s="425" t="str">
        <f>IF(Tabela24[[#This Row],[LOS_vp3]]="F","F",IF(Tabela24[[#This Row],[fLC]]="Pista simples","-",VLOOKUP(Tabela24[[#This Row],[LOS_D3]],'HCM2000'!$R$655:$S$659,2)))</f>
        <v>F</v>
      </c>
      <c r="CV50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50" s="381"/>
      <c r="CX50" s="381"/>
      <c r="CY50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50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50" s="22">
        <f>ABS(INDEX('HCM2000'!$E$611:$M$611,1,MATCH(Tabela24[Pt]*100,'HCM2000'!$E$611:$M$611,1))-Tabela24[Pt]*100)</f>
        <v>1</v>
      </c>
      <c r="DB50" s="22" t="e">
        <f>INDEX('HCM2000'!$E$611:$M$611,1,MATCH(Tabela24[[#This Row],[Pt]]*100,'HCM2000'!$E$611:$M$611,1)+1)-Tabela24[[#This Row],[Pt]]*100</f>
        <v>#REF!</v>
      </c>
      <c r="DC50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50" s="440"/>
      <c r="DE50" s="423" t="e">
        <f>1/(1+(Tabela24[Pt]*(Tabela24[ETsu]-1))+(Tabela24[PRv]*(Tabela24[ERsu]-1)))</f>
        <v>#N/A</v>
      </c>
      <c r="DF50" s="438" t="e">
        <f>Tabela24[Vzão]/(Tabela24[PHF]*Tabela24[N]*Tabela24[fHVsu])</f>
        <v>#N/A</v>
      </c>
      <c r="DG50" s="332" t="e">
        <f>IF(Tabela24[fLC]="Pista simples","-",Tabela24[vpsu]/Tabela24[S])</f>
        <v>#N/A</v>
      </c>
      <c r="DH50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50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50" s="425" t="str">
        <f>IF(Tabela24[[#This Row],[LOS_vp3]]="F","F",VLOOKUP(Tabela24[[#This Row],[LOS_vp3]],'HCM2000'!$R$655:$S$659,2))</f>
        <v>F</v>
      </c>
      <c r="DK50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50" s="425" t="str">
        <f>IF(Tabela24[[#This Row],[LOS_vp3]]="F","F",IF(Tabela24[[#This Row],[fLC]]="Pista simples","-",VLOOKUP(Tabela24[[#This Row],[LOS_D3]],'HCM2000'!$R$655:$S$659,2)))</f>
        <v>F</v>
      </c>
      <c r="DM50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50" s="416"/>
      <c r="DO50" s="22">
        <f>Tabela24[[#This Row],[ATS]]</f>
        <v>84.402699337121206</v>
      </c>
      <c r="DP50" s="416">
        <v>84.4</v>
      </c>
      <c r="DQ50" s="22">
        <f t="shared" si="11"/>
        <v>2.6993371212000739E-3</v>
      </c>
      <c r="DR50" s="22">
        <f>Tabela24[[#This Row],[PTSF]]</f>
        <v>23.032028120175053</v>
      </c>
      <c r="DS50" s="416">
        <v>21.7</v>
      </c>
      <c r="DT50" s="22">
        <f t="shared" si="12"/>
        <v>1.3320281201750532</v>
      </c>
      <c r="DU50" s="22"/>
      <c r="DV50" s="22">
        <v>84.402699337121206</v>
      </c>
      <c r="DW50" s="22">
        <v>84.4</v>
      </c>
      <c r="DX50" s="22">
        <v>2.6993371212000739E-3</v>
      </c>
      <c r="DY50" s="22">
        <v>23.032028120175053</v>
      </c>
      <c r="DZ50" s="22">
        <v>21.7</v>
      </c>
      <c r="EA50" s="22">
        <v>1.3320281201750532</v>
      </c>
      <c r="EB50" s="416"/>
      <c r="EC50" s="416"/>
      <c r="ED50" s="416"/>
      <c r="EE50" s="416"/>
      <c r="EF50" s="416"/>
      <c r="EG50" s="416"/>
      <c r="EH50" s="416"/>
      <c r="EI50" s="416"/>
      <c r="EJ50" s="416"/>
      <c r="EK50" s="416"/>
      <c r="EL50" s="416"/>
      <c r="EM50" s="416"/>
      <c r="EN50" s="416"/>
      <c r="EO50" s="416"/>
      <c r="EP50" s="416"/>
      <c r="EQ50" s="416"/>
      <c r="ER50" s="416"/>
      <c r="ES50" s="416"/>
      <c r="ET50" s="416"/>
      <c r="EU50" s="416"/>
      <c r="EV50" s="416"/>
      <c r="EW50" s="416"/>
      <c r="EX50" s="416"/>
      <c r="EY50" s="416"/>
      <c r="EZ50" s="416"/>
      <c r="FA50" s="416"/>
      <c r="FB50" s="416"/>
      <c r="FC50" s="416"/>
      <c r="FD50" s="416"/>
      <c r="FE50" s="416"/>
      <c r="FF50" s="416"/>
      <c r="FG50" s="416"/>
      <c r="FH50" s="416"/>
      <c r="FI50" s="416"/>
      <c r="FJ50" s="416"/>
      <c r="FK50" s="416"/>
      <c r="FL50" s="416"/>
      <c r="FM50" s="416"/>
      <c r="FR50" s="3"/>
      <c r="FS50" s="3"/>
      <c r="FV50" s="58"/>
      <c r="FW50" s="58"/>
    </row>
    <row r="51" spans="2:179">
      <c r="B51" s="386">
        <v>38</v>
      </c>
      <c r="C51" s="394"/>
      <c r="D51" s="395"/>
      <c r="E51" s="385">
        <v>24201</v>
      </c>
      <c r="F51" s="385">
        <v>24501</v>
      </c>
      <c r="G51" s="390">
        <v>300</v>
      </c>
      <c r="H51" s="386" t="s">
        <v>263</v>
      </c>
      <c r="I51" s="386" t="s">
        <v>379</v>
      </c>
      <c r="J51" s="390">
        <v>2</v>
      </c>
      <c r="K51" s="386">
        <v>4.5999999999999996</v>
      </c>
      <c r="L51" s="386" t="s">
        <v>143</v>
      </c>
      <c r="M51" s="386">
        <v>4.2</v>
      </c>
      <c r="N51" s="386">
        <v>1</v>
      </c>
      <c r="O51" s="396">
        <v>1</v>
      </c>
      <c r="P51" s="386" t="s">
        <v>366</v>
      </c>
      <c r="Q51" s="397" t="s">
        <v>144</v>
      </c>
      <c r="R51" s="419" t="s">
        <v>73</v>
      </c>
      <c r="S51" s="310">
        <v>36</v>
      </c>
      <c r="T51" s="420"/>
      <c r="U51" s="279">
        <v>24</v>
      </c>
      <c r="V51" s="323">
        <v>6473.9966140621727</v>
      </c>
      <c r="W51" s="323">
        <v>2824.5698392986178</v>
      </c>
      <c r="X51" s="420"/>
      <c r="Y51" s="398">
        <f t="shared" si="15"/>
        <v>1</v>
      </c>
      <c r="Z51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51" s="182" t="s">
        <v>644</v>
      </c>
      <c r="AB51" s="391" t="s">
        <v>654</v>
      </c>
      <c r="AC51" s="31">
        <v>3.5</v>
      </c>
      <c r="AD51" s="31">
        <v>2.5</v>
      </c>
      <c r="AE51" s="421"/>
      <c r="AF51" s="421"/>
      <c r="AG51" s="421">
        <v>0</v>
      </c>
      <c r="AH51" s="441">
        <v>0.26</v>
      </c>
      <c r="AI51" s="25">
        <v>0.03</v>
      </c>
      <c r="AJ51" s="435">
        <v>8.7999999999999995E-2</v>
      </c>
      <c r="AK51" s="330">
        <v>45</v>
      </c>
      <c r="AL51" s="263">
        <v>0.55000000000000004</v>
      </c>
      <c r="AM51" s="414">
        <v>24.750000000000004</v>
      </c>
      <c r="AN51" s="417">
        <v>2</v>
      </c>
      <c r="AO51" s="467" t="s">
        <v>73</v>
      </c>
      <c r="AP51" s="439">
        <v>88</v>
      </c>
      <c r="AQ51" s="442">
        <v>0.47</v>
      </c>
      <c r="AR51" s="422">
        <v>0.88</v>
      </c>
      <c r="AS51" s="316"/>
      <c r="AT51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51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51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51" s="23">
        <f>1/(1+(Tabela24[[#This Row],[Pt]])*(Tabela24[[#This Row],[Et]]-1)+(Tabela24[[#This Row],[PRv]])*(Tabela24[[#This Row],[Er]]-1))</f>
        <v>0.84602368866328259</v>
      </c>
      <c r="AX51" s="423">
        <f>Tabela24[veic/h]/Tabela24[PHF]</f>
        <v>51.136363636363633</v>
      </c>
      <c r="AY51" s="423">
        <v>60.443181818181813</v>
      </c>
      <c r="AZ51" s="21">
        <f>Tabela24[veic/h]/(Tabela24[PHF]*Tabela24[fg ats]*Tabela24[fhv ats])</f>
        <v>60.443181818181813</v>
      </c>
      <c r="BA51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51" s="322" t="str">
        <f>IF(AND(Tabela24[[#This Row],[vp1]]*Tabela24[[#This Row],[distrib. direc.]]&lt;1700,Tabela24[[#This Row],[vp1]]&lt;3200),"OK!","FAIL")</f>
        <v>OK!</v>
      </c>
      <c r="BC51" s="23">
        <f>INDEX('HCM2000'!$L$68:$AF$83,MATCH(Tabela24[[#This Row],[faixa (m)]],'HCM2000'!$K$68:$K$83),MATCH(Tabela24[[#This Row],[acost (m)]],'HCM2000'!$L$67:$AF$67))</f>
        <v>0.7</v>
      </c>
      <c r="BD51" s="23">
        <f>MIN(16,(2/3)*Tabela24[[#This Row],[acessos/km]])</f>
        <v>1.3333333333333333</v>
      </c>
      <c r="BE51" s="22">
        <f>Tabela24[BFFS]-Tabela24[fLS]-Tabela24[fA]</f>
        <v>85.966666666666669</v>
      </c>
      <c r="BF51" s="23" t="e">
        <v>#REF!</v>
      </c>
      <c r="BG51" s="463">
        <f>IFERROR(Tabela24[[#This Row],[vp1]],0)</f>
        <v>60.443181818181813</v>
      </c>
      <c r="BH51" s="463">
        <f>IFERROR(Tabela24[[#This Row],[% zonas s/ultra]],0)</f>
        <v>0.47</v>
      </c>
      <c r="BI51" s="23" t="str">
        <f t="shared" si="5"/>
        <v>FNP</v>
      </c>
      <c r="BJ51" s="23">
        <v>0.85375994318181803</v>
      </c>
      <c r="BK51" s="43">
        <f>Tabela24[FFS]-0.0125*MAX(Tabela24[[#This Row],[vp1]],Tabela24[[#This Row],[vp1'']])-Tabela24[fnp'']</f>
        <v>84.35736695075758</v>
      </c>
      <c r="BL51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51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51" s="23">
        <v>1</v>
      </c>
      <c r="BO51" s="23">
        <f>1/(1+Tabela24[[#This Row],[Pt]]*(Tabela24[[#This Row],[Et time]]-1)+Tabela24[[#This Row],[PRv]]*(Tabela24[[#This Row],[Er time]]-1))</f>
        <v>0.97465886939571145</v>
      </c>
      <c r="BP51" s="23">
        <f>Tabela24[veic/h]/Tabela24[PHF]</f>
        <v>51.136363636363633</v>
      </c>
      <c r="BQ51" s="23">
        <v>52.465909090909093</v>
      </c>
      <c r="BR51" s="438">
        <f>Tabela24[veic/h]/(Tabela24[PHF]*Tabela24[fg time]*Tabela24[fhv follow])</f>
        <v>52.465909090909093</v>
      </c>
      <c r="BS51" s="438" t="str">
        <f>IF(AND(Tabela24[[#This Row],[vp2]]*Tabela24[[#This Row],[distrib. direc.]]&lt;1700,Tabela24[[#This Row],[vp2]]&lt;3200),"OK!","FAIL")</f>
        <v>OK!</v>
      </c>
      <c r="BT51" s="23">
        <f>100*(1-EXP(-0.000879*MAX(Tabela24[[#This Row],[vp2]],Tabela24[[#This Row],[vp2'']])))</f>
        <v>4.5070281201749722</v>
      </c>
      <c r="BU51" s="304" t="e">
        <v>#REF!</v>
      </c>
      <c r="BV51" s="304">
        <f>IF(TYPE(Tabela24[distrib. direc.])&lt;&gt;1,0,Tabela24[distrib. direc.])</f>
        <v>0.55000000000000004</v>
      </c>
      <c r="BW51" s="304">
        <f>IF(TYPE(Tabela24[vp2])&lt;&gt;1,0,Tabela24[vp2])</f>
        <v>52.465909090909093</v>
      </c>
      <c r="BX51" s="304">
        <f>IF(TYPE(Tabela24[% zonas s/ultra])&lt;&gt;1,0,Tabela24[% zonas s/ultra])</f>
        <v>0.47</v>
      </c>
      <c r="BY51" s="304" t="str">
        <f t="shared" si="6"/>
        <v>FDNP</v>
      </c>
      <c r="BZ51" s="31">
        <v>19.055000000000078</v>
      </c>
      <c r="CA51" s="305">
        <f>Tabela24[BPTSF]+Tabela24[fd/np'']</f>
        <v>23.56202812017505</v>
      </c>
      <c r="CB51" s="424">
        <f>Tabela24[vp1]/3200</f>
        <v>1.8888494318181816E-2</v>
      </c>
      <c r="CC51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B</v>
      </c>
      <c r="CD51" s="332">
        <f>VLOOKUP(Tabela24[faixa (m)],'HCM2000'!$B$541:$C$547,2,TRUE)</f>
        <v>1</v>
      </c>
      <c r="CE51" s="332">
        <f>IF(Tabela24[acost (m)]&gt;0,1.8,1.2)</f>
        <v>1.8</v>
      </c>
      <c r="CF51" s="332">
        <f>IF(Tabela24[Separador]=$CB$6,$CD$6,IF(Tabela24[Separador]=$CB$7,$CD$7,$CD$8))</f>
        <v>0</v>
      </c>
      <c r="CG51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51" s="332">
        <f>IF(Tabela24[Separador]="Sinalização horizontal",'HCM2000'!$C$590,'HCM2000'!$C$591)</f>
        <v>2.6</v>
      </c>
      <c r="CI51" s="332">
        <f>MIN((2/3)*Tabela24[[#This Row],[acessos/km]],16)</f>
        <v>1.3333333333333333</v>
      </c>
      <c r="CJ51" s="332">
        <f>IF(Tabela24[fLC]="Pista simples","-",Tabela24[BFFS]-Tabela24[fLW]-Tabela24[fLC]-Tabela24[fM]-Tabela24[fA2])</f>
        <v>80.966666666666683</v>
      </c>
      <c r="CK51" s="332">
        <f>IF(Tabela24[plano/ondulado]="Montanhoso",Tabela24[Para PT&lt;],VLOOKUP(Tabela24[plano/ondulado],'HCM2000'!$B$606:$C$608,2,FALSE))</f>
        <v>1.5</v>
      </c>
      <c r="CL51" s="332">
        <f>IF(Tabela24[[#This Row],[plano/ondulado]]="Montanhoso",Tabela24[[#This Row],[Para PT&lt;]],VLOOKUP(Tabela24[[#This Row],[plano/ondulado]],'HCM2000'!$E$606:$F$608,2,FALSE))</f>
        <v>1.2</v>
      </c>
      <c r="CM51" s="433">
        <f>1/(1+(Tabela24[Pt]*(Tabela24[Et2]-1))+(Tabela24[PRv]*(Tabela24[Er2]-1)))</f>
        <v>0.88028169014084512</v>
      </c>
      <c r="CN51" s="329">
        <f>K51+IF(Tabela24[[#This Row],[Num. Faixas Marg.]]="-",0,Tabela24[[#This Row],[Num. Faixas Marg.]])</f>
        <v>4.5999999999999996</v>
      </c>
      <c r="CO51" s="331">
        <f>Tabela24[[#This Row],[Vzão]]/(Tabela24[[#This Row],[PHF]]*Tabela24[[#This Row],[N]]*Tabela24[[#This Row],[fHV]])</f>
        <v>6.9456521739130439</v>
      </c>
      <c r="CP51" s="332">
        <f>IF(Tabela24[fLC]="Pista simples","-",Tabela24[vp3]/Tabela24[S])</f>
        <v>8.5784094366978703E-2</v>
      </c>
      <c r="CQ51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51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51" s="308" t="str">
        <f>IF(Tabela24[LOS_vp3]="F","F",VLOOKUP(Tabela24[LOS_vp3],'HCM2000'!$R$655:$S$659,2))</f>
        <v>F</v>
      </c>
      <c r="CT51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51" s="425" t="str">
        <f>IF(Tabela24[[#This Row],[LOS_vp3]]="F","F",IF(Tabela24[[#This Row],[fLC]]="Pista simples","-",VLOOKUP(Tabela24[[#This Row],[LOS_D3]],'HCM2000'!$R$655:$S$659,2)))</f>
        <v>F</v>
      </c>
      <c r="CV51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51" s="381"/>
      <c r="CX51" s="381"/>
      <c r="CY51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51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51" s="22">
        <f>ABS(INDEX('HCM2000'!$E$611:$M$611,1,MATCH(Tabela24[Pt]*100,'HCM2000'!$E$611:$M$611,1))-Tabela24[Pt]*100)</f>
        <v>1</v>
      </c>
      <c r="DB51" s="22" t="e">
        <f>INDEX('HCM2000'!$E$611:$M$611,1,MATCH(Tabela24[[#This Row],[Pt]]*100,'HCM2000'!$E$611:$M$611,1)+1)-Tabela24[[#This Row],[Pt]]*100</f>
        <v>#REF!</v>
      </c>
      <c r="DC51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51" s="440"/>
      <c r="DE51" s="423" t="e">
        <f>1/(1+(Tabela24[Pt]*(Tabela24[ETsu]-1))+(Tabela24[PRv]*(Tabela24[ERsu]-1)))</f>
        <v>#N/A</v>
      </c>
      <c r="DF51" s="438" t="e">
        <f>Tabela24[Vzão]/(Tabela24[PHF]*Tabela24[N]*Tabela24[fHVsu])</f>
        <v>#N/A</v>
      </c>
      <c r="DG51" s="332" t="e">
        <f>IF(Tabela24[fLC]="Pista simples","-",Tabela24[vpsu]/Tabela24[S])</f>
        <v>#N/A</v>
      </c>
      <c r="DH51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51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51" s="425" t="str">
        <f>IF(Tabela24[[#This Row],[LOS_vp3]]="F","F",VLOOKUP(Tabela24[[#This Row],[LOS_vp3]],'HCM2000'!$R$655:$S$659,2))</f>
        <v>F</v>
      </c>
      <c r="DK51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51" s="425" t="str">
        <f>IF(Tabela24[[#This Row],[LOS_vp3]]="F","F",IF(Tabela24[[#This Row],[fLC]]="Pista simples","-",VLOOKUP(Tabela24[[#This Row],[LOS_D3]],'HCM2000'!$R$655:$S$659,2)))</f>
        <v>F</v>
      </c>
      <c r="DM51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51" s="416"/>
      <c r="DO51" s="22">
        <f>Tabela24[[#This Row],[ATS]]</f>
        <v>84.35736695075758</v>
      </c>
      <c r="DP51" s="416">
        <v>84.4</v>
      </c>
      <c r="DQ51" s="22">
        <f t="shared" si="11"/>
        <v>4.2633049242425614E-2</v>
      </c>
      <c r="DR51" s="22">
        <f>Tabela24[[#This Row],[PTSF]]</f>
        <v>23.56202812017505</v>
      </c>
      <c r="DS51" s="416">
        <v>21.7</v>
      </c>
      <c r="DT51" s="22">
        <f t="shared" si="12"/>
        <v>1.8620281201750508</v>
      </c>
      <c r="DU51" s="22"/>
      <c r="DV51" s="22">
        <v>84.35736695075758</v>
      </c>
      <c r="DW51" s="440">
        <v>84.4</v>
      </c>
      <c r="DX51" s="22">
        <v>4.2633049242425614E-2</v>
      </c>
      <c r="DY51" s="22">
        <v>23.56202812017505</v>
      </c>
      <c r="DZ51" s="440">
        <v>21.7</v>
      </c>
      <c r="EA51" s="22">
        <v>1.8620281201750508</v>
      </c>
      <c r="EB51" s="416"/>
      <c r="EC51" s="416"/>
      <c r="ED51" s="416"/>
      <c r="EE51" s="416"/>
      <c r="EF51" s="416"/>
      <c r="EG51" s="416"/>
      <c r="EH51" s="416"/>
      <c r="EI51" s="416"/>
      <c r="EJ51" s="416"/>
      <c r="EK51" s="416"/>
      <c r="EL51" s="416"/>
      <c r="EM51" s="416"/>
      <c r="EN51" s="416"/>
      <c r="EO51" s="416"/>
      <c r="EP51" s="416"/>
      <c r="EQ51" s="416"/>
      <c r="ER51" s="416"/>
      <c r="ES51" s="416"/>
      <c r="ET51" s="416"/>
      <c r="EU51" s="416"/>
      <c r="EV51" s="416"/>
      <c r="EW51" s="416"/>
      <c r="EX51" s="416"/>
      <c r="EY51" s="416"/>
      <c r="EZ51" s="416"/>
      <c r="FA51" s="416"/>
      <c r="FB51" s="416"/>
      <c r="FC51" s="416"/>
      <c r="FD51" s="416"/>
      <c r="FE51" s="416"/>
      <c r="FF51" s="416"/>
      <c r="FG51" s="416"/>
      <c r="FH51" s="416"/>
      <c r="FI51" s="416"/>
      <c r="FJ51" s="416"/>
      <c r="FK51" s="416"/>
      <c r="FL51" s="416"/>
      <c r="FM51" s="416"/>
      <c r="FR51" s="3"/>
      <c r="FS51" s="3"/>
      <c r="FV51" s="58"/>
      <c r="FW51" s="58"/>
    </row>
    <row r="52" spans="2:179">
      <c r="B52" s="386">
        <v>39</v>
      </c>
      <c r="C52" s="394"/>
      <c r="D52" s="395"/>
      <c r="E52" s="385">
        <v>24201</v>
      </c>
      <c r="F52" s="385">
        <v>24501</v>
      </c>
      <c r="G52" s="390">
        <v>300</v>
      </c>
      <c r="H52" s="386" t="s">
        <v>263</v>
      </c>
      <c r="I52" s="386" t="s">
        <v>379</v>
      </c>
      <c r="J52" s="390">
        <v>2</v>
      </c>
      <c r="K52" s="386">
        <v>4.5999999999999996</v>
      </c>
      <c r="L52" s="386" t="s">
        <v>143</v>
      </c>
      <c r="M52" s="386">
        <v>4.2</v>
      </c>
      <c r="N52" s="386">
        <v>1</v>
      </c>
      <c r="O52" s="396">
        <v>1</v>
      </c>
      <c r="P52" s="386" t="s">
        <v>366</v>
      </c>
      <c r="Q52" s="397" t="s">
        <v>144</v>
      </c>
      <c r="R52" s="419" t="s">
        <v>73</v>
      </c>
      <c r="S52" s="310">
        <v>37</v>
      </c>
      <c r="T52" s="420"/>
      <c r="U52" s="279">
        <v>24</v>
      </c>
      <c r="V52" s="323">
        <v>6473.9966140621727</v>
      </c>
      <c r="W52" s="323">
        <v>2824.5698392986178</v>
      </c>
      <c r="X52" s="420"/>
      <c r="Y52" s="398">
        <f t="shared" si="15"/>
        <v>1</v>
      </c>
      <c r="Z52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52" s="182" t="s">
        <v>644</v>
      </c>
      <c r="AB52" s="391" t="s">
        <v>654</v>
      </c>
      <c r="AC52" s="31">
        <v>3.5</v>
      </c>
      <c r="AD52" s="31">
        <v>2.5</v>
      </c>
      <c r="AE52" s="421"/>
      <c r="AF52" s="421"/>
      <c r="AG52" s="421">
        <v>0</v>
      </c>
      <c r="AH52" s="441">
        <v>0.26</v>
      </c>
      <c r="AI52" s="25">
        <v>0.03</v>
      </c>
      <c r="AJ52" s="435">
        <v>8.7999999999999995E-2</v>
      </c>
      <c r="AK52" s="330">
        <v>45</v>
      </c>
      <c r="AL52" s="263">
        <v>0.55000000000000004</v>
      </c>
      <c r="AM52" s="414">
        <v>24.750000000000004</v>
      </c>
      <c r="AN52" s="417">
        <v>2</v>
      </c>
      <c r="AO52" s="467" t="s">
        <v>73</v>
      </c>
      <c r="AP52" s="439">
        <v>88</v>
      </c>
      <c r="AQ52" s="442">
        <v>0.47</v>
      </c>
      <c r="AR52" s="422">
        <v>0.88</v>
      </c>
      <c r="AS52" s="316"/>
      <c r="AT52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52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52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52" s="23">
        <f>1/(1+(Tabela24[[#This Row],[Pt]])*(Tabela24[[#This Row],[Et]]-1)+(Tabela24[[#This Row],[PRv]])*(Tabela24[[#This Row],[Er]]-1))</f>
        <v>0.84602368866328259</v>
      </c>
      <c r="AX52" s="423">
        <f>Tabela24[veic/h]/Tabela24[PHF]</f>
        <v>51.136363636363633</v>
      </c>
      <c r="AY52" s="423">
        <v>60.443181818181813</v>
      </c>
      <c r="AZ52" s="21">
        <f>Tabela24[veic/h]/(Tabela24[PHF]*Tabela24[fg ats]*Tabela24[fhv ats])</f>
        <v>60.443181818181813</v>
      </c>
      <c r="BA52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52" s="322" t="str">
        <f>IF(AND(Tabela24[[#This Row],[vp1]]*Tabela24[[#This Row],[distrib. direc.]]&lt;1700,Tabela24[[#This Row],[vp1]]&lt;3200),"OK!","FAIL")</f>
        <v>OK!</v>
      </c>
      <c r="BC52" s="23">
        <f>INDEX('HCM2000'!$L$68:$AF$83,MATCH(Tabela24[[#This Row],[faixa (m)]],'HCM2000'!$K$68:$K$83),MATCH(Tabela24[[#This Row],[acost (m)]],'HCM2000'!$L$67:$AF$67))</f>
        <v>0.7</v>
      </c>
      <c r="BD52" s="23">
        <f>MIN(16,(2/3)*Tabela24[[#This Row],[acessos/km]])</f>
        <v>1.3333333333333333</v>
      </c>
      <c r="BE52" s="22">
        <f>Tabela24[BFFS]-Tabela24[fLS]-Tabela24[fA]</f>
        <v>85.966666666666669</v>
      </c>
      <c r="BF52" s="23" t="e">
        <v>#REF!</v>
      </c>
      <c r="BG52" s="463">
        <f>IFERROR(Tabela24[[#This Row],[vp1]],0)</f>
        <v>60.443181818181813</v>
      </c>
      <c r="BH52" s="463">
        <f>IFERROR(Tabela24[[#This Row],[% zonas s/ultra]],0)</f>
        <v>0.47</v>
      </c>
      <c r="BI52" s="23" t="str">
        <f t="shared" si="5"/>
        <v>FNP</v>
      </c>
      <c r="BJ52" s="23">
        <v>0.85375994318181803</v>
      </c>
      <c r="BK52" s="43">
        <f>Tabela24[FFS]-0.0125*MAX(Tabela24[[#This Row],[vp1]],Tabela24[[#This Row],[vp1'']])-Tabela24[fnp'']</f>
        <v>84.35736695075758</v>
      </c>
      <c r="BL52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52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52" s="23">
        <v>1</v>
      </c>
      <c r="BO52" s="23">
        <f>1/(1+Tabela24[[#This Row],[Pt]]*(Tabela24[[#This Row],[Et time]]-1)+Tabela24[[#This Row],[PRv]]*(Tabela24[[#This Row],[Er time]]-1))</f>
        <v>0.97465886939571145</v>
      </c>
      <c r="BP52" s="23">
        <f>Tabela24[veic/h]/Tabela24[PHF]</f>
        <v>51.136363636363633</v>
      </c>
      <c r="BQ52" s="23">
        <v>52.465909090909093</v>
      </c>
      <c r="BR52" s="438">
        <f>Tabela24[veic/h]/(Tabela24[PHF]*Tabela24[fg time]*Tabela24[fhv follow])</f>
        <v>52.465909090909093</v>
      </c>
      <c r="BS52" s="438" t="str">
        <f>IF(AND(Tabela24[[#This Row],[vp2]]*Tabela24[[#This Row],[distrib. direc.]]&lt;1700,Tabela24[[#This Row],[vp2]]&lt;3200),"OK!","FAIL")</f>
        <v>OK!</v>
      </c>
      <c r="BT52" s="23">
        <f>100*(1-EXP(-0.000879*MAX(Tabela24[[#This Row],[vp2]],Tabela24[[#This Row],[vp2'']])))</f>
        <v>4.5070281201749722</v>
      </c>
      <c r="BU52" s="304" t="e">
        <v>#REF!</v>
      </c>
      <c r="BV52" s="304">
        <f>IF(TYPE(Tabela24[distrib. direc.])&lt;&gt;1,0,Tabela24[distrib. direc.])</f>
        <v>0.55000000000000004</v>
      </c>
      <c r="BW52" s="304">
        <f>IF(TYPE(Tabela24[vp2])&lt;&gt;1,0,Tabela24[vp2])</f>
        <v>52.465909090909093</v>
      </c>
      <c r="BX52" s="304">
        <f>IF(TYPE(Tabela24[% zonas s/ultra])&lt;&gt;1,0,Tabela24[% zonas s/ultra])</f>
        <v>0.47</v>
      </c>
      <c r="BY52" s="304" t="str">
        <f t="shared" si="6"/>
        <v>FDNP</v>
      </c>
      <c r="BZ52" s="31">
        <v>19.055000000000078</v>
      </c>
      <c r="CA52" s="305">
        <f>Tabela24[BPTSF]+Tabela24[fd/np'']</f>
        <v>23.56202812017505</v>
      </c>
      <c r="CB52" s="424">
        <f>Tabela24[vp1]/3200</f>
        <v>1.8888494318181816E-2</v>
      </c>
      <c r="CC52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B</v>
      </c>
      <c r="CD52" s="332">
        <f>VLOOKUP(Tabela24[faixa (m)],'HCM2000'!$B$541:$C$547,2,TRUE)</f>
        <v>1</v>
      </c>
      <c r="CE52" s="332">
        <f>IF(Tabela24[acost (m)]&gt;0,1.8,1.2)</f>
        <v>1.8</v>
      </c>
      <c r="CF52" s="332">
        <f>IF(Tabela24[Separador]=$CB$6,$CD$6,IF(Tabela24[Separador]=$CB$7,$CD$7,$CD$8))</f>
        <v>0</v>
      </c>
      <c r="CG52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52" s="332">
        <f>IF(Tabela24[Separador]="Sinalização horizontal",'HCM2000'!$C$590,'HCM2000'!$C$591)</f>
        <v>2.6</v>
      </c>
      <c r="CI52" s="332">
        <f>MIN((2/3)*Tabela24[[#This Row],[acessos/km]],16)</f>
        <v>1.3333333333333333</v>
      </c>
      <c r="CJ52" s="332">
        <f>IF(Tabela24[fLC]="Pista simples","-",Tabela24[BFFS]-Tabela24[fLW]-Tabela24[fLC]-Tabela24[fM]-Tabela24[fA2])</f>
        <v>80.966666666666683</v>
      </c>
      <c r="CK52" s="332">
        <f>IF(Tabela24[plano/ondulado]="Montanhoso",Tabela24[Para PT&lt;],VLOOKUP(Tabela24[plano/ondulado],'HCM2000'!$B$606:$C$608,2,FALSE))</f>
        <v>1.5</v>
      </c>
      <c r="CL52" s="332">
        <f>IF(Tabela24[[#This Row],[plano/ondulado]]="Montanhoso",Tabela24[[#This Row],[Para PT&lt;]],VLOOKUP(Tabela24[[#This Row],[plano/ondulado]],'HCM2000'!$E$606:$F$608,2,FALSE))</f>
        <v>1.2</v>
      </c>
      <c r="CM52" s="433">
        <f>1/(1+(Tabela24[Pt]*(Tabela24[Et2]-1))+(Tabela24[PRv]*(Tabela24[Er2]-1)))</f>
        <v>0.88028169014084512</v>
      </c>
      <c r="CN52" s="329">
        <f>K52+IF(Tabela24[[#This Row],[Num. Faixas Marg.]]="-",0,Tabela24[[#This Row],[Num. Faixas Marg.]])</f>
        <v>4.5999999999999996</v>
      </c>
      <c r="CO52" s="331">
        <f>Tabela24[[#This Row],[Vzão]]/(Tabela24[[#This Row],[PHF]]*Tabela24[[#This Row],[N]]*Tabela24[[#This Row],[fHV]])</f>
        <v>6.9456521739130439</v>
      </c>
      <c r="CP52" s="332">
        <f>IF(Tabela24[fLC]="Pista simples","-",Tabela24[vp3]/Tabela24[S])</f>
        <v>8.5784094366978703E-2</v>
      </c>
      <c r="CQ52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52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52" s="308" t="str">
        <f>IF(Tabela24[LOS_vp3]="F","F",VLOOKUP(Tabela24[LOS_vp3],'HCM2000'!$R$655:$S$659,2))</f>
        <v>F</v>
      </c>
      <c r="CT52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52" s="425" t="str">
        <f>IF(Tabela24[[#This Row],[LOS_vp3]]="F","F",IF(Tabela24[[#This Row],[fLC]]="Pista simples","-",VLOOKUP(Tabela24[[#This Row],[LOS_D3]],'HCM2000'!$R$655:$S$659,2)))</f>
        <v>F</v>
      </c>
      <c r="CV52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52" s="381"/>
      <c r="CX52" s="381"/>
      <c r="CY52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52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52" s="22">
        <f>ABS(INDEX('HCM2000'!$E$611:$M$611,1,MATCH(Tabela24[Pt]*100,'HCM2000'!$E$611:$M$611,1))-Tabela24[Pt]*100)</f>
        <v>1</v>
      </c>
      <c r="DB52" s="22" t="e">
        <f>INDEX('HCM2000'!$E$611:$M$611,1,MATCH(Tabela24[[#This Row],[Pt]]*100,'HCM2000'!$E$611:$M$611,1)+1)-Tabela24[[#This Row],[Pt]]*100</f>
        <v>#REF!</v>
      </c>
      <c r="DC52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52" s="440"/>
      <c r="DE52" s="423" t="e">
        <f>1/(1+(Tabela24[Pt]*(Tabela24[ETsu]-1))+(Tabela24[PRv]*(Tabela24[ERsu]-1)))</f>
        <v>#N/A</v>
      </c>
      <c r="DF52" s="438" t="e">
        <f>Tabela24[Vzão]/(Tabela24[PHF]*Tabela24[N]*Tabela24[fHVsu])</f>
        <v>#N/A</v>
      </c>
      <c r="DG52" s="332" t="e">
        <f>IF(Tabela24[fLC]="Pista simples","-",Tabela24[vpsu]/Tabela24[S])</f>
        <v>#N/A</v>
      </c>
      <c r="DH52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52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52" s="425" t="str">
        <f>IF(Tabela24[[#This Row],[LOS_vp3]]="F","F",VLOOKUP(Tabela24[[#This Row],[LOS_vp3]],'HCM2000'!$R$655:$S$659,2))</f>
        <v>F</v>
      </c>
      <c r="DK52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52" s="425" t="str">
        <f>IF(Tabela24[[#This Row],[LOS_vp3]]="F","F",IF(Tabela24[[#This Row],[fLC]]="Pista simples","-",VLOOKUP(Tabela24[[#This Row],[LOS_D3]],'HCM2000'!$R$655:$S$659,2)))</f>
        <v>F</v>
      </c>
      <c r="DM52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52" s="416"/>
      <c r="DO52" s="22">
        <f>Tabela24[[#This Row],[ATS]]</f>
        <v>84.35736695075758</v>
      </c>
      <c r="DP52" s="416">
        <v>84.4</v>
      </c>
      <c r="DQ52" s="22">
        <f t="shared" si="11"/>
        <v>4.2633049242425614E-2</v>
      </c>
      <c r="DR52" s="22">
        <f>Tabela24[[#This Row],[PTSF]]</f>
        <v>23.56202812017505</v>
      </c>
      <c r="DS52" s="416">
        <v>21.7</v>
      </c>
      <c r="DT52" s="22">
        <f t="shared" si="12"/>
        <v>1.8620281201750508</v>
      </c>
      <c r="DU52" s="22"/>
      <c r="DV52" s="22">
        <v>84.35736695075758</v>
      </c>
      <c r="DW52" s="416">
        <v>84.4</v>
      </c>
      <c r="DX52" s="22">
        <v>4.2633049242425614E-2</v>
      </c>
      <c r="DY52" s="22">
        <v>23.56202812017505</v>
      </c>
      <c r="DZ52" s="416">
        <v>21.7</v>
      </c>
      <c r="EA52" s="22">
        <v>1.8620281201750508</v>
      </c>
      <c r="EB52" s="416"/>
      <c r="EC52" s="416"/>
      <c r="ED52" s="416"/>
      <c r="EE52" s="416"/>
      <c r="EF52" s="416"/>
      <c r="EG52" s="416"/>
      <c r="EH52" s="416"/>
      <c r="EI52" s="416"/>
      <c r="EJ52" s="416"/>
      <c r="EK52" s="416"/>
      <c r="EL52" s="416"/>
      <c r="EM52" s="416"/>
      <c r="EN52" s="416"/>
      <c r="EO52" s="416"/>
      <c r="EP52" s="416"/>
      <c r="EQ52" s="416"/>
      <c r="ER52" s="416"/>
      <c r="ES52" s="416"/>
      <c r="ET52" s="416"/>
      <c r="EU52" s="416"/>
      <c r="EV52" s="416"/>
      <c r="EW52" s="416"/>
      <c r="EX52" s="416"/>
      <c r="EY52" s="416"/>
      <c r="EZ52" s="416"/>
      <c r="FA52" s="416"/>
      <c r="FB52" s="416"/>
      <c r="FC52" s="416"/>
      <c r="FD52" s="416"/>
      <c r="FE52" s="416"/>
      <c r="FF52" s="416"/>
      <c r="FG52" s="416"/>
      <c r="FH52" s="416"/>
      <c r="FI52" s="416"/>
      <c r="FJ52" s="416"/>
      <c r="FK52" s="416"/>
      <c r="FL52" s="416"/>
      <c r="FM52" s="416"/>
      <c r="FR52" s="3"/>
      <c r="FS52" s="3"/>
      <c r="FV52" s="58"/>
      <c r="FW52" s="58"/>
    </row>
    <row r="53" spans="2:179">
      <c r="B53" s="386">
        <v>40</v>
      </c>
      <c r="C53" s="394"/>
      <c r="D53" s="395"/>
      <c r="E53" s="385">
        <v>24201</v>
      </c>
      <c r="F53" s="385">
        <v>24501</v>
      </c>
      <c r="G53" s="390">
        <v>300</v>
      </c>
      <c r="H53" s="386" t="s">
        <v>263</v>
      </c>
      <c r="I53" s="386" t="s">
        <v>379</v>
      </c>
      <c r="J53" s="390">
        <v>2</v>
      </c>
      <c r="K53" s="386">
        <v>4.5999999999999996</v>
      </c>
      <c r="L53" s="386" t="s">
        <v>143</v>
      </c>
      <c r="M53" s="386">
        <v>4.2</v>
      </c>
      <c r="N53" s="386">
        <v>1</v>
      </c>
      <c r="O53" s="396">
        <v>1</v>
      </c>
      <c r="P53" s="386" t="s">
        <v>366</v>
      </c>
      <c r="Q53" s="397" t="s">
        <v>144</v>
      </c>
      <c r="R53" s="419" t="s">
        <v>73</v>
      </c>
      <c r="S53" s="310">
        <v>38</v>
      </c>
      <c r="T53" s="420"/>
      <c r="U53" s="279">
        <v>24</v>
      </c>
      <c r="V53" s="323">
        <v>6473.9966140621727</v>
      </c>
      <c r="W53" s="323">
        <v>2824.5698392986178</v>
      </c>
      <c r="X53" s="420"/>
      <c r="Y53" s="398">
        <f t="shared" si="15"/>
        <v>1</v>
      </c>
      <c r="Z53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53" s="182" t="s">
        <v>644</v>
      </c>
      <c r="AB53" s="391" t="s">
        <v>654</v>
      </c>
      <c r="AC53" s="31">
        <v>3.5</v>
      </c>
      <c r="AD53" s="31">
        <v>2.5</v>
      </c>
      <c r="AE53" s="421"/>
      <c r="AF53" s="421"/>
      <c r="AG53" s="421">
        <v>0</v>
      </c>
      <c r="AH53" s="441">
        <v>0.26</v>
      </c>
      <c r="AI53" s="25">
        <v>0.03</v>
      </c>
      <c r="AJ53" s="435">
        <v>8.7999999999999995E-2</v>
      </c>
      <c r="AK53" s="330">
        <v>111</v>
      </c>
      <c r="AL53" s="263">
        <v>0.55000000000000004</v>
      </c>
      <c r="AM53" s="414">
        <v>61.050000000000004</v>
      </c>
      <c r="AN53" s="417">
        <v>3</v>
      </c>
      <c r="AO53" s="467" t="s">
        <v>73</v>
      </c>
      <c r="AP53" s="439">
        <v>88</v>
      </c>
      <c r="AQ53" s="442">
        <v>1</v>
      </c>
      <c r="AR53" s="422">
        <v>0.88</v>
      </c>
      <c r="AS53" s="316"/>
      <c r="AT53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53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53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53" s="23">
        <f>1/(1+(Tabela24[[#This Row],[Pt]])*(Tabela24[[#This Row],[Et]]-1)+(Tabela24[[#This Row],[PRv]])*(Tabela24[[#This Row],[Er]]-1))</f>
        <v>0.84602368866328259</v>
      </c>
      <c r="AX53" s="423">
        <f>Tabela24[veic/h]/Tabela24[PHF]</f>
        <v>126.13636363636364</v>
      </c>
      <c r="AY53" s="423">
        <v>149.09318181818182</v>
      </c>
      <c r="AZ53" s="21">
        <f>Tabela24[veic/h]/(Tabela24[PHF]*Tabela24[fg ats]*Tabela24[fhv ats])</f>
        <v>149.09318181818182</v>
      </c>
      <c r="BA53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53" s="322" t="str">
        <f>IF(AND(Tabela24[[#This Row],[vp1]]*Tabela24[[#This Row],[distrib. direc.]]&lt;1700,Tabela24[[#This Row],[vp1]]&lt;3200),"OK!","FAIL")</f>
        <v>OK!</v>
      </c>
      <c r="BC53" s="23">
        <f>INDEX('HCM2000'!$L$68:$AF$83,MATCH(Tabela24[[#This Row],[faixa (m)]],'HCM2000'!$K$68:$K$83),MATCH(Tabela24[[#This Row],[acost (m)]],'HCM2000'!$L$67:$AF$67))</f>
        <v>0.7</v>
      </c>
      <c r="BD53" s="23">
        <f>MIN(16,(2/3)*Tabela24[[#This Row],[acessos/km]])</f>
        <v>2</v>
      </c>
      <c r="BE53" s="22">
        <f>Tabela24[BFFS]-Tabela24[fLS]-Tabela24[fA]</f>
        <v>85.3</v>
      </c>
      <c r="BF53" s="23" t="e">
        <v>#REF!</v>
      </c>
      <c r="BG53" s="463">
        <f>IFERROR(Tabela24[[#This Row],[vp1]],0)</f>
        <v>149.09318181818182</v>
      </c>
      <c r="BH53" s="463">
        <f>IFERROR(Tabela24[[#This Row],[% zonas s/ultra]],0)</f>
        <v>1</v>
      </c>
      <c r="BI53" s="23" t="str">
        <f t="shared" si="5"/>
        <v>FNP</v>
      </c>
      <c r="BJ53" s="23">
        <v>4.1746090909090903</v>
      </c>
      <c r="BK53" s="43">
        <f>Tabela24[FFS]-0.0125*MAX(Tabela24[[#This Row],[vp1]],Tabela24[[#This Row],[vp1'']])-Tabela24[fnp'']</f>
        <v>79.261726136363635</v>
      </c>
      <c r="BL53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53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53" s="23">
        <v>1</v>
      </c>
      <c r="BO53" s="23">
        <f>1/(1+Tabela24[[#This Row],[Pt]]*(Tabela24[[#This Row],[Et time]]-1)+Tabela24[[#This Row],[PRv]]*(Tabela24[[#This Row],[Er time]]-1))</f>
        <v>0.97465886939571145</v>
      </c>
      <c r="BP53" s="23">
        <f>Tabela24[veic/h]/Tabela24[PHF]</f>
        <v>126.13636363636364</v>
      </c>
      <c r="BQ53" s="23">
        <v>129.41590909090911</v>
      </c>
      <c r="BR53" s="438">
        <f>Tabela24[veic/h]/(Tabela24[PHF]*Tabela24[fg time]*Tabela24[fhv follow])</f>
        <v>129.41590909090911</v>
      </c>
      <c r="BS53" s="438" t="str">
        <f>IF(AND(Tabela24[[#This Row],[vp2]]*Tabela24[[#This Row],[distrib. direc.]]&lt;1700,Tabela24[[#This Row],[vp2]]&lt;3200),"OK!","FAIL")</f>
        <v>OK!</v>
      </c>
      <c r="BT53" s="23">
        <f>100*(1-EXP(-0.000879*MAX(Tabela24[[#This Row],[vp2]],Tabela24[[#This Row],[vp2'']])))</f>
        <v>10.752482790024798</v>
      </c>
      <c r="BU53" s="304" t="e">
        <v>#REF!</v>
      </c>
      <c r="BV53" s="304">
        <f>IF(TYPE(Tabela24[distrib. direc.])&lt;&gt;1,0,Tabela24[distrib. direc.])</f>
        <v>0.55000000000000004</v>
      </c>
      <c r="BW53" s="304">
        <f>IF(TYPE(Tabela24[vp2])&lt;&gt;1,0,Tabela24[vp2])</f>
        <v>129.41590909090911</v>
      </c>
      <c r="BX53" s="304">
        <f>IF(TYPE(Tabela24[% zonas s/ultra])&lt;&gt;1,0,Tabela24[% zonas s/ultra])</f>
        <v>1</v>
      </c>
      <c r="BY53" s="304" t="str">
        <f t="shared" si="6"/>
        <v>FDNP</v>
      </c>
      <c r="BZ53" s="31">
        <v>23.699999999999989</v>
      </c>
      <c r="CA53" s="305">
        <f>Tabela24[BPTSF]+Tabela24[fd/np'']</f>
        <v>34.452482790024789</v>
      </c>
      <c r="CB53" s="424">
        <f>Tabela24[vp1]/3200</f>
        <v>4.6591619318181815E-2</v>
      </c>
      <c r="CC53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53" s="332">
        <f>VLOOKUP(Tabela24[faixa (m)],'HCM2000'!$B$541:$C$547,2,TRUE)</f>
        <v>1</v>
      </c>
      <c r="CE53" s="332">
        <f>IF(Tabela24[acost (m)]&gt;0,1.8,1.2)</f>
        <v>1.8</v>
      </c>
      <c r="CF53" s="332">
        <f>IF(Tabela24[Separador]=$CB$6,$CD$6,IF(Tabela24[Separador]=$CB$7,$CD$7,$CD$8))</f>
        <v>0</v>
      </c>
      <c r="CG53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53" s="332">
        <f>IF(Tabela24[Separador]="Sinalização horizontal",'HCM2000'!$C$590,'HCM2000'!$C$591)</f>
        <v>2.6</v>
      </c>
      <c r="CI53" s="332">
        <f>MIN((2/3)*Tabela24[[#This Row],[acessos/km]],16)</f>
        <v>2</v>
      </c>
      <c r="CJ53" s="332">
        <f>IF(Tabela24[fLC]="Pista simples","-",Tabela24[BFFS]-Tabela24[fLW]-Tabela24[fLC]-Tabela24[fM]-Tabela24[fA2])</f>
        <v>80.300000000000011</v>
      </c>
      <c r="CK53" s="332">
        <f>IF(Tabela24[plano/ondulado]="Montanhoso",Tabela24[Para PT&lt;],VLOOKUP(Tabela24[plano/ondulado],'HCM2000'!$B$606:$C$608,2,FALSE))</f>
        <v>1.5</v>
      </c>
      <c r="CL53" s="332">
        <f>IF(Tabela24[[#This Row],[plano/ondulado]]="Montanhoso",Tabela24[[#This Row],[Para PT&lt;]],VLOOKUP(Tabela24[[#This Row],[plano/ondulado]],'HCM2000'!$E$606:$F$608,2,FALSE))</f>
        <v>1.2</v>
      </c>
      <c r="CM53" s="433">
        <f>1/(1+(Tabela24[Pt]*(Tabela24[Et2]-1))+(Tabela24[PRv]*(Tabela24[Er2]-1)))</f>
        <v>0.88028169014084512</v>
      </c>
      <c r="CN53" s="329">
        <f>K53+IF(Tabela24[[#This Row],[Num. Faixas Marg.]]="-",0,Tabela24[[#This Row],[Num. Faixas Marg.]])</f>
        <v>4.5999999999999996</v>
      </c>
      <c r="CO53" s="331">
        <f>Tabela24[[#This Row],[Vzão]]/(Tabela24[[#This Row],[PHF]]*Tabela24[[#This Row],[N]]*Tabela24[[#This Row],[fHV]])</f>
        <v>17.132608695652173</v>
      </c>
      <c r="CP53" s="332">
        <f>IF(Tabela24[fLC]="Pista simples","-",Tabela24[vp3]/Tabela24[S])</f>
        <v>0.21335751800314037</v>
      </c>
      <c r="CQ53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53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53" s="308" t="str">
        <f>IF(Tabela24[LOS_vp3]="F","F",VLOOKUP(Tabela24[LOS_vp3],'HCM2000'!$R$655:$S$659,2))</f>
        <v>F</v>
      </c>
      <c r="CT53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53" s="425" t="str">
        <f>IF(Tabela24[[#This Row],[LOS_vp3]]="F","F",IF(Tabela24[[#This Row],[fLC]]="Pista simples","-",VLOOKUP(Tabela24[[#This Row],[LOS_D3]],'HCM2000'!$R$655:$S$659,2)))</f>
        <v>F</v>
      </c>
      <c r="CV53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53" s="381"/>
      <c r="CX53" s="381"/>
      <c r="CY53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53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53" s="22">
        <f>ABS(INDEX('HCM2000'!$E$611:$M$611,1,MATCH(Tabela24[Pt]*100,'HCM2000'!$E$611:$M$611,1))-Tabela24[Pt]*100)</f>
        <v>1</v>
      </c>
      <c r="DB53" s="22" t="e">
        <f>INDEX('HCM2000'!$E$611:$M$611,1,MATCH(Tabela24[[#This Row],[Pt]]*100,'HCM2000'!$E$611:$M$611,1)+1)-Tabela24[[#This Row],[Pt]]*100</f>
        <v>#REF!</v>
      </c>
      <c r="DC53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53" s="440"/>
      <c r="DE53" s="423" t="e">
        <f>1/(1+(Tabela24[Pt]*(Tabela24[ETsu]-1))+(Tabela24[PRv]*(Tabela24[ERsu]-1)))</f>
        <v>#N/A</v>
      </c>
      <c r="DF53" s="438" t="e">
        <f>Tabela24[Vzão]/(Tabela24[PHF]*Tabela24[N]*Tabela24[fHVsu])</f>
        <v>#N/A</v>
      </c>
      <c r="DG53" s="332" t="e">
        <f>IF(Tabela24[fLC]="Pista simples","-",Tabela24[vpsu]/Tabela24[S])</f>
        <v>#N/A</v>
      </c>
      <c r="DH53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53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53" s="425" t="str">
        <f>IF(Tabela24[[#This Row],[LOS_vp3]]="F","F",VLOOKUP(Tabela24[[#This Row],[LOS_vp3]],'HCM2000'!$R$655:$S$659,2))</f>
        <v>F</v>
      </c>
      <c r="DK53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53" s="425" t="str">
        <f>IF(Tabela24[[#This Row],[LOS_vp3]]="F","F",IF(Tabela24[[#This Row],[fLC]]="Pista simples","-",VLOOKUP(Tabela24[[#This Row],[LOS_D3]],'HCM2000'!$R$655:$S$659,2)))</f>
        <v>F</v>
      </c>
      <c r="DM53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53" s="416"/>
      <c r="DO53" s="22">
        <f>Tabela24[[#This Row],[ATS]]</f>
        <v>79.261726136363635</v>
      </c>
      <c r="DP53" s="416">
        <v>79.3</v>
      </c>
      <c r="DQ53" s="22">
        <f t="shared" si="11"/>
        <v>3.8273863636362648E-2</v>
      </c>
      <c r="DR53" s="22">
        <f>Tabela24[[#This Row],[PTSF]]</f>
        <v>34.452482790024789</v>
      </c>
      <c r="DS53" s="416">
        <v>32.799999999999997</v>
      </c>
      <c r="DT53" s="22">
        <f t="shared" si="12"/>
        <v>1.6524827900247914</v>
      </c>
      <c r="DU53" s="22"/>
      <c r="DV53" s="22">
        <v>79.261726136363635</v>
      </c>
      <c r="DW53" s="416">
        <v>79.3</v>
      </c>
      <c r="DX53" s="22">
        <v>3.8273863636362648E-2</v>
      </c>
      <c r="DY53" s="22">
        <v>34.452482790024789</v>
      </c>
      <c r="DZ53" s="416">
        <v>32.799999999999997</v>
      </c>
      <c r="EA53" s="22">
        <v>1.6524827900247914</v>
      </c>
      <c r="EB53" s="416"/>
      <c r="EC53" s="416"/>
      <c r="ED53" s="416"/>
      <c r="EE53" s="416"/>
      <c r="EF53" s="416"/>
      <c r="EG53" s="416"/>
      <c r="EH53" s="416"/>
      <c r="EI53" s="416"/>
      <c r="EJ53" s="416"/>
      <c r="EK53" s="416"/>
      <c r="EL53" s="416"/>
      <c r="EM53" s="416"/>
      <c r="EN53" s="416"/>
      <c r="EO53" s="416"/>
      <c r="EP53" s="416"/>
      <c r="EQ53" s="416"/>
      <c r="ER53" s="416"/>
      <c r="ES53" s="416"/>
      <c r="ET53" s="416"/>
      <c r="EU53" s="416"/>
      <c r="EV53" s="416"/>
      <c r="EW53" s="416"/>
      <c r="EX53" s="416"/>
      <c r="EY53" s="416"/>
      <c r="EZ53" s="416"/>
      <c r="FA53" s="416"/>
      <c r="FB53" s="416"/>
      <c r="FC53" s="416"/>
      <c r="FD53" s="416"/>
      <c r="FE53" s="416"/>
      <c r="FF53" s="416"/>
      <c r="FG53" s="416"/>
      <c r="FH53" s="416"/>
      <c r="FI53" s="416"/>
      <c r="FJ53" s="416"/>
      <c r="FK53" s="416"/>
      <c r="FL53" s="416"/>
      <c r="FM53" s="416"/>
      <c r="FR53" s="3"/>
      <c r="FS53" s="3"/>
      <c r="FV53" s="58"/>
      <c r="FW53" s="58"/>
    </row>
    <row r="54" spans="2:179">
      <c r="B54" s="386">
        <v>41</v>
      </c>
      <c r="C54" s="394"/>
      <c r="D54" s="395"/>
      <c r="E54" s="385">
        <v>24201</v>
      </c>
      <c r="F54" s="385">
        <v>24501</v>
      </c>
      <c r="G54" s="390">
        <v>300</v>
      </c>
      <c r="H54" s="386" t="s">
        <v>263</v>
      </c>
      <c r="I54" s="386" t="s">
        <v>379</v>
      </c>
      <c r="J54" s="390">
        <v>2</v>
      </c>
      <c r="K54" s="386">
        <v>4.5999999999999996</v>
      </c>
      <c r="L54" s="386" t="s">
        <v>143</v>
      </c>
      <c r="M54" s="386">
        <v>4.2</v>
      </c>
      <c r="N54" s="386">
        <v>1</v>
      </c>
      <c r="O54" s="396">
        <v>1</v>
      </c>
      <c r="P54" s="386" t="s">
        <v>366</v>
      </c>
      <c r="Q54" s="397" t="s">
        <v>144</v>
      </c>
      <c r="R54" s="419" t="s">
        <v>73</v>
      </c>
      <c r="S54" s="310">
        <v>39</v>
      </c>
      <c r="T54" s="420"/>
      <c r="U54" s="279">
        <v>24</v>
      </c>
      <c r="V54" s="323">
        <v>6473.9966140621727</v>
      </c>
      <c r="W54" s="323">
        <v>2824.5698392986178</v>
      </c>
      <c r="X54" s="420"/>
      <c r="Y54" s="398">
        <f t="shared" si="15"/>
        <v>1</v>
      </c>
      <c r="Z54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54" s="182" t="s">
        <v>644</v>
      </c>
      <c r="AB54" s="391" t="s">
        <v>654</v>
      </c>
      <c r="AC54" s="31">
        <v>3</v>
      </c>
      <c r="AD54" s="31">
        <v>2.5</v>
      </c>
      <c r="AE54" s="421"/>
      <c r="AF54" s="421"/>
      <c r="AG54" s="421">
        <v>0</v>
      </c>
      <c r="AH54" s="441">
        <v>0.26</v>
      </c>
      <c r="AI54" s="25">
        <v>0.03</v>
      </c>
      <c r="AJ54" s="435">
        <v>8.7999999999999995E-2</v>
      </c>
      <c r="AK54" s="330">
        <v>111</v>
      </c>
      <c r="AL54" s="263">
        <v>0.55000000000000004</v>
      </c>
      <c r="AM54" s="414">
        <v>61.050000000000004</v>
      </c>
      <c r="AN54" s="417">
        <v>4</v>
      </c>
      <c r="AO54" s="467" t="s">
        <v>73</v>
      </c>
      <c r="AP54" s="439">
        <v>88</v>
      </c>
      <c r="AQ54" s="442">
        <v>0.71</v>
      </c>
      <c r="AR54" s="422">
        <v>0.88</v>
      </c>
      <c r="AS54" s="316"/>
      <c r="AT54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54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54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54" s="23">
        <f>1/(1+(Tabela24[[#This Row],[Pt]])*(Tabela24[[#This Row],[Et]]-1)+(Tabela24[[#This Row],[PRv]])*(Tabela24[[#This Row],[Er]]-1))</f>
        <v>0.84602368866328259</v>
      </c>
      <c r="AX54" s="423">
        <f>Tabela24[veic/h]/Tabela24[PHF]</f>
        <v>126.13636363636364</v>
      </c>
      <c r="AY54" s="423">
        <v>149.09318181818182</v>
      </c>
      <c r="AZ54" s="21">
        <f>Tabela24[veic/h]/(Tabela24[PHF]*Tabela24[fg ats]*Tabela24[fhv ats])</f>
        <v>149.09318181818182</v>
      </c>
      <c r="BA54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54" s="322" t="str">
        <f>IF(AND(Tabela24[[#This Row],[vp1]]*Tabela24[[#This Row],[distrib. direc.]]&lt;1700,Tabela24[[#This Row],[vp1]]&lt;3200),"OK!","FAIL")</f>
        <v>OK!</v>
      </c>
      <c r="BC54" s="23">
        <f>INDEX('HCM2000'!$L$68:$AF$83,MATCH(Tabela24[[#This Row],[faixa (m)]],'HCM2000'!$K$68:$K$83),MATCH(Tabela24[[#This Row],[acost (m)]],'HCM2000'!$L$67:$AF$67))</f>
        <v>1.7</v>
      </c>
      <c r="BD54" s="23">
        <f>MIN(16,(2/3)*Tabela24[[#This Row],[acessos/km]])</f>
        <v>2.6666666666666665</v>
      </c>
      <c r="BE54" s="22">
        <f>Tabela24[BFFS]-Tabela24[fLS]-Tabela24[fA]</f>
        <v>83.633333333333326</v>
      </c>
      <c r="BF54" s="23" t="e">
        <v>#REF!</v>
      </c>
      <c r="BG54" s="463">
        <f>IFERROR(Tabela24[[#This Row],[vp1]],0)</f>
        <v>149.09318181818182</v>
      </c>
      <c r="BH54" s="463">
        <f>IFERROR(Tabela24[[#This Row],[% zonas s/ultra]],0)</f>
        <v>0.71</v>
      </c>
      <c r="BI54" s="23" t="str">
        <f t="shared" si="5"/>
        <v>FNP</v>
      </c>
      <c r="BJ54" s="23">
        <v>2.9967729545454551</v>
      </c>
      <c r="BK54" s="43">
        <f>Tabela24[FFS]-0.0125*MAX(Tabela24[[#This Row],[vp1]],Tabela24[[#This Row],[vp1'']])-Tabela24[fnp'']</f>
        <v>78.772895606060601</v>
      </c>
      <c r="BL54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54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54" s="23">
        <v>1</v>
      </c>
      <c r="BO54" s="23">
        <f>1/(1+Tabela24[[#This Row],[Pt]]*(Tabela24[[#This Row],[Et time]]-1)+Tabela24[[#This Row],[PRv]]*(Tabela24[[#This Row],[Er time]]-1))</f>
        <v>0.97465886939571145</v>
      </c>
      <c r="BP54" s="23">
        <f>Tabela24[veic/h]/Tabela24[PHF]</f>
        <v>126.13636363636364</v>
      </c>
      <c r="BQ54" s="23">
        <v>129.41590909090911</v>
      </c>
      <c r="BR54" s="438">
        <f>Tabela24[veic/h]/(Tabela24[PHF]*Tabela24[fg time]*Tabela24[fhv follow])</f>
        <v>129.41590909090911</v>
      </c>
      <c r="BS54" s="438" t="str">
        <f>IF(AND(Tabela24[[#This Row],[vp2]]*Tabela24[[#This Row],[distrib. direc.]]&lt;1700,Tabela24[[#This Row],[vp2]]&lt;3200),"OK!","FAIL")</f>
        <v>OK!</v>
      </c>
      <c r="BT54" s="23">
        <f>100*(1-EXP(-0.000879*MAX(Tabela24[[#This Row],[vp2]],Tabela24[[#This Row],[vp2'']])))</f>
        <v>10.752482790024798</v>
      </c>
      <c r="BU54" s="304" t="e">
        <v>#REF!</v>
      </c>
      <c r="BV54" s="304">
        <f>IF(TYPE(Tabela24[distrib. direc.])&lt;&gt;1,0,Tabela24[distrib. direc.])</f>
        <v>0.55000000000000004</v>
      </c>
      <c r="BW54" s="304">
        <f>IF(TYPE(Tabela24[vp2])&lt;&gt;1,0,Tabela24[vp2])</f>
        <v>129.41590909090911</v>
      </c>
      <c r="BX54" s="304">
        <f>IF(TYPE(Tabela24[% zonas s/ultra])&lt;&gt;1,0,Tabela24[% zonas s/ultra])</f>
        <v>0.71</v>
      </c>
      <c r="BY54" s="304" t="str">
        <f t="shared" si="6"/>
        <v>FDNP</v>
      </c>
      <c r="BZ54" s="31">
        <v>22.830000000000044</v>
      </c>
      <c r="CA54" s="305">
        <f>Tabela24[BPTSF]+Tabela24[fd/np'']</f>
        <v>33.582482790024841</v>
      </c>
      <c r="CB54" s="424">
        <f>Tabela24[vp1]/3200</f>
        <v>4.6591619318181815E-2</v>
      </c>
      <c r="CC54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54" s="332">
        <f>VLOOKUP(Tabela24[faixa (m)],'HCM2000'!$B$541:$C$547,2,TRUE)</f>
        <v>10.6</v>
      </c>
      <c r="CE54" s="332">
        <f>IF(Tabela24[acost (m)]&gt;0,1.8,1.2)</f>
        <v>1.8</v>
      </c>
      <c r="CF54" s="332">
        <f>IF(Tabela24[Separador]=$CB$6,$CD$6,IF(Tabela24[Separador]=$CB$7,$CD$7,$CD$8))</f>
        <v>0</v>
      </c>
      <c r="CG54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54" s="332">
        <f>IF(Tabela24[Separador]="Sinalização horizontal",'HCM2000'!$C$590,'HCM2000'!$C$591)</f>
        <v>2.6</v>
      </c>
      <c r="CI54" s="332">
        <f>MIN((2/3)*Tabela24[[#This Row],[acessos/km]],16)</f>
        <v>2.6666666666666665</v>
      </c>
      <c r="CJ54" s="332">
        <f>IF(Tabela24[fLC]="Pista simples","-",Tabela24[BFFS]-Tabela24[fLW]-Tabela24[fLC]-Tabela24[fM]-Tabela24[fA2])</f>
        <v>70.033333333333346</v>
      </c>
      <c r="CK54" s="332">
        <f>IF(Tabela24[plano/ondulado]="Montanhoso",Tabela24[Para PT&lt;],VLOOKUP(Tabela24[plano/ondulado],'HCM2000'!$B$606:$C$608,2,FALSE))</f>
        <v>1.5</v>
      </c>
      <c r="CL54" s="332">
        <f>IF(Tabela24[[#This Row],[plano/ondulado]]="Montanhoso",Tabela24[[#This Row],[Para PT&lt;]],VLOOKUP(Tabela24[[#This Row],[plano/ondulado]],'HCM2000'!$E$606:$F$608,2,FALSE))</f>
        <v>1.2</v>
      </c>
      <c r="CM54" s="433">
        <f>1/(1+(Tabela24[Pt]*(Tabela24[Et2]-1))+(Tabela24[PRv]*(Tabela24[Er2]-1)))</f>
        <v>0.88028169014084512</v>
      </c>
      <c r="CN54" s="329">
        <f>K54+IF(Tabela24[[#This Row],[Num. Faixas Marg.]]="-",0,Tabela24[[#This Row],[Num. Faixas Marg.]])</f>
        <v>4.5999999999999996</v>
      </c>
      <c r="CO54" s="331">
        <f>Tabela24[[#This Row],[Vzão]]/(Tabela24[[#This Row],[PHF]]*Tabela24[[#This Row],[N]]*Tabela24[[#This Row],[fHV]])</f>
        <v>17.132608695652173</v>
      </c>
      <c r="CP54" s="332">
        <f>IF(Tabela24[fLC]="Pista simples","-",Tabela24[vp3]/Tabela24[S])</f>
        <v>0.24463505990935988</v>
      </c>
      <c r="CQ54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70.033333333333346</v>
      </c>
      <c r="CR54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54" s="308" t="str">
        <f>IF(Tabela24[LOS_vp3]="F","F",VLOOKUP(Tabela24[LOS_vp3],'HCM2000'!$R$655:$S$659,2))</f>
        <v>F</v>
      </c>
      <c r="CT54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54" s="425" t="str">
        <f>IF(Tabela24[[#This Row],[LOS_vp3]]="F","F",IF(Tabela24[[#This Row],[fLC]]="Pista simples","-",VLOOKUP(Tabela24[[#This Row],[LOS_D3]],'HCM2000'!$R$655:$S$659,2)))</f>
        <v>F</v>
      </c>
      <c r="CV54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54" s="381"/>
      <c r="CX54" s="381"/>
      <c r="CY54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54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54" s="22">
        <f>ABS(INDEX('HCM2000'!$E$611:$M$611,1,MATCH(Tabela24[Pt]*100,'HCM2000'!$E$611:$M$611,1))-Tabela24[Pt]*100)</f>
        <v>1</v>
      </c>
      <c r="DB54" s="22" t="e">
        <f>INDEX('HCM2000'!$E$611:$M$611,1,MATCH(Tabela24[[#This Row],[Pt]]*100,'HCM2000'!$E$611:$M$611,1)+1)-Tabela24[[#This Row],[Pt]]*100</f>
        <v>#REF!</v>
      </c>
      <c r="DC54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54" s="440"/>
      <c r="DE54" s="423" t="e">
        <f>1/(1+(Tabela24[Pt]*(Tabela24[ETsu]-1))+(Tabela24[PRv]*(Tabela24[ERsu]-1)))</f>
        <v>#N/A</v>
      </c>
      <c r="DF54" s="438" t="e">
        <f>Tabela24[Vzão]/(Tabela24[PHF]*Tabela24[N]*Tabela24[fHVsu])</f>
        <v>#N/A</v>
      </c>
      <c r="DG54" s="332" t="e">
        <f>IF(Tabela24[fLC]="Pista simples","-",Tabela24[vpsu]/Tabela24[S])</f>
        <v>#N/A</v>
      </c>
      <c r="DH54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54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54" s="425" t="str">
        <f>IF(Tabela24[[#This Row],[LOS_vp3]]="F","F",VLOOKUP(Tabela24[[#This Row],[LOS_vp3]],'HCM2000'!$R$655:$S$659,2))</f>
        <v>F</v>
      </c>
      <c r="DK54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54" s="425" t="str">
        <f>IF(Tabela24[[#This Row],[LOS_vp3]]="F","F",IF(Tabela24[[#This Row],[fLC]]="Pista simples","-",VLOOKUP(Tabela24[[#This Row],[LOS_D3]],'HCM2000'!$R$655:$S$659,2)))</f>
        <v>F</v>
      </c>
      <c r="DM54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54" s="416"/>
      <c r="DO54" s="22">
        <f>Tabela24[[#This Row],[ATS]]</f>
        <v>78.772895606060601</v>
      </c>
      <c r="DP54" s="416">
        <v>78.8</v>
      </c>
      <c r="DQ54" s="22">
        <f t="shared" si="11"/>
        <v>2.7104393939396232E-2</v>
      </c>
      <c r="DR54" s="22">
        <f>Tabela24[[#This Row],[PTSF]]</f>
        <v>33.582482790024841</v>
      </c>
      <c r="DS54" s="416">
        <v>32.1</v>
      </c>
      <c r="DT54" s="22">
        <f t="shared" si="12"/>
        <v>1.4824827900248394</v>
      </c>
      <c r="DU54" s="22"/>
      <c r="DV54" s="22">
        <v>78.772895606060601</v>
      </c>
      <c r="DW54" s="416">
        <v>78.8</v>
      </c>
      <c r="DX54" s="22">
        <v>2.7104393939396232E-2</v>
      </c>
      <c r="DY54" s="22">
        <v>33.582482790024841</v>
      </c>
      <c r="DZ54" s="416">
        <v>32.1</v>
      </c>
      <c r="EA54" s="22">
        <v>1.4824827900248394</v>
      </c>
      <c r="EB54" s="416"/>
      <c r="EC54" s="416"/>
      <c r="ED54" s="416"/>
      <c r="EE54" s="416"/>
      <c r="EF54" s="416"/>
      <c r="EG54" s="416"/>
      <c r="EH54" s="416"/>
      <c r="EI54" s="416"/>
      <c r="EJ54" s="416"/>
      <c r="EK54" s="416"/>
      <c r="EL54" s="416"/>
      <c r="EM54" s="416"/>
      <c r="EN54" s="416"/>
      <c r="EO54" s="416"/>
      <c r="EP54" s="416"/>
      <c r="EQ54" s="416"/>
      <c r="ER54" s="416"/>
      <c r="ES54" s="416"/>
      <c r="ET54" s="416"/>
      <c r="EU54" s="416"/>
      <c r="EV54" s="416"/>
      <c r="EW54" s="416"/>
      <c r="EX54" s="416"/>
      <c r="EY54" s="416"/>
      <c r="EZ54" s="416"/>
      <c r="FA54" s="416"/>
      <c r="FB54" s="416"/>
      <c r="FC54" s="416"/>
      <c r="FD54" s="416"/>
      <c r="FE54" s="416"/>
      <c r="FF54" s="416"/>
      <c r="FG54" s="416"/>
      <c r="FH54" s="416"/>
      <c r="FI54" s="416"/>
      <c r="FJ54" s="416"/>
      <c r="FK54" s="416"/>
      <c r="FL54" s="416"/>
      <c r="FM54" s="416"/>
      <c r="FR54" s="3"/>
      <c r="FS54" s="3"/>
      <c r="FV54" s="58"/>
      <c r="FW54" s="58"/>
    </row>
    <row r="55" spans="2:179">
      <c r="B55" s="386">
        <v>42</v>
      </c>
      <c r="C55" s="394"/>
      <c r="D55" s="395"/>
      <c r="E55" s="385">
        <v>24201</v>
      </c>
      <c r="F55" s="385">
        <v>24501</v>
      </c>
      <c r="G55" s="390">
        <v>300</v>
      </c>
      <c r="H55" s="386" t="s">
        <v>263</v>
      </c>
      <c r="I55" s="386" t="s">
        <v>379</v>
      </c>
      <c r="J55" s="390">
        <v>2</v>
      </c>
      <c r="K55" s="386">
        <v>4.5999999999999996</v>
      </c>
      <c r="L55" s="386" t="s">
        <v>143</v>
      </c>
      <c r="M55" s="386">
        <v>4.2</v>
      </c>
      <c r="N55" s="386">
        <v>1</v>
      </c>
      <c r="O55" s="396">
        <v>1</v>
      </c>
      <c r="P55" s="386" t="s">
        <v>366</v>
      </c>
      <c r="Q55" s="397" t="s">
        <v>144</v>
      </c>
      <c r="R55" s="419" t="s">
        <v>73</v>
      </c>
      <c r="S55" s="310">
        <v>40</v>
      </c>
      <c r="T55" s="420"/>
      <c r="U55" s="279">
        <v>24</v>
      </c>
      <c r="V55" s="323">
        <v>6473.9966140621727</v>
      </c>
      <c r="W55" s="323">
        <v>2824.5698392986178</v>
      </c>
      <c r="X55" s="420"/>
      <c r="Y55" s="398">
        <f t="shared" si="15"/>
        <v>1</v>
      </c>
      <c r="Z55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55" s="182" t="s">
        <v>644</v>
      </c>
      <c r="AB55" s="391" t="s">
        <v>654</v>
      </c>
      <c r="AC55" s="31">
        <v>3</v>
      </c>
      <c r="AD55" s="31">
        <v>2.5</v>
      </c>
      <c r="AE55" s="421"/>
      <c r="AF55" s="421"/>
      <c r="AG55" s="421">
        <v>0</v>
      </c>
      <c r="AH55" s="441">
        <v>0.23</v>
      </c>
      <c r="AI55" s="25">
        <v>0.03</v>
      </c>
      <c r="AJ55" s="435">
        <v>8.7999999999999995E-2</v>
      </c>
      <c r="AK55" s="330">
        <v>148</v>
      </c>
      <c r="AL55" s="263">
        <v>0.55000000000000004</v>
      </c>
      <c r="AM55" s="414">
        <v>81.400000000000006</v>
      </c>
      <c r="AN55" s="417">
        <v>4</v>
      </c>
      <c r="AO55" s="467" t="s">
        <v>73</v>
      </c>
      <c r="AP55" s="439">
        <v>88</v>
      </c>
      <c r="AQ55" s="442">
        <v>0.63</v>
      </c>
      <c r="AR55" s="422">
        <v>0.88</v>
      </c>
      <c r="AS55" s="316"/>
      <c r="AT55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55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55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55" s="23">
        <f>1/(1+(Tabela24[[#This Row],[Pt]])*(Tabela24[[#This Row],[Et]]-1)+(Tabela24[[#This Row],[PRv]])*(Tabela24[[#This Row],[Er]]-1))</f>
        <v>0.86132644272179149</v>
      </c>
      <c r="AX55" s="423">
        <f>Tabela24[veic/h]/Tabela24[PHF]</f>
        <v>168.18181818181819</v>
      </c>
      <c r="AY55" s="423">
        <v>195.25909090909093</v>
      </c>
      <c r="AZ55" s="21">
        <f>Tabela24[veic/h]/(Tabela24[PHF]*Tabela24[fg ats]*Tabela24[fhv ats])</f>
        <v>195.25909090909093</v>
      </c>
      <c r="BA55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55" s="322" t="str">
        <f>IF(AND(Tabela24[[#This Row],[vp1]]*Tabela24[[#This Row],[distrib. direc.]]&lt;1700,Tabela24[[#This Row],[vp1]]&lt;3200),"OK!","FAIL")</f>
        <v>OK!</v>
      </c>
      <c r="BC55" s="23">
        <f>INDEX('HCM2000'!$L$68:$AF$83,MATCH(Tabela24[[#This Row],[faixa (m)]],'HCM2000'!$K$68:$K$83),MATCH(Tabela24[[#This Row],[acost (m)]],'HCM2000'!$L$67:$AF$67))</f>
        <v>1.7</v>
      </c>
      <c r="BD55" s="23">
        <f>MIN(16,(2/3)*Tabela24[[#This Row],[acessos/km]])</f>
        <v>2.6666666666666665</v>
      </c>
      <c r="BE55" s="22">
        <f>Tabela24[BFFS]-Tabela24[fLS]-Tabela24[fA]</f>
        <v>83.633333333333326</v>
      </c>
      <c r="BF55" s="23" t="e">
        <v>#REF!</v>
      </c>
      <c r="BG55" s="463">
        <f>IFERROR(Tabela24[[#This Row],[vp1]],0)</f>
        <v>195.25909090909093</v>
      </c>
      <c r="BH55" s="463">
        <f>IFERROR(Tabela24[[#This Row],[% zonas s/ultra]],0)</f>
        <v>0.63</v>
      </c>
      <c r="BI55" s="23" t="str">
        <f t="shared" si="5"/>
        <v>FNP</v>
      </c>
      <c r="BJ55" s="23">
        <v>3.7685004545454559</v>
      </c>
      <c r="BK55" s="43">
        <f>Tabela24[FFS]-0.0125*MAX(Tabela24[[#This Row],[vp1]],Tabela24[[#This Row],[vp1'']])-Tabela24[fnp'']</f>
        <v>77.424094242424232</v>
      </c>
      <c r="BL55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55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55" s="23">
        <v>1</v>
      </c>
      <c r="BO55" s="23">
        <f>1/(1+Tabela24[[#This Row],[Pt]]*(Tabela24[[#This Row],[Et time]]-1)+Tabela24[[#This Row],[PRv]]*(Tabela24[[#This Row],[Er time]]-1))</f>
        <v>0.97751710654936452</v>
      </c>
      <c r="BP55" s="23">
        <f>Tabela24[veic/h]/Tabela24[PHF]</f>
        <v>168.18181818181819</v>
      </c>
      <c r="BQ55" s="23">
        <v>172.05</v>
      </c>
      <c r="BR55" s="438">
        <f>Tabela24[veic/h]/(Tabela24[PHF]*Tabela24[fg time]*Tabela24[fhv follow])</f>
        <v>172.05</v>
      </c>
      <c r="BS55" s="438" t="str">
        <f>IF(AND(Tabela24[[#This Row],[vp2]]*Tabela24[[#This Row],[distrib. direc.]]&lt;1700,Tabela24[[#This Row],[vp2]]&lt;3200),"OK!","FAIL")</f>
        <v>OK!</v>
      </c>
      <c r="BT55" s="23">
        <f>100*(1-EXP(-0.000879*MAX(Tabela24[[#This Row],[vp2]],Tabela24[[#This Row],[vp2'']])))</f>
        <v>14.035171988603867</v>
      </c>
      <c r="BU55" s="304" t="e">
        <v>#REF!</v>
      </c>
      <c r="BV55" s="304">
        <f>IF(TYPE(Tabela24[distrib. direc.])&lt;&gt;1,0,Tabela24[distrib. direc.])</f>
        <v>0.55000000000000004</v>
      </c>
      <c r="BW55" s="304">
        <f>IF(TYPE(Tabela24[vp2])&lt;&gt;1,0,Tabela24[vp2])</f>
        <v>172.05</v>
      </c>
      <c r="BX55" s="304">
        <f>IF(TYPE(Tabela24[% zonas s/ultra])&lt;&gt;1,0,Tabela24[% zonas s/ultra])</f>
        <v>0.63</v>
      </c>
      <c r="BY55" s="304" t="str">
        <f t="shared" si="6"/>
        <v>FDNP</v>
      </c>
      <c r="BZ55" s="31">
        <v>22.590000000000046</v>
      </c>
      <c r="CA55" s="305">
        <f>Tabela24[BPTSF]+Tabela24[fd/np'']</f>
        <v>36.62517198860391</v>
      </c>
      <c r="CB55" s="424">
        <f>Tabela24[vp1]/3200</f>
        <v>6.1018465909090915E-2</v>
      </c>
      <c r="CC55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55" s="332">
        <f>VLOOKUP(Tabela24[faixa (m)],'HCM2000'!$B$541:$C$547,2,TRUE)</f>
        <v>10.6</v>
      </c>
      <c r="CE55" s="332">
        <f>IF(Tabela24[acost (m)]&gt;0,1.8,1.2)</f>
        <v>1.8</v>
      </c>
      <c r="CF55" s="332">
        <f>IF(Tabela24[Separador]=$CB$6,$CD$6,IF(Tabela24[Separador]=$CB$7,$CD$7,$CD$8))</f>
        <v>0</v>
      </c>
      <c r="CG55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55" s="332">
        <f>IF(Tabela24[Separador]="Sinalização horizontal",'HCM2000'!$C$590,'HCM2000'!$C$591)</f>
        <v>2.6</v>
      </c>
      <c r="CI55" s="332">
        <f>MIN((2/3)*Tabela24[[#This Row],[acessos/km]],16)</f>
        <v>2.6666666666666665</v>
      </c>
      <c r="CJ55" s="332">
        <f>IF(Tabela24[fLC]="Pista simples","-",Tabela24[BFFS]-Tabela24[fLW]-Tabela24[fLC]-Tabela24[fM]-Tabela24[fA2])</f>
        <v>70.033333333333346</v>
      </c>
      <c r="CK55" s="332">
        <f>IF(Tabela24[plano/ondulado]="Montanhoso",Tabela24[Para PT&lt;],VLOOKUP(Tabela24[plano/ondulado],'HCM2000'!$B$606:$C$608,2,FALSE))</f>
        <v>1.5</v>
      </c>
      <c r="CL55" s="332">
        <f>IF(Tabela24[[#This Row],[plano/ondulado]]="Montanhoso",Tabela24[[#This Row],[Para PT&lt;]],VLOOKUP(Tabela24[[#This Row],[plano/ondulado]],'HCM2000'!$E$606:$F$608,2,FALSE))</f>
        <v>1.2</v>
      </c>
      <c r="CM55" s="433">
        <f>1/(1+(Tabela24[Pt]*(Tabela24[Et2]-1))+(Tabela24[PRv]*(Tabela24[Er2]-1)))</f>
        <v>0.89206066012488849</v>
      </c>
      <c r="CN55" s="329">
        <f>K55+IF(Tabela24[[#This Row],[Num. Faixas Marg.]]="-",0,Tabela24[[#This Row],[Num. Faixas Marg.]])</f>
        <v>4.5999999999999996</v>
      </c>
      <c r="CO55" s="331">
        <f>Tabela24[[#This Row],[Vzão]]/(Tabela24[[#This Row],[PHF]]*Tabela24[[#This Row],[N]]*Tabela24[[#This Row],[fHV]])</f>
        <v>22.541847826086958</v>
      </c>
      <c r="CP55" s="332">
        <f>IF(Tabela24[fLC]="Pista simples","-",Tabela24[vp3]/Tabela24[S])</f>
        <v>0.32187312459905215</v>
      </c>
      <c r="CQ55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70.033333333333346</v>
      </c>
      <c r="CR55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55" s="308" t="str">
        <f>IF(Tabela24[LOS_vp3]="F","F",VLOOKUP(Tabela24[LOS_vp3],'HCM2000'!$R$655:$S$659,2))</f>
        <v>F</v>
      </c>
      <c r="CT55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55" s="425" t="str">
        <f>IF(Tabela24[[#This Row],[LOS_vp3]]="F","F",IF(Tabela24[[#This Row],[fLC]]="Pista simples","-",VLOOKUP(Tabela24[[#This Row],[LOS_D3]],'HCM2000'!$R$655:$S$659,2)))</f>
        <v>F</v>
      </c>
      <c r="CV55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55" s="381"/>
      <c r="CX55" s="381"/>
      <c r="CY55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55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55" s="22">
        <f>ABS(INDEX('HCM2000'!$E$611:$M$611,1,MATCH(Tabela24[Pt]*100,'HCM2000'!$E$611:$M$611,1))-Tabela24[Pt]*100)</f>
        <v>3</v>
      </c>
      <c r="DB55" s="22">
        <f>INDEX('HCM2000'!$E$611:$M$611,1,MATCH(Tabela24[[#This Row],[Pt]]*100,'HCM2000'!$E$611:$M$611,1)+1)-Tabela24[[#This Row],[Pt]]*100</f>
        <v>2</v>
      </c>
      <c r="DC55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55" s="440"/>
      <c r="DE55" s="423" t="e">
        <f>1/(1+(Tabela24[Pt]*(Tabela24[ETsu]-1))+(Tabela24[PRv]*(Tabela24[ERsu]-1)))</f>
        <v>#N/A</v>
      </c>
      <c r="DF55" s="438" t="e">
        <f>Tabela24[Vzão]/(Tabela24[PHF]*Tabela24[N]*Tabela24[fHVsu])</f>
        <v>#N/A</v>
      </c>
      <c r="DG55" s="332" t="e">
        <f>IF(Tabela24[fLC]="Pista simples","-",Tabela24[vpsu]/Tabela24[S])</f>
        <v>#N/A</v>
      </c>
      <c r="DH55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55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55" s="425" t="str">
        <f>IF(Tabela24[[#This Row],[LOS_vp3]]="F","F",VLOOKUP(Tabela24[[#This Row],[LOS_vp3]],'HCM2000'!$R$655:$S$659,2))</f>
        <v>F</v>
      </c>
      <c r="DK55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55" s="425" t="str">
        <f>IF(Tabela24[[#This Row],[LOS_vp3]]="F","F",IF(Tabela24[[#This Row],[fLC]]="Pista simples","-",VLOOKUP(Tabela24[[#This Row],[LOS_D3]],'HCM2000'!$R$655:$S$659,2)))</f>
        <v>F</v>
      </c>
      <c r="DM55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55" s="416"/>
      <c r="DO55" s="22">
        <f>Tabela24[[#This Row],[ATS]]</f>
        <v>77.424094242424232</v>
      </c>
      <c r="DP55" s="416">
        <v>77.400000000000006</v>
      </c>
      <c r="DQ55" s="22">
        <f t="shared" si="11"/>
        <v>2.4094242424226309E-2</v>
      </c>
      <c r="DR55" s="22">
        <f>Tabela24[[#This Row],[PTSF]]</f>
        <v>36.62517198860391</v>
      </c>
      <c r="DS55" s="416">
        <v>35.4</v>
      </c>
      <c r="DT55" s="22">
        <f t="shared" si="12"/>
        <v>1.2251719886039112</v>
      </c>
      <c r="DU55" s="22"/>
      <c r="DV55" s="22">
        <v>77.424094242424232</v>
      </c>
      <c r="DW55" s="416">
        <v>77.400000000000006</v>
      </c>
      <c r="DX55" s="22">
        <v>2.4094242424226309E-2</v>
      </c>
      <c r="DY55" s="22">
        <v>36.62517198860391</v>
      </c>
      <c r="DZ55" s="416">
        <v>35.4</v>
      </c>
      <c r="EA55" s="22">
        <v>1.2251719886039112</v>
      </c>
      <c r="EB55" s="416"/>
      <c r="EC55" s="416"/>
      <c r="ED55" s="416"/>
      <c r="EE55" s="416"/>
      <c r="EF55" s="416"/>
      <c r="EG55" s="416"/>
      <c r="EH55" s="416"/>
      <c r="EI55" s="416"/>
      <c r="EJ55" s="416"/>
      <c r="EK55" s="416"/>
      <c r="EL55" s="416"/>
      <c r="EM55" s="416"/>
      <c r="EN55" s="416"/>
      <c r="EO55" s="416"/>
      <c r="EP55" s="416"/>
      <c r="EQ55" s="416"/>
      <c r="ER55" s="416"/>
      <c r="ES55" s="416"/>
      <c r="ET55" s="416"/>
      <c r="EU55" s="416"/>
      <c r="EV55" s="416"/>
      <c r="EW55" s="416"/>
      <c r="EX55" s="416"/>
      <c r="EY55" s="416"/>
      <c r="EZ55" s="416"/>
      <c r="FA55" s="416"/>
      <c r="FB55" s="416"/>
      <c r="FC55" s="416"/>
      <c r="FD55" s="416"/>
      <c r="FE55" s="416"/>
      <c r="FF55" s="416"/>
      <c r="FG55" s="416"/>
      <c r="FH55" s="416"/>
      <c r="FI55" s="416"/>
      <c r="FJ55" s="416"/>
      <c r="FK55" s="416"/>
      <c r="FL55" s="416"/>
      <c r="FM55" s="416"/>
      <c r="FR55" s="3"/>
      <c r="FS55" s="3"/>
      <c r="FV55" s="58"/>
      <c r="FW55" s="58"/>
    </row>
    <row r="56" spans="2:179">
      <c r="B56" s="386">
        <v>43</v>
      </c>
      <c r="C56" s="394"/>
      <c r="D56" s="395"/>
      <c r="E56" s="385">
        <v>24201</v>
      </c>
      <c r="F56" s="385">
        <v>24501</v>
      </c>
      <c r="G56" s="390">
        <v>300</v>
      </c>
      <c r="H56" s="386" t="s">
        <v>263</v>
      </c>
      <c r="I56" s="386" t="s">
        <v>379</v>
      </c>
      <c r="J56" s="390">
        <v>2</v>
      </c>
      <c r="K56" s="386">
        <v>4.5999999999999996</v>
      </c>
      <c r="L56" s="386" t="s">
        <v>143</v>
      </c>
      <c r="M56" s="386">
        <v>4.2</v>
      </c>
      <c r="N56" s="386">
        <v>1</v>
      </c>
      <c r="O56" s="396">
        <v>1</v>
      </c>
      <c r="P56" s="386" t="s">
        <v>366</v>
      </c>
      <c r="Q56" s="397" t="s">
        <v>144</v>
      </c>
      <c r="R56" s="419" t="s">
        <v>73</v>
      </c>
      <c r="S56" s="310">
        <v>41</v>
      </c>
      <c r="T56" s="420"/>
      <c r="U56" s="279">
        <v>24</v>
      </c>
      <c r="V56" s="323">
        <v>6473.9966140621727</v>
      </c>
      <c r="W56" s="323">
        <v>2824.5698392986178</v>
      </c>
      <c r="X56" s="420"/>
      <c r="Y56" s="398">
        <f t="shared" si="15"/>
        <v>1</v>
      </c>
      <c r="Z56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56" s="182" t="s">
        <v>644</v>
      </c>
      <c r="AB56" s="391" t="s">
        <v>654</v>
      </c>
      <c r="AC56" s="31">
        <v>3</v>
      </c>
      <c r="AD56" s="31">
        <v>2.5</v>
      </c>
      <c r="AE56" s="421"/>
      <c r="AF56" s="421"/>
      <c r="AG56" s="421">
        <v>0</v>
      </c>
      <c r="AH56" s="441">
        <v>0.23</v>
      </c>
      <c r="AI56" s="25">
        <v>0.03</v>
      </c>
      <c r="AJ56" s="435">
        <v>8.7999999999999995E-2</v>
      </c>
      <c r="AK56" s="330">
        <v>207</v>
      </c>
      <c r="AL56" s="263">
        <v>0.55000000000000004</v>
      </c>
      <c r="AM56" s="414">
        <v>113.85000000000001</v>
      </c>
      <c r="AN56" s="417">
        <v>5</v>
      </c>
      <c r="AO56" s="467" t="s">
        <v>73</v>
      </c>
      <c r="AP56" s="439">
        <v>88</v>
      </c>
      <c r="AQ56" s="442">
        <v>0.76</v>
      </c>
      <c r="AR56" s="422">
        <v>0.88</v>
      </c>
      <c r="AS56" s="316"/>
      <c r="AT56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56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56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56" s="23">
        <f>1/(1+(Tabela24[[#This Row],[Pt]])*(Tabela24[[#This Row],[Et]]-1)+(Tabela24[[#This Row],[PRv]])*(Tabela24[[#This Row],[Er]]-1))</f>
        <v>0.86132644272179149</v>
      </c>
      <c r="AX56" s="423">
        <f>Tabela24[veic/h]/Tabela24[PHF]</f>
        <v>235.22727272727272</v>
      </c>
      <c r="AY56" s="423">
        <v>273.09886363636366</v>
      </c>
      <c r="AZ56" s="21">
        <f>Tabela24[veic/h]/(Tabela24[PHF]*Tabela24[fg ats]*Tabela24[fhv ats])</f>
        <v>273.09886363636366</v>
      </c>
      <c r="BA56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56" s="322" t="str">
        <f>IF(AND(Tabela24[[#This Row],[vp1]]*Tabela24[[#This Row],[distrib. direc.]]&lt;1700,Tabela24[[#This Row],[vp1]]&lt;3200),"OK!","FAIL")</f>
        <v>OK!</v>
      </c>
      <c r="BC56" s="23">
        <f>INDEX('HCM2000'!$L$68:$AF$83,MATCH(Tabela24[[#This Row],[faixa (m)]],'HCM2000'!$K$68:$K$83),MATCH(Tabela24[[#This Row],[acost (m)]],'HCM2000'!$L$67:$AF$67))</f>
        <v>1.7</v>
      </c>
      <c r="BD56" s="23">
        <f>MIN(16,(2/3)*Tabela24[[#This Row],[acessos/km]])</f>
        <v>3.333333333333333</v>
      </c>
      <c r="BE56" s="22">
        <f>Tabela24[BFFS]-Tabela24[fLS]-Tabela24[fA]</f>
        <v>82.966666666666669</v>
      </c>
      <c r="BF56" s="23" t="e">
        <v>#REF!</v>
      </c>
      <c r="BG56" s="463">
        <f>IFERROR(Tabela24[[#This Row],[vp1]],0)</f>
        <v>273.09886363636366</v>
      </c>
      <c r="BH56" s="463">
        <f>IFERROR(Tabela24[[#This Row],[% zonas s/ultra]],0)</f>
        <v>0.76</v>
      </c>
      <c r="BI56" s="23" t="str">
        <f t="shared" si="5"/>
        <v>FNP</v>
      </c>
      <c r="BJ56" s="23">
        <v>4.8729182954545367</v>
      </c>
      <c r="BK56" s="43">
        <f>Tabela24[FFS]-0.0125*MAX(Tabela24[[#This Row],[vp1]],Tabela24[[#This Row],[vp1'']])-Tabela24[fnp'']</f>
        <v>74.680012575757587</v>
      </c>
      <c r="BL56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56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56" s="23">
        <v>1</v>
      </c>
      <c r="BO56" s="23">
        <f>1/(1+Tabela24[[#This Row],[Pt]]*(Tabela24[[#This Row],[Et time]]-1)+Tabela24[[#This Row],[PRv]]*(Tabela24[[#This Row],[Er time]]-1))</f>
        <v>0.97751710654936452</v>
      </c>
      <c r="BP56" s="23">
        <f>Tabela24[veic/h]/Tabela24[PHF]</f>
        <v>235.22727272727272</v>
      </c>
      <c r="BQ56" s="23">
        <v>240.63750000000002</v>
      </c>
      <c r="BR56" s="438">
        <f>Tabela24[veic/h]/(Tabela24[PHF]*Tabela24[fg time]*Tabela24[fhv follow])</f>
        <v>240.63750000000002</v>
      </c>
      <c r="BS56" s="438" t="str">
        <f>IF(AND(Tabela24[[#This Row],[vp2]]*Tabela24[[#This Row],[distrib. direc.]]&lt;1700,Tabela24[[#This Row],[vp2]]&lt;3200),"OK!","FAIL")</f>
        <v>OK!</v>
      </c>
      <c r="BT56" s="23">
        <f>100*(1-EXP(-0.000879*MAX(Tabela24[[#This Row],[vp2]],Tabela24[[#This Row],[vp2'']])))</f>
        <v>19.064719956146583</v>
      </c>
      <c r="BU56" s="304" t="e">
        <v>#REF!</v>
      </c>
      <c r="BV56" s="304">
        <f>IF(TYPE(Tabela24[distrib. direc.])&lt;&gt;1,0,Tabela24[distrib. direc.])</f>
        <v>0.55000000000000004</v>
      </c>
      <c r="BW56" s="304">
        <f>IF(TYPE(Tabela24[vp2])&lt;&gt;1,0,Tabela24[vp2])</f>
        <v>240.63750000000002</v>
      </c>
      <c r="BX56" s="304">
        <f>IF(TYPE(Tabela24[% zonas s/ultra])&lt;&gt;1,0,Tabela24[% zonas s/ultra])</f>
        <v>0.76</v>
      </c>
      <c r="BY56" s="304" t="str">
        <f t="shared" si="6"/>
        <v>FDNP</v>
      </c>
      <c r="BZ56" s="31">
        <v>22.646772500000274</v>
      </c>
      <c r="CA56" s="305">
        <f>Tabela24[BPTSF]+Tabela24[fd/np'']</f>
        <v>41.711492456146857</v>
      </c>
      <c r="CB56" s="424">
        <f>Tabela24[vp1]/3200</f>
        <v>8.5343394886363638E-2</v>
      </c>
      <c r="CC56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56" s="332">
        <f>VLOOKUP(Tabela24[faixa (m)],'HCM2000'!$B$541:$C$547,2,TRUE)</f>
        <v>10.6</v>
      </c>
      <c r="CE56" s="332">
        <f>IF(Tabela24[acost (m)]&gt;0,1.8,1.2)</f>
        <v>1.8</v>
      </c>
      <c r="CF56" s="332">
        <f>IF(Tabela24[Separador]=$CB$6,$CD$6,IF(Tabela24[Separador]=$CB$7,$CD$7,$CD$8))</f>
        <v>0</v>
      </c>
      <c r="CG56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56" s="332">
        <f>IF(Tabela24[Separador]="Sinalização horizontal",'HCM2000'!$C$590,'HCM2000'!$C$591)</f>
        <v>2.6</v>
      </c>
      <c r="CI56" s="332">
        <f>MIN((2/3)*Tabela24[[#This Row],[acessos/km]],16)</f>
        <v>3.333333333333333</v>
      </c>
      <c r="CJ56" s="332">
        <f>IF(Tabela24[fLC]="Pista simples","-",Tabela24[BFFS]-Tabela24[fLW]-Tabela24[fLC]-Tabela24[fM]-Tabela24[fA2])</f>
        <v>69.366666666666688</v>
      </c>
      <c r="CK56" s="332">
        <f>IF(Tabela24[plano/ondulado]="Montanhoso",Tabela24[Para PT&lt;],VLOOKUP(Tabela24[plano/ondulado],'HCM2000'!$B$606:$C$608,2,FALSE))</f>
        <v>1.5</v>
      </c>
      <c r="CL56" s="332">
        <f>IF(Tabela24[[#This Row],[plano/ondulado]]="Montanhoso",Tabela24[[#This Row],[Para PT&lt;]],VLOOKUP(Tabela24[[#This Row],[plano/ondulado]],'HCM2000'!$E$606:$F$608,2,FALSE))</f>
        <v>1.2</v>
      </c>
      <c r="CM56" s="433">
        <f>1/(1+(Tabela24[Pt]*(Tabela24[Et2]-1))+(Tabela24[PRv]*(Tabela24[Er2]-1)))</f>
        <v>0.89206066012488849</v>
      </c>
      <c r="CN56" s="329">
        <f>K56+IF(Tabela24[[#This Row],[Num. Faixas Marg.]]="-",0,Tabela24[[#This Row],[Num. Faixas Marg.]])</f>
        <v>4.5999999999999996</v>
      </c>
      <c r="CO56" s="331">
        <f>Tabela24[[#This Row],[Vzão]]/(Tabela24[[#This Row],[PHF]]*Tabela24[[#This Row],[N]]*Tabela24[[#This Row],[fHV]])</f>
        <v>31.528125000000003</v>
      </c>
      <c r="CP56" s="332">
        <f>IF(Tabela24[fLC]="Pista simples","-",Tabela24[vp3]/Tabela24[S])</f>
        <v>0.45451405574243142</v>
      </c>
      <c r="CQ56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69.366666666666688</v>
      </c>
      <c r="CR56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56" s="308" t="str">
        <f>IF(Tabela24[LOS_vp3]="F","F",VLOOKUP(Tabela24[LOS_vp3],'HCM2000'!$R$655:$S$659,2))</f>
        <v>F</v>
      </c>
      <c r="CT56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56" s="425" t="str">
        <f>IF(Tabela24[[#This Row],[LOS_vp3]]="F","F",IF(Tabela24[[#This Row],[fLC]]="Pista simples","-",VLOOKUP(Tabela24[[#This Row],[LOS_D3]],'HCM2000'!$R$655:$S$659,2)))</f>
        <v>F</v>
      </c>
      <c r="CV56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56" s="381"/>
      <c r="CX56" s="381"/>
      <c r="CY56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56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56" s="22">
        <f>ABS(INDEX('HCM2000'!$E$611:$M$611,1,MATCH(Tabela24[Pt]*100,'HCM2000'!$E$611:$M$611,1))-Tabela24[Pt]*100)</f>
        <v>3</v>
      </c>
      <c r="DB56" s="22">
        <f>INDEX('HCM2000'!$E$611:$M$611,1,MATCH(Tabela24[[#This Row],[Pt]]*100,'HCM2000'!$E$611:$M$611,1)+1)-Tabela24[[#This Row],[Pt]]*100</f>
        <v>2</v>
      </c>
      <c r="DC56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56" s="440"/>
      <c r="DE56" s="423" t="e">
        <f>1/(1+(Tabela24[Pt]*(Tabela24[ETsu]-1))+(Tabela24[PRv]*(Tabela24[ERsu]-1)))</f>
        <v>#N/A</v>
      </c>
      <c r="DF56" s="438" t="e">
        <f>Tabela24[Vzão]/(Tabela24[PHF]*Tabela24[N]*Tabela24[fHVsu])</f>
        <v>#N/A</v>
      </c>
      <c r="DG56" s="332" t="e">
        <f>IF(Tabela24[fLC]="Pista simples","-",Tabela24[vpsu]/Tabela24[S])</f>
        <v>#N/A</v>
      </c>
      <c r="DH56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56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56" s="425" t="str">
        <f>IF(Tabela24[[#This Row],[LOS_vp3]]="F","F",VLOOKUP(Tabela24[[#This Row],[LOS_vp3]],'HCM2000'!$R$655:$S$659,2))</f>
        <v>F</v>
      </c>
      <c r="DK56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56" s="425" t="str">
        <f>IF(Tabela24[[#This Row],[LOS_vp3]]="F","F",IF(Tabela24[[#This Row],[fLC]]="Pista simples","-",VLOOKUP(Tabela24[[#This Row],[LOS_D3]],'HCM2000'!$R$655:$S$659,2)))</f>
        <v>F</v>
      </c>
      <c r="DM56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56" s="416"/>
      <c r="DO56" s="22">
        <f>Tabela24[[#This Row],[ATS]]</f>
        <v>74.680012575757587</v>
      </c>
      <c r="DP56" s="416">
        <v>74.7</v>
      </c>
      <c r="DQ56" s="22">
        <f t="shared" si="11"/>
        <v>1.9987424242415841E-2</v>
      </c>
      <c r="DR56" s="22">
        <f>Tabela24[[#This Row],[PTSF]]</f>
        <v>41.711492456146857</v>
      </c>
      <c r="DS56" s="416">
        <v>40.4</v>
      </c>
      <c r="DT56" s="22">
        <f t="shared" si="12"/>
        <v>1.3114924561468584</v>
      </c>
      <c r="DU56" s="22"/>
      <c r="DV56" s="22">
        <v>74.680012575757587</v>
      </c>
      <c r="DW56" s="416">
        <v>74.7</v>
      </c>
      <c r="DX56" s="22">
        <v>1.9987424242415841E-2</v>
      </c>
      <c r="DY56" s="22">
        <v>41.711492456146857</v>
      </c>
      <c r="DZ56" s="416">
        <v>40.4</v>
      </c>
      <c r="EA56" s="22">
        <v>1.3114924561468584</v>
      </c>
      <c r="EB56" s="416"/>
      <c r="EC56" s="416"/>
      <c r="ED56" s="416"/>
      <c r="EE56" s="416"/>
      <c r="EF56" s="416"/>
      <c r="EG56" s="416"/>
      <c r="EH56" s="416"/>
      <c r="EI56" s="416"/>
      <c r="EJ56" s="416"/>
      <c r="EK56" s="416"/>
      <c r="EL56" s="416"/>
      <c r="EM56" s="416"/>
      <c r="EN56" s="416"/>
      <c r="EO56" s="416"/>
      <c r="EP56" s="416"/>
      <c r="EQ56" s="416"/>
      <c r="ER56" s="416"/>
      <c r="ES56" s="416"/>
      <c r="ET56" s="416"/>
      <c r="EU56" s="416"/>
      <c r="EV56" s="416"/>
      <c r="EW56" s="416"/>
      <c r="EX56" s="416"/>
      <c r="EY56" s="416"/>
      <c r="EZ56" s="416"/>
      <c r="FA56" s="416"/>
      <c r="FB56" s="416"/>
      <c r="FC56" s="416"/>
      <c r="FD56" s="416"/>
      <c r="FE56" s="416"/>
      <c r="FF56" s="416"/>
      <c r="FG56" s="416"/>
      <c r="FH56" s="416"/>
      <c r="FI56" s="416"/>
      <c r="FJ56" s="416"/>
      <c r="FK56" s="416"/>
      <c r="FL56" s="416"/>
      <c r="FM56" s="416"/>
      <c r="FR56" s="3"/>
      <c r="FS56" s="3"/>
      <c r="FV56" s="58"/>
      <c r="FW56" s="58"/>
    </row>
    <row r="57" spans="2:179">
      <c r="B57" s="386">
        <v>1</v>
      </c>
      <c r="C57" s="394"/>
      <c r="D57" s="395"/>
      <c r="E57" s="385">
        <v>24201</v>
      </c>
      <c r="F57" s="385">
        <v>24501</v>
      </c>
      <c r="G57" s="390">
        <v>300</v>
      </c>
      <c r="H57" s="386" t="s">
        <v>263</v>
      </c>
      <c r="I57" s="386" t="s">
        <v>379</v>
      </c>
      <c r="J57" s="390">
        <v>2</v>
      </c>
      <c r="K57" s="386">
        <v>4.5999999999999996</v>
      </c>
      <c r="L57" s="386" t="s">
        <v>143</v>
      </c>
      <c r="M57" s="386">
        <v>4.2</v>
      </c>
      <c r="N57" s="386">
        <v>1</v>
      </c>
      <c r="O57" s="396">
        <v>1</v>
      </c>
      <c r="P57" s="386" t="s">
        <v>366</v>
      </c>
      <c r="Q57" s="397" t="s">
        <v>144</v>
      </c>
      <c r="R57" s="419" t="s">
        <v>73</v>
      </c>
      <c r="S57" s="310">
        <v>47</v>
      </c>
      <c r="T57" s="420"/>
      <c r="U57" s="279">
        <v>24</v>
      </c>
      <c r="V57" s="323">
        <v>6473.9966140621727</v>
      </c>
      <c r="W57" s="323">
        <v>2824.5698392986178</v>
      </c>
      <c r="X57" s="420"/>
      <c r="Y57" s="398">
        <f t="shared" si="15"/>
        <v>1</v>
      </c>
      <c r="Z57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57" s="182" t="s">
        <v>644</v>
      </c>
      <c r="AB57" s="391" t="s">
        <v>654</v>
      </c>
      <c r="AC57" s="31">
        <v>3.4</v>
      </c>
      <c r="AD57" s="31">
        <v>1.8</v>
      </c>
      <c r="AE57" s="421"/>
      <c r="AF57" s="421"/>
      <c r="AG57" s="421">
        <v>0</v>
      </c>
      <c r="AH57" s="441">
        <v>0.59</v>
      </c>
      <c r="AI57" s="25">
        <v>0.03</v>
      </c>
      <c r="AJ57" s="435">
        <v>8.7999999999999995E-2</v>
      </c>
      <c r="AK57" s="330">
        <v>738</v>
      </c>
      <c r="AL57" s="263">
        <v>0.55000000000000004</v>
      </c>
      <c r="AM57" s="414">
        <v>405.90000000000003</v>
      </c>
      <c r="AN57" s="417">
        <v>2</v>
      </c>
      <c r="AO57" s="467" t="s">
        <v>73</v>
      </c>
      <c r="AP57" s="439">
        <v>88</v>
      </c>
      <c r="AQ57" s="442">
        <v>0.47</v>
      </c>
      <c r="AR57" s="422">
        <v>0.88</v>
      </c>
      <c r="AS57" s="316"/>
      <c r="AT57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57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57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57" s="23">
        <f>1/(1+(Tabela24[[#This Row],[Pt]])*(Tabela24[[#This Row],[Et]]-1)+(Tabela24[[#This Row],[PRv]])*(Tabela24[[#This Row],[Er]]-1))</f>
        <v>0.89445438282647594</v>
      </c>
      <c r="AX57" s="423">
        <f>Tabela24[veic/h]/Tabela24[PHF]</f>
        <v>838.63636363636363</v>
      </c>
      <c r="AY57" s="423">
        <v>937.59545454545446</v>
      </c>
      <c r="AZ57" s="21">
        <f>Tabela24[veic/h]/(Tabela24[PHF]*Tabela24[fg ats]*Tabela24[fhv ats])</f>
        <v>937.59545454545446</v>
      </c>
      <c r="BA57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57" s="322" t="str">
        <f>IF(AND(Tabela24[[#This Row],[vp1]]*Tabela24[[#This Row],[distrib. direc.]]&lt;1700,Tabela24[[#This Row],[vp1]]&lt;3200),"OK!","FAIL")</f>
        <v>OK!</v>
      </c>
      <c r="BC57" s="23">
        <f>INDEX('HCM2000'!$L$68:$AF$83,MATCH(Tabela24[[#This Row],[faixa (m)]],'HCM2000'!$K$68:$K$83),MATCH(Tabela24[[#This Row],[acost (m)]],'HCM2000'!$L$67:$AF$67))</f>
        <v>2.8</v>
      </c>
      <c r="BD57" s="23">
        <f>MIN(16,(2/3)*Tabela24[[#This Row],[acessos/km]])</f>
        <v>1.3333333333333333</v>
      </c>
      <c r="BE57" s="22">
        <f>Tabela24[BFFS]-Tabela24[fLS]-Tabela24[fA]</f>
        <v>83.866666666666674</v>
      </c>
      <c r="BF57" s="23" t="e">
        <v>#REF!</v>
      </c>
      <c r="BG57" s="463">
        <f>IFERROR(Tabela24[[#This Row],[vp1]],0)</f>
        <v>937.59545454545446</v>
      </c>
      <c r="BH57" s="463">
        <f>IFERROR(Tabela24[[#This Row],[% zonas s/ultra]],0)</f>
        <v>0.47</v>
      </c>
      <c r="BI57" s="23" t="str">
        <f t="shared" si="5"/>
        <v>FNP</v>
      </c>
      <c r="BJ57" s="23">
        <v>2.9431344318181862</v>
      </c>
      <c r="BK57" s="43">
        <f>Tabela24[FFS]-0.0125*MAX(Tabela24[[#This Row],[vp1]],Tabela24[[#This Row],[vp1'']])-Tabela24[fnp'']</f>
        <v>69.203589053030313</v>
      </c>
      <c r="BL57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57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57" s="23">
        <v>1</v>
      </c>
      <c r="BO57" s="23">
        <f>1/(1+Tabela24[[#This Row],[Pt]]*(Tabela24[[#This Row],[Et time]]-1)+Tabela24[[#This Row],[PRv]]*(Tabela24[[#This Row],[Er time]]-1))</f>
        <v>0.94428706326723311</v>
      </c>
      <c r="BP57" s="23">
        <f>Tabela24[veic/h]/Tabela24[PHF]</f>
        <v>838.63636363636363</v>
      </c>
      <c r="BQ57" s="23">
        <v>888.11590909090921</v>
      </c>
      <c r="BR57" s="438">
        <f>Tabela24[veic/h]/(Tabela24[PHF]*Tabela24[fg time]*Tabela24[fhv follow])</f>
        <v>888.11590909090921</v>
      </c>
      <c r="BS57" s="438" t="str">
        <f>IF(AND(Tabela24[[#This Row],[vp2]]*Tabela24[[#This Row],[distrib. direc.]]&lt;1700,Tabela24[[#This Row],[vp2]]&lt;3200),"OK!","FAIL")</f>
        <v>OK!</v>
      </c>
      <c r="BT57" s="23">
        <f>100*(1-EXP(-0.000879*MAX(Tabela24[[#This Row],[vp2]],Tabela24[[#This Row],[vp2'']])))</f>
        <v>54.189363511505604</v>
      </c>
      <c r="BU57" s="304" t="e">
        <v>#REF!</v>
      </c>
      <c r="BV57" s="304">
        <f>IF(TYPE(Tabela24[distrib. direc.])&lt;&gt;1,0,Tabela24[distrib. direc.])</f>
        <v>0.55000000000000004</v>
      </c>
      <c r="BW57" s="304">
        <f>IF(TYPE(Tabela24[vp2])&lt;&gt;1,0,Tabela24[vp2])</f>
        <v>888.11590909090921</v>
      </c>
      <c r="BX57" s="304">
        <f>IF(TYPE(Tabela24[% zonas s/ultra])&lt;&gt;1,0,Tabela24[% zonas s/ultra])</f>
        <v>0.47</v>
      </c>
      <c r="BY57" s="304" t="str">
        <f t="shared" si="6"/>
        <v>FDNP</v>
      </c>
      <c r="BZ57" s="31">
        <v>10.478391590909848</v>
      </c>
      <c r="CA57" s="305">
        <f>Tabela24[BPTSF]+Tabela24[fd/np'']</f>
        <v>64.667755102415455</v>
      </c>
      <c r="CB57" s="424">
        <f>Tabela24[vp1]/3200</f>
        <v>0.2929985795454545</v>
      </c>
      <c r="CC57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D</v>
      </c>
      <c r="CD57" s="332">
        <f>VLOOKUP(Tabela24[faixa (m)],'HCM2000'!$B$541:$C$547,2,TRUE)</f>
        <v>2.1</v>
      </c>
      <c r="CE57" s="332">
        <f>IF(Tabela24[acost (m)]&gt;0,1.8,1.2)</f>
        <v>1.8</v>
      </c>
      <c r="CF57" s="332">
        <f>IF(Tabela24[Separador]=$CB$6,$CD$6,IF(Tabela24[Separador]=$CB$7,$CD$7,$CD$8))</f>
        <v>0</v>
      </c>
      <c r="CG57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57" s="332">
        <f>IF(Tabela24[Separador]="Sinalização horizontal",'HCM2000'!$C$590,'HCM2000'!$C$591)</f>
        <v>2.6</v>
      </c>
      <c r="CI57" s="332">
        <f>MIN((2/3)*Tabela24[[#This Row],[acessos/km]],16)</f>
        <v>1.3333333333333333</v>
      </c>
      <c r="CJ57" s="332">
        <f>IF(Tabela24[fLC]="Pista simples","-",Tabela24[BFFS]-Tabela24[fLW]-Tabela24[fLC]-Tabela24[fM]-Tabela24[fA2])</f>
        <v>79.866666666666688</v>
      </c>
      <c r="CK57" s="332">
        <f>IF(Tabela24[plano/ondulado]="Montanhoso",Tabela24[Para PT&lt;],VLOOKUP(Tabela24[plano/ondulado],'HCM2000'!$B$606:$C$608,2,FALSE))</f>
        <v>1.5</v>
      </c>
      <c r="CL57" s="332">
        <f>IF(Tabela24[[#This Row],[plano/ondulado]]="Montanhoso",Tabela24[[#This Row],[Para PT&lt;]],VLOOKUP(Tabela24[[#This Row],[plano/ondulado]],'HCM2000'!$E$606:$F$608,2,FALSE))</f>
        <v>1.2</v>
      </c>
      <c r="CM57" s="433">
        <f>1/(1+(Tabela24[Pt]*(Tabela24[Et2]-1))+(Tabela24[PRv]*(Tabela24[Er2]-1)))</f>
        <v>0.76863950807071491</v>
      </c>
      <c r="CN57" s="329">
        <f>K57+IF(Tabela24[[#This Row],[Num. Faixas Marg.]]="-",0,Tabela24[[#This Row],[Num. Faixas Marg.]])</f>
        <v>4.5999999999999996</v>
      </c>
      <c r="CO57" s="331">
        <f>Tabela24[[#This Row],[Vzão]]/(Tabela24[[#This Row],[PHF]]*Tabela24[[#This Row],[N]]*Tabela24[[#This Row],[fHV]])</f>
        <v>130.45353260869567</v>
      </c>
      <c r="CP57" s="332">
        <f>IF(Tabela24[fLC]="Pista simples","-",Tabela24[vp3]/Tabela24[S])</f>
        <v>1.6333914767365898</v>
      </c>
      <c r="CQ57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79.866666666666688</v>
      </c>
      <c r="CR57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57" s="308" t="str">
        <f>IF(Tabela24[LOS_vp3]="F","F",VLOOKUP(Tabela24[LOS_vp3],'HCM2000'!$R$655:$S$659,2))</f>
        <v>F</v>
      </c>
      <c r="CT57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57" s="425" t="str">
        <f>IF(Tabela24[[#This Row],[LOS_vp3]]="F","F",IF(Tabela24[[#This Row],[fLC]]="Pista simples","-",VLOOKUP(Tabela24[[#This Row],[LOS_D3]],'HCM2000'!$R$655:$S$659,2)))</f>
        <v>F</v>
      </c>
      <c r="CV57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57" s="381"/>
      <c r="CX57" s="381"/>
      <c r="CY57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57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57" s="22">
        <f>ABS(INDEX('HCM2000'!$E$611:$M$611,1,MATCH(Tabela24[Pt]*100,'HCM2000'!$E$611:$M$611,1))-Tabela24[Pt]*100)</f>
        <v>34</v>
      </c>
      <c r="DB57" s="22" t="e">
        <f>INDEX('HCM2000'!$E$611:$M$611,1,MATCH(Tabela24[[#This Row],[Pt]]*100,'HCM2000'!$E$611:$M$611,1)+1)-Tabela24[[#This Row],[Pt]]*100</f>
        <v>#REF!</v>
      </c>
      <c r="DC57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57" s="440"/>
      <c r="DE57" s="423" t="e">
        <f>1/(1+(Tabela24[Pt]*(Tabela24[ETsu]-1))+(Tabela24[PRv]*(Tabela24[ERsu]-1)))</f>
        <v>#N/A</v>
      </c>
      <c r="DF57" s="438" t="e">
        <f>Tabela24[Vzão]/(Tabela24[PHF]*Tabela24[N]*Tabela24[fHVsu])</f>
        <v>#N/A</v>
      </c>
      <c r="DG57" s="332" t="e">
        <f>IF(Tabela24[fLC]="Pista simples","-",Tabela24[vpsu]/Tabela24[S])</f>
        <v>#N/A</v>
      </c>
      <c r="DH57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57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57" s="425" t="str">
        <f>IF(Tabela24[[#This Row],[LOS_vp3]]="F","F",VLOOKUP(Tabela24[[#This Row],[LOS_vp3]],'HCM2000'!$R$655:$S$659,2))</f>
        <v>F</v>
      </c>
      <c r="DK57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57" s="425" t="str">
        <f>IF(Tabela24[[#This Row],[LOS_vp3]]="F","F",IF(Tabela24[[#This Row],[fLC]]="Pista simples","-",VLOOKUP(Tabela24[[#This Row],[LOS_D3]],'HCM2000'!$R$655:$S$659,2)))</f>
        <v>F</v>
      </c>
      <c r="DM57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57" s="416"/>
      <c r="DO57" s="22">
        <f>Tabela24[[#This Row],[ATS]]</f>
        <v>69.203589053030313</v>
      </c>
      <c r="DP57" s="416">
        <v>71.3</v>
      </c>
      <c r="DQ57" s="22">
        <f t="shared" si="11"/>
        <v>2.0964109469696837</v>
      </c>
      <c r="DR57" s="22">
        <f>Tabela24[[#This Row],[PTSF]]</f>
        <v>64.667755102415455</v>
      </c>
      <c r="DS57" s="416">
        <v>65.400000000000006</v>
      </c>
      <c r="DT57" s="22">
        <f t="shared" si="12"/>
        <v>0.73224489758455036</v>
      </c>
      <c r="DU57" s="22"/>
      <c r="DV57" s="22">
        <v>69.203589053030313</v>
      </c>
      <c r="DW57" s="416">
        <v>71.3</v>
      </c>
      <c r="DX57" s="22">
        <v>2.0964109469696837</v>
      </c>
      <c r="DY57" s="22">
        <v>69.041140422461481</v>
      </c>
      <c r="DZ57" s="416">
        <v>65.400000000000006</v>
      </c>
      <c r="EA57" s="22">
        <v>0.73224489758455036</v>
      </c>
      <c r="EB57" s="416"/>
      <c r="EC57" s="416"/>
      <c r="ED57" s="416"/>
      <c r="EE57" s="416"/>
      <c r="EF57" s="416"/>
      <c r="EG57" s="416"/>
      <c r="EH57" s="416"/>
      <c r="EI57" s="416"/>
      <c r="EJ57" s="416"/>
      <c r="EK57" s="416"/>
      <c r="EL57" s="416"/>
      <c r="EM57" s="416"/>
      <c r="EN57" s="416"/>
      <c r="EO57" s="416"/>
      <c r="EP57" s="416"/>
      <c r="EQ57" s="416"/>
      <c r="ER57" s="416"/>
      <c r="ES57" s="416"/>
      <c r="ET57" s="416"/>
      <c r="EU57" s="416"/>
      <c r="EV57" s="416"/>
      <c r="EW57" s="416"/>
      <c r="EX57" s="416"/>
      <c r="EY57" s="416"/>
      <c r="EZ57" s="416"/>
      <c r="FA57" s="416"/>
      <c r="FB57" s="416"/>
      <c r="FC57" s="416"/>
      <c r="FD57" s="416"/>
      <c r="FE57" s="416"/>
      <c r="FF57" s="416"/>
      <c r="FG57" s="416"/>
      <c r="FH57" s="416"/>
      <c r="FI57" s="416"/>
      <c r="FJ57" s="416"/>
      <c r="FK57" s="416"/>
      <c r="FL57" s="416"/>
      <c r="FM57" s="416"/>
      <c r="FR57" s="3"/>
      <c r="FS57" s="3"/>
      <c r="FV57" s="58"/>
      <c r="FW57" s="58"/>
    </row>
    <row r="58" spans="2:179">
      <c r="B58" s="386">
        <v>2</v>
      </c>
      <c r="C58" s="394"/>
      <c r="D58" s="395"/>
      <c r="E58" s="385">
        <v>24201</v>
      </c>
      <c r="F58" s="385">
        <v>24501</v>
      </c>
      <c r="G58" s="390">
        <v>300</v>
      </c>
      <c r="H58" s="386" t="s">
        <v>263</v>
      </c>
      <c r="I58" s="386" t="s">
        <v>379</v>
      </c>
      <c r="J58" s="390">
        <v>2</v>
      </c>
      <c r="K58" s="386">
        <v>4.5999999999999996</v>
      </c>
      <c r="L58" s="386" t="s">
        <v>143</v>
      </c>
      <c r="M58" s="386">
        <v>4.2</v>
      </c>
      <c r="N58" s="386">
        <v>1</v>
      </c>
      <c r="O58" s="396">
        <v>1</v>
      </c>
      <c r="P58" s="386" t="s">
        <v>366</v>
      </c>
      <c r="Q58" s="397" t="s">
        <v>144</v>
      </c>
      <c r="R58" s="419" t="s">
        <v>73</v>
      </c>
      <c r="S58" s="310">
        <v>48</v>
      </c>
      <c r="T58" s="420"/>
      <c r="U58" s="279">
        <v>24</v>
      </c>
      <c r="V58" s="323">
        <v>6473.9966140621727</v>
      </c>
      <c r="W58" s="323">
        <v>2824.5698392986178</v>
      </c>
      <c r="X58" s="420"/>
      <c r="Y58" s="398">
        <f t="shared" si="15"/>
        <v>1</v>
      </c>
      <c r="Z58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58" s="182" t="s">
        <v>644</v>
      </c>
      <c r="AB58" s="391" t="s">
        <v>654</v>
      </c>
      <c r="AC58" s="31">
        <v>3.5</v>
      </c>
      <c r="AD58" s="31">
        <v>2.5</v>
      </c>
      <c r="AE58" s="421"/>
      <c r="AF58" s="421"/>
      <c r="AG58" s="421">
        <v>0</v>
      </c>
      <c r="AH58" s="441">
        <v>0.6</v>
      </c>
      <c r="AI58" s="25">
        <v>0.03</v>
      </c>
      <c r="AJ58" s="435">
        <v>8.7999999999999995E-2</v>
      </c>
      <c r="AK58" s="330">
        <v>775</v>
      </c>
      <c r="AL58" s="263">
        <v>0.55000000000000004</v>
      </c>
      <c r="AM58" s="414">
        <v>426.25000000000006</v>
      </c>
      <c r="AN58" s="417">
        <v>2</v>
      </c>
      <c r="AO58" s="467" t="s">
        <v>73</v>
      </c>
      <c r="AP58" s="439">
        <v>88</v>
      </c>
      <c r="AQ58" s="442">
        <v>0.35</v>
      </c>
      <c r="AR58" s="422">
        <v>0.88</v>
      </c>
      <c r="AS58" s="316"/>
      <c r="AT58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58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58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58" s="23">
        <f>1/(1+(Tabela24[[#This Row],[Pt]])*(Tabela24[[#This Row],[Et]]-1)+(Tabela24[[#This Row],[PRv]])*(Tabela24[[#This Row],[Er]]-1))</f>
        <v>0.8928571428571429</v>
      </c>
      <c r="AX58" s="423">
        <f>Tabela24[veic/h]/Tabela24[PHF]</f>
        <v>880.68181818181813</v>
      </c>
      <c r="AY58" s="423">
        <v>986.36363636363626</v>
      </c>
      <c r="AZ58" s="21">
        <f>Tabela24[veic/h]/(Tabela24[PHF]*Tabela24[fg ats]*Tabela24[fhv ats])</f>
        <v>986.36363636363626</v>
      </c>
      <c r="BA58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58" s="322" t="str">
        <f>IF(AND(Tabela24[[#This Row],[vp1]]*Tabela24[[#This Row],[distrib. direc.]]&lt;1700,Tabela24[[#This Row],[vp1]]&lt;3200),"OK!","FAIL")</f>
        <v>OK!</v>
      </c>
      <c r="BC58" s="23">
        <f>INDEX('HCM2000'!$L$68:$AF$83,MATCH(Tabela24[[#This Row],[faixa (m)]],'HCM2000'!$K$68:$K$83),MATCH(Tabela24[[#This Row],[acost (m)]],'HCM2000'!$L$67:$AF$67))</f>
        <v>0.7</v>
      </c>
      <c r="BD58" s="23">
        <f>MIN(16,(2/3)*Tabela24[[#This Row],[acessos/km]])</f>
        <v>1.3333333333333333</v>
      </c>
      <c r="BE58" s="22">
        <f>Tabela24[BFFS]-Tabela24[fLS]-Tabela24[fA]</f>
        <v>85.966666666666669</v>
      </c>
      <c r="BF58" s="23" t="e">
        <v>#REF!</v>
      </c>
      <c r="BG58" s="463">
        <f>IFERROR(Tabela24[[#This Row],[vp1]],0)</f>
        <v>986.36363636363626</v>
      </c>
      <c r="BH58" s="463">
        <f>IFERROR(Tabela24[[#This Row],[% zonas s/ultra]],0)</f>
        <v>0.35</v>
      </c>
      <c r="BI58" s="23" t="str">
        <f t="shared" si="5"/>
        <v>FNP</v>
      </c>
      <c r="BJ58" s="23">
        <v>2.3624999999999963</v>
      </c>
      <c r="BK58" s="43">
        <f>Tabela24[FFS]-0.0125*MAX(Tabela24[[#This Row],[vp1]],Tabela24[[#This Row],[vp1'']])-Tabela24[fnp'']</f>
        <v>71.274621212121218</v>
      </c>
      <c r="BL58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58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58" s="23">
        <v>1</v>
      </c>
      <c r="BO58" s="23">
        <f>1/(1+Tabela24[[#This Row],[Pt]]*(Tabela24[[#This Row],[Et time]]-1)+Tabela24[[#This Row],[PRv]]*(Tabela24[[#This Row],[Er time]]-1))</f>
        <v>0.94339622641509424</v>
      </c>
      <c r="BP58" s="23">
        <f>Tabela24[veic/h]/Tabela24[PHF]</f>
        <v>880.68181818181813</v>
      </c>
      <c r="BQ58" s="23">
        <v>933.52272727272737</v>
      </c>
      <c r="BR58" s="438">
        <f>Tabela24[veic/h]/(Tabela24[PHF]*Tabela24[fg time]*Tabela24[fhv follow])</f>
        <v>933.52272727272737</v>
      </c>
      <c r="BS58" s="438" t="str">
        <f>IF(AND(Tabela24[[#This Row],[vp2]]*Tabela24[[#This Row],[distrib. direc.]]&lt;1700,Tabela24[[#This Row],[vp2]]&lt;3200),"OK!","FAIL")</f>
        <v>OK!</v>
      </c>
      <c r="BT58" s="23">
        <f>100*(1-EXP(-0.000879*MAX(Tabela24[[#This Row],[vp2]],Tabela24[[#This Row],[vp2'']])))</f>
        <v>55.981776936332153</v>
      </c>
      <c r="BU58" s="304" t="e">
        <v>#REF!</v>
      </c>
      <c r="BV58" s="304">
        <f>IF(TYPE(Tabela24[distrib. direc.])&lt;&gt;1,0,Tabela24[distrib. direc.])</f>
        <v>0.55000000000000004</v>
      </c>
      <c r="BW58" s="304">
        <f>IF(TYPE(Tabela24[vp2])&lt;&gt;1,0,Tabela24[vp2])</f>
        <v>933.52272727272737</v>
      </c>
      <c r="BX58" s="304">
        <f>IF(TYPE(Tabela24[% zonas s/ultra])&lt;&gt;1,0,Tabela24[% zonas s/ultra])</f>
        <v>0.35</v>
      </c>
      <c r="BY58" s="304" t="str">
        <f t="shared" si="6"/>
        <v>FDNP</v>
      </c>
      <c r="BZ58" s="31">
        <v>8.6068892045451335</v>
      </c>
      <c r="CA58" s="305">
        <f>Tabela24[BPTSF]+Tabela24[fd/np'']</f>
        <v>64.58866614087728</v>
      </c>
      <c r="CB58" s="424">
        <f>Tabela24[vp1]/3200</f>
        <v>0.30823863636363635</v>
      </c>
      <c r="CC58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58" s="332">
        <f>VLOOKUP(Tabela24[faixa (m)],'HCM2000'!$B$541:$C$547,2,TRUE)</f>
        <v>1</v>
      </c>
      <c r="CE58" s="332">
        <f>IF(Tabela24[acost (m)]&gt;0,1.8,1.2)</f>
        <v>1.8</v>
      </c>
      <c r="CF58" s="332">
        <f>IF(Tabela24[Separador]=$CB$6,$CD$6,IF(Tabela24[Separador]=$CB$7,$CD$7,$CD$8))</f>
        <v>0</v>
      </c>
      <c r="CG58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58" s="332">
        <f>IF(Tabela24[Separador]="Sinalização horizontal",'HCM2000'!$C$590,'HCM2000'!$C$591)</f>
        <v>2.6</v>
      </c>
      <c r="CI58" s="332">
        <f>MIN((2/3)*Tabela24[[#This Row],[acessos/km]],16)</f>
        <v>1.3333333333333333</v>
      </c>
      <c r="CJ58" s="332">
        <f>IF(Tabela24[fLC]="Pista simples","-",Tabela24[BFFS]-Tabela24[fLW]-Tabela24[fLC]-Tabela24[fM]-Tabela24[fA2])</f>
        <v>80.966666666666683</v>
      </c>
      <c r="CK58" s="332">
        <f>IF(Tabela24[plano/ondulado]="Montanhoso",Tabela24[Para PT&lt;],VLOOKUP(Tabela24[plano/ondulado],'HCM2000'!$B$606:$C$608,2,FALSE))</f>
        <v>1.5</v>
      </c>
      <c r="CL58" s="332">
        <f>IF(Tabela24[[#This Row],[plano/ondulado]]="Montanhoso",Tabela24[[#This Row],[Para PT&lt;]],VLOOKUP(Tabela24[[#This Row],[plano/ondulado]],'HCM2000'!$E$606:$F$608,2,FALSE))</f>
        <v>1.2</v>
      </c>
      <c r="CM58" s="433">
        <f>1/(1+(Tabela24[Pt]*(Tabela24[Et2]-1))+(Tabela24[PRv]*(Tabela24[Er2]-1)))</f>
        <v>0.76569678407350683</v>
      </c>
      <c r="CN58" s="329">
        <f>K58+IF(Tabela24[[#This Row],[Num. Faixas Marg.]]="-",0,Tabela24[[#This Row],[Num. Faixas Marg.]])</f>
        <v>4.5999999999999996</v>
      </c>
      <c r="CO58" s="331">
        <f>Tabela24[[#This Row],[Vzão]]/(Tabela24[[#This Row],[PHF]]*Tabela24[[#This Row],[N]]*Tabela24[[#This Row],[fHV]])</f>
        <v>137.52038043478262</v>
      </c>
      <c r="CP58" s="332">
        <f>IF(Tabela24[fLC]="Pista simples","-",Tabela24[vp3]/Tabela24[S])</f>
        <v>1.6984814380582454</v>
      </c>
      <c r="CQ58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58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58" s="308" t="str">
        <f>IF(Tabela24[LOS_vp3]="F","F",VLOOKUP(Tabela24[LOS_vp3],'HCM2000'!$R$655:$S$659,2))</f>
        <v>F</v>
      </c>
      <c r="CT58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58" s="425" t="str">
        <f>IF(Tabela24[[#This Row],[LOS_vp3]]="F","F",IF(Tabela24[[#This Row],[fLC]]="Pista simples","-",VLOOKUP(Tabela24[[#This Row],[LOS_D3]],'HCM2000'!$R$655:$S$659,2)))</f>
        <v>F</v>
      </c>
      <c r="CV58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58" s="381"/>
      <c r="CX58" s="381"/>
      <c r="CY58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58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58" s="22">
        <f>ABS(INDEX('HCM2000'!$E$611:$M$611,1,MATCH(Tabela24[Pt]*100,'HCM2000'!$E$611:$M$611,1))-Tabela24[Pt]*100)</f>
        <v>35</v>
      </c>
      <c r="DB58" s="22" t="e">
        <f>INDEX('HCM2000'!$E$611:$M$611,1,MATCH(Tabela24[[#This Row],[Pt]]*100,'HCM2000'!$E$611:$M$611,1)+1)-Tabela24[[#This Row],[Pt]]*100</f>
        <v>#REF!</v>
      </c>
      <c r="DC58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58" s="440"/>
      <c r="DE58" s="423" t="e">
        <f>1/(1+(Tabela24[Pt]*(Tabela24[ETsu]-1))+(Tabela24[PRv]*(Tabela24[ERsu]-1)))</f>
        <v>#N/A</v>
      </c>
      <c r="DF58" s="438" t="e">
        <f>Tabela24[Vzão]/(Tabela24[PHF]*Tabela24[N]*Tabela24[fHVsu])</f>
        <v>#N/A</v>
      </c>
      <c r="DG58" s="332" t="e">
        <f>IF(Tabela24[fLC]="Pista simples","-",Tabela24[vpsu]/Tabela24[S])</f>
        <v>#N/A</v>
      </c>
      <c r="DH58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58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58" s="425" t="str">
        <f>IF(Tabela24[[#This Row],[LOS_vp3]]="F","F",VLOOKUP(Tabela24[[#This Row],[LOS_vp3]],'HCM2000'!$R$655:$S$659,2))</f>
        <v>F</v>
      </c>
      <c r="DK58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58" s="425" t="str">
        <f>IF(Tabela24[[#This Row],[LOS_vp3]]="F","F",IF(Tabela24[[#This Row],[fLC]]="Pista simples","-",VLOOKUP(Tabela24[[#This Row],[LOS_D3]],'HCM2000'!$R$655:$S$659,2)))</f>
        <v>F</v>
      </c>
      <c r="DM58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58" s="416"/>
      <c r="DO58" s="22">
        <f>Tabela24[[#This Row],[ATS]]</f>
        <v>71.274621212121218</v>
      </c>
      <c r="DP58" s="416">
        <v>71.3</v>
      </c>
      <c r="DQ58" s="22">
        <f t="shared" si="11"/>
        <v>2.5378787878779008E-2</v>
      </c>
      <c r="DR58" s="22">
        <f>Tabela24[[#This Row],[PTSF]]</f>
        <v>64.58866614087728</v>
      </c>
      <c r="DS58" s="416">
        <v>65.3</v>
      </c>
      <c r="DT58" s="22">
        <f t="shared" si="12"/>
        <v>0.71133385912271763</v>
      </c>
      <c r="DU58" s="22"/>
      <c r="DV58" s="22">
        <v>71.274621212121218</v>
      </c>
      <c r="DW58" s="416">
        <v>71.3</v>
      </c>
      <c r="DX58" s="22">
        <v>2.5378787878779008E-2</v>
      </c>
      <c r="DY58" s="22">
        <v>69.738508959626827</v>
      </c>
      <c r="DZ58" s="416">
        <v>65.3</v>
      </c>
      <c r="EA58" s="22">
        <v>0.71133385912271763</v>
      </c>
      <c r="EB58" s="416"/>
      <c r="EC58" s="416"/>
      <c r="ED58" s="416"/>
      <c r="EE58" s="416"/>
      <c r="EF58" s="416"/>
      <c r="EG58" s="416"/>
      <c r="EH58" s="416"/>
      <c r="EI58" s="416"/>
      <c r="EJ58" s="416"/>
      <c r="EK58" s="416"/>
      <c r="EL58" s="416"/>
      <c r="EM58" s="416"/>
      <c r="EN58" s="416"/>
      <c r="EO58" s="416"/>
      <c r="EP58" s="416"/>
      <c r="EQ58" s="416"/>
      <c r="ER58" s="416"/>
      <c r="ES58" s="416"/>
      <c r="ET58" s="416"/>
      <c r="EU58" s="416"/>
      <c r="EV58" s="416"/>
      <c r="EW58" s="416"/>
      <c r="EX58" s="416"/>
      <c r="EY58" s="416"/>
      <c r="EZ58" s="416"/>
      <c r="FA58" s="416"/>
      <c r="FB58" s="416"/>
      <c r="FC58" s="416"/>
      <c r="FD58" s="416"/>
      <c r="FE58" s="416"/>
      <c r="FF58" s="416"/>
      <c r="FG58" s="416"/>
      <c r="FH58" s="416"/>
      <c r="FI58" s="416"/>
      <c r="FJ58" s="416"/>
      <c r="FK58" s="416"/>
      <c r="FL58" s="416"/>
      <c r="FM58" s="416"/>
      <c r="FR58" s="3"/>
      <c r="FS58" s="3"/>
      <c r="FV58" s="58"/>
      <c r="FW58" s="58"/>
    </row>
    <row r="59" spans="2:179">
      <c r="B59" s="386">
        <v>3</v>
      </c>
      <c r="C59" s="394"/>
      <c r="D59" s="395"/>
      <c r="E59" s="385">
        <v>24201</v>
      </c>
      <c r="F59" s="385">
        <v>24501</v>
      </c>
      <c r="G59" s="390">
        <v>300</v>
      </c>
      <c r="H59" s="386" t="s">
        <v>263</v>
      </c>
      <c r="I59" s="386" t="s">
        <v>379</v>
      </c>
      <c r="J59" s="390">
        <v>2</v>
      </c>
      <c r="K59" s="386">
        <v>4.5999999999999996</v>
      </c>
      <c r="L59" s="386" t="s">
        <v>143</v>
      </c>
      <c r="M59" s="386">
        <v>4.2</v>
      </c>
      <c r="N59" s="386">
        <v>1</v>
      </c>
      <c r="O59" s="396">
        <v>1</v>
      </c>
      <c r="P59" s="386" t="s">
        <v>366</v>
      </c>
      <c r="Q59" s="397" t="s">
        <v>144</v>
      </c>
      <c r="R59" s="419" t="s">
        <v>73</v>
      </c>
      <c r="S59" s="310">
        <v>49</v>
      </c>
      <c r="T59" s="420"/>
      <c r="U59" s="279">
        <v>24</v>
      </c>
      <c r="V59" s="323">
        <v>6473.9966140621727</v>
      </c>
      <c r="W59" s="323">
        <v>2824.5698392986178</v>
      </c>
      <c r="X59" s="420"/>
      <c r="Y59" s="398">
        <f t="shared" si="15"/>
        <v>1</v>
      </c>
      <c r="Z59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59" s="182" t="s">
        <v>644</v>
      </c>
      <c r="AB59" s="391" t="s">
        <v>654</v>
      </c>
      <c r="AC59" s="31">
        <v>3.5</v>
      </c>
      <c r="AD59" s="31">
        <v>2.5</v>
      </c>
      <c r="AE59" s="421"/>
      <c r="AF59" s="421"/>
      <c r="AG59" s="421">
        <v>0</v>
      </c>
      <c r="AH59" s="441">
        <v>0.54</v>
      </c>
      <c r="AI59" s="25">
        <v>0.03</v>
      </c>
      <c r="AJ59" s="435">
        <v>8.7999999999999995E-2</v>
      </c>
      <c r="AK59" s="330">
        <v>764</v>
      </c>
      <c r="AL59" s="263">
        <v>0.55000000000000004</v>
      </c>
      <c r="AM59" s="414">
        <v>420.20000000000005</v>
      </c>
      <c r="AN59" s="417">
        <v>2</v>
      </c>
      <c r="AO59" s="467" t="s">
        <v>73</v>
      </c>
      <c r="AP59" s="439">
        <v>88</v>
      </c>
      <c r="AQ59" s="442">
        <v>0.4</v>
      </c>
      <c r="AR59" s="422">
        <v>0.88</v>
      </c>
      <c r="AS59" s="316"/>
      <c r="AT59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59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59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59" s="23">
        <f>1/(1+(Tabela24[[#This Row],[Pt]])*(Tabela24[[#This Row],[Et]]-1)+(Tabela24[[#This Row],[PRv]])*(Tabela24[[#This Row],[Er]]-1))</f>
        <v>0.90252707581227432</v>
      </c>
      <c r="AX59" s="423">
        <f>Tabela24[veic/h]/Tabela24[PHF]</f>
        <v>868.18181818181813</v>
      </c>
      <c r="AY59" s="423">
        <v>961.9454545454546</v>
      </c>
      <c r="AZ59" s="21">
        <f>Tabela24[veic/h]/(Tabela24[PHF]*Tabela24[fg ats]*Tabela24[fhv ats])</f>
        <v>961.9454545454546</v>
      </c>
      <c r="BA59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59" s="322" t="str">
        <f>IF(AND(Tabela24[[#This Row],[vp1]]*Tabela24[[#This Row],[distrib. direc.]]&lt;1700,Tabela24[[#This Row],[vp1]]&lt;3200),"OK!","FAIL")</f>
        <v>OK!</v>
      </c>
      <c r="BC59" s="23">
        <f>INDEX('HCM2000'!$L$68:$AF$83,MATCH(Tabela24[[#This Row],[faixa (m)]],'HCM2000'!$K$68:$K$83),MATCH(Tabela24[[#This Row],[acost (m)]],'HCM2000'!$L$67:$AF$67))</f>
        <v>0.7</v>
      </c>
      <c r="BD59" s="23">
        <f>MIN(16,(2/3)*Tabela24[[#This Row],[acessos/km]])</f>
        <v>1.3333333333333333</v>
      </c>
      <c r="BE59" s="22">
        <f>Tabela24[BFFS]-Tabela24[fLS]-Tabela24[fA]</f>
        <v>85.966666666666669</v>
      </c>
      <c r="BF59" s="23" t="e">
        <v>#REF!</v>
      </c>
      <c r="BG59" s="463">
        <f>IFERROR(Tabela24[[#This Row],[vp1]],0)</f>
        <v>961.9454545454546</v>
      </c>
      <c r="BH59" s="463">
        <f>IFERROR(Tabela24[[#This Row],[% zonas s/ultra]],0)</f>
        <v>0.4</v>
      </c>
      <c r="BI59" s="23" t="str">
        <f t="shared" si="5"/>
        <v>FNP</v>
      </c>
      <c r="BJ59" s="23">
        <v>2.6141636363636405</v>
      </c>
      <c r="BK59" s="43">
        <f>Tabela24[FFS]-0.0125*MAX(Tabela24[[#This Row],[vp1]],Tabela24[[#This Row],[vp1'']])-Tabela24[fnp'']</f>
        <v>71.328184848484838</v>
      </c>
      <c r="BL59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59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59" s="23">
        <v>1</v>
      </c>
      <c r="BO59" s="23">
        <f>1/(1+Tabela24[[#This Row],[Pt]]*(Tabela24[[#This Row],[Et time]]-1)+Tabela24[[#This Row],[PRv]]*(Tabela24[[#This Row],[Er time]]-1))</f>
        <v>0.94876660341555974</v>
      </c>
      <c r="BP59" s="23">
        <f>Tabela24[veic/h]/Tabela24[PHF]</f>
        <v>868.18181818181813</v>
      </c>
      <c r="BQ59" s="23">
        <v>915.06363636363642</v>
      </c>
      <c r="BR59" s="438">
        <f>Tabela24[veic/h]/(Tabela24[PHF]*Tabela24[fg time]*Tabela24[fhv follow])</f>
        <v>915.06363636363642</v>
      </c>
      <c r="BS59" s="438" t="str">
        <f>IF(AND(Tabela24[[#This Row],[vp2]]*Tabela24[[#This Row],[distrib. direc.]]&lt;1700,Tabela24[[#This Row],[vp2]]&lt;3200),"OK!","FAIL")</f>
        <v>OK!</v>
      </c>
      <c r="BT59" s="23">
        <f>100*(1-EXP(-0.000879*MAX(Tabela24[[#This Row],[vp2]],Tabela24[[#This Row],[vp2'']])))</f>
        <v>55.261731692500994</v>
      </c>
      <c r="BU59" s="304" t="e">
        <v>#REF!</v>
      </c>
      <c r="BV59" s="304">
        <f>IF(TYPE(Tabela24[distrib. direc.])&lt;&gt;1,0,Tabela24[distrib. direc.])</f>
        <v>0.55000000000000004</v>
      </c>
      <c r="BW59" s="304">
        <f>IF(TYPE(Tabela24[vp2])&lt;&gt;1,0,Tabela24[vp2])</f>
        <v>915.06363636363642</v>
      </c>
      <c r="BX59" s="304">
        <f>IF(TYPE(Tabela24[% zonas s/ultra])&lt;&gt;1,0,Tabela24[% zonas s/ultra])</f>
        <v>0.4</v>
      </c>
      <c r="BY59" s="304" t="str">
        <f t="shared" si="6"/>
        <v>FDNP</v>
      </c>
      <c r="BZ59" s="31">
        <v>9.3794909090916647</v>
      </c>
      <c r="CA59" s="305">
        <f>Tabela24[BPTSF]+Tabela24[fd/np'']</f>
        <v>64.641222601592659</v>
      </c>
      <c r="CB59" s="424">
        <f>Tabela24[vp1]/3200</f>
        <v>0.30060795454545458</v>
      </c>
      <c r="CC59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59" s="332">
        <f>VLOOKUP(Tabela24[faixa (m)],'HCM2000'!$B$541:$C$547,2,TRUE)</f>
        <v>1</v>
      </c>
      <c r="CE59" s="332">
        <f>IF(Tabela24[acost (m)]&gt;0,1.8,1.2)</f>
        <v>1.8</v>
      </c>
      <c r="CF59" s="332">
        <f>IF(Tabela24[Separador]=$CB$6,$CD$6,IF(Tabela24[Separador]=$CB$7,$CD$7,$CD$8))</f>
        <v>0</v>
      </c>
      <c r="CG59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59" s="332">
        <f>IF(Tabela24[Separador]="Sinalização horizontal",'HCM2000'!$C$590,'HCM2000'!$C$591)</f>
        <v>2.6</v>
      </c>
      <c r="CI59" s="332">
        <f>MIN((2/3)*Tabela24[[#This Row],[acessos/km]],16)</f>
        <v>1.3333333333333333</v>
      </c>
      <c r="CJ59" s="332">
        <f>IF(Tabela24[fLC]="Pista simples","-",Tabela24[BFFS]-Tabela24[fLW]-Tabela24[fLC]-Tabela24[fM]-Tabela24[fA2])</f>
        <v>80.966666666666683</v>
      </c>
      <c r="CK59" s="332">
        <f>IF(Tabela24[plano/ondulado]="Montanhoso",Tabela24[Para PT&lt;],VLOOKUP(Tabela24[plano/ondulado],'HCM2000'!$B$606:$C$608,2,FALSE))</f>
        <v>1.5</v>
      </c>
      <c r="CL59" s="332">
        <f>IF(Tabela24[[#This Row],[plano/ondulado]]="Montanhoso",Tabela24[[#This Row],[Para PT&lt;]],VLOOKUP(Tabela24[[#This Row],[plano/ondulado]],'HCM2000'!$E$606:$F$608,2,FALSE))</f>
        <v>1.2</v>
      </c>
      <c r="CM59" s="433">
        <f>1/(1+(Tabela24[Pt]*(Tabela24[Et2]-1))+(Tabela24[PRv]*(Tabela24[Er2]-1)))</f>
        <v>0.78369905956112851</v>
      </c>
      <c r="CN59" s="329">
        <f>K59+IF(Tabela24[[#This Row],[Num. Faixas Marg.]]="-",0,Tabela24[[#This Row],[Num. Faixas Marg.]])</f>
        <v>4.5999999999999996</v>
      </c>
      <c r="CO59" s="331">
        <f>Tabela24[[#This Row],[Vzão]]/(Tabela24[[#This Row],[PHF]]*Tabela24[[#This Row],[N]]*Tabela24[[#This Row],[fHV]])</f>
        <v>132.45434782608697</v>
      </c>
      <c r="CP59" s="332">
        <f>IF(Tabela24[fLC]="Pista simples","-",Tabela24[vp3]/Tabela24[S])</f>
        <v>1.6359120768969158</v>
      </c>
      <c r="CQ59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59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59" s="308" t="str">
        <f>IF(Tabela24[LOS_vp3]="F","F",VLOOKUP(Tabela24[LOS_vp3],'HCM2000'!$R$655:$S$659,2))</f>
        <v>F</v>
      </c>
      <c r="CT59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59" s="425" t="str">
        <f>IF(Tabela24[[#This Row],[LOS_vp3]]="F","F",IF(Tabela24[[#This Row],[fLC]]="Pista simples","-",VLOOKUP(Tabela24[[#This Row],[LOS_D3]],'HCM2000'!$R$655:$S$659,2)))</f>
        <v>F</v>
      </c>
      <c r="CV59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59" s="381"/>
      <c r="CX59" s="381"/>
      <c r="CY59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59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59" s="22">
        <f>ABS(INDEX('HCM2000'!$E$611:$M$611,1,MATCH(Tabela24[Pt]*100,'HCM2000'!$E$611:$M$611,1))-Tabela24[Pt]*100)</f>
        <v>29</v>
      </c>
      <c r="DB59" s="22" t="e">
        <f>INDEX('HCM2000'!$E$611:$M$611,1,MATCH(Tabela24[[#This Row],[Pt]]*100,'HCM2000'!$E$611:$M$611,1)+1)-Tabela24[[#This Row],[Pt]]*100</f>
        <v>#REF!</v>
      </c>
      <c r="DC59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59" s="440"/>
      <c r="DE59" s="423" t="e">
        <f>1/(1+(Tabela24[Pt]*(Tabela24[ETsu]-1))+(Tabela24[PRv]*(Tabela24[ERsu]-1)))</f>
        <v>#N/A</v>
      </c>
      <c r="DF59" s="438" t="e">
        <f>Tabela24[Vzão]/(Tabela24[PHF]*Tabela24[N]*Tabela24[fHVsu])</f>
        <v>#N/A</v>
      </c>
      <c r="DG59" s="332" t="e">
        <f>IF(Tabela24[fLC]="Pista simples","-",Tabela24[vpsu]/Tabela24[S])</f>
        <v>#N/A</v>
      </c>
      <c r="DH59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59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59" s="425" t="str">
        <f>IF(Tabela24[[#This Row],[LOS_vp3]]="F","F",VLOOKUP(Tabela24[[#This Row],[LOS_vp3]],'HCM2000'!$R$655:$S$659,2))</f>
        <v>F</v>
      </c>
      <c r="DK59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59" s="425" t="str">
        <f>IF(Tabela24[[#This Row],[LOS_vp3]]="F","F",IF(Tabela24[[#This Row],[fLC]]="Pista simples","-",VLOOKUP(Tabela24[[#This Row],[LOS_D3]],'HCM2000'!$R$655:$S$659,2)))</f>
        <v>F</v>
      </c>
      <c r="DM59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59" s="416"/>
      <c r="DO59" s="22">
        <f>Tabela24[[#This Row],[ATS]]</f>
        <v>71.328184848484838</v>
      </c>
      <c r="DP59" s="416">
        <v>71.3</v>
      </c>
      <c r="DQ59" s="22">
        <f t="shared" si="11"/>
        <v>2.8184848484841041E-2</v>
      </c>
      <c r="DR59" s="22">
        <f>Tabela24[[#This Row],[PTSF]]</f>
        <v>64.641222601592659</v>
      </c>
      <c r="DS59" s="416">
        <v>65.400000000000006</v>
      </c>
      <c r="DT59" s="22">
        <f t="shared" si="12"/>
        <v>0.75877739840734648</v>
      </c>
      <c r="DU59" s="22"/>
      <c r="DV59" s="22">
        <v>71.328184848484838</v>
      </c>
      <c r="DW59" s="416">
        <v>71.3</v>
      </c>
      <c r="DX59" s="22">
        <v>2.8184848484841041E-2</v>
      </c>
      <c r="DY59" s="22">
        <v>70.399912020334597</v>
      </c>
      <c r="DZ59" s="416">
        <v>65.400000000000006</v>
      </c>
      <c r="EA59" s="22">
        <v>0.75877739840734648</v>
      </c>
      <c r="EB59" s="416"/>
      <c r="EC59" s="416"/>
      <c r="ED59" s="416"/>
      <c r="EE59" s="416"/>
      <c r="EF59" s="416"/>
      <c r="EG59" s="416"/>
      <c r="EH59" s="416"/>
      <c r="EI59" s="416"/>
      <c r="EJ59" s="416"/>
      <c r="EK59" s="416"/>
      <c r="EL59" s="416"/>
      <c r="EM59" s="416"/>
      <c r="EN59" s="416"/>
      <c r="EO59" s="416"/>
      <c r="EP59" s="416"/>
      <c r="EQ59" s="416"/>
      <c r="ER59" s="416"/>
      <c r="ES59" s="416"/>
      <c r="ET59" s="416"/>
      <c r="EU59" s="416"/>
      <c r="EV59" s="416"/>
      <c r="EW59" s="416"/>
      <c r="EX59" s="416"/>
      <c r="EY59" s="416"/>
      <c r="EZ59" s="416"/>
      <c r="FA59" s="416"/>
      <c r="FB59" s="416"/>
      <c r="FC59" s="416"/>
      <c r="FD59" s="416"/>
      <c r="FE59" s="416"/>
      <c r="FF59" s="416"/>
      <c r="FG59" s="416"/>
      <c r="FH59" s="416"/>
      <c r="FI59" s="416"/>
      <c r="FJ59" s="416"/>
      <c r="FK59" s="416"/>
      <c r="FL59" s="416"/>
      <c r="FM59" s="416"/>
      <c r="FR59" s="3"/>
      <c r="FS59" s="3"/>
      <c r="FV59" s="58"/>
      <c r="FW59" s="58"/>
    </row>
    <row r="60" spans="2:179">
      <c r="B60" s="386">
        <v>4</v>
      </c>
      <c r="C60" s="394"/>
      <c r="D60" s="395"/>
      <c r="E60" s="385">
        <v>24201</v>
      </c>
      <c r="F60" s="385">
        <v>24501</v>
      </c>
      <c r="G60" s="390">
        <v>300</v>
      </c>
      <c r="H60" s="386" t="s">
        <v>263</v>
      </c>
      <c r="I60" s="386" t="s">
        <v>379</v>
      </c>
      <c r="J60" s="390">
        <v>2</v>
      </c>
      <c r="K60" s="386">
        <v>4.5999999999999996</v>
      </c>
      <c r="L60" s="386" t="s">
        <v>143</v>
      </c>
      <c r="M60" s="386">
        <v>4.2</v>
      </c>
      <c r="N60" s="386">
        <v>1</v>
      </c>
      <c r="O60" s="396">
        <v>1</v>
      </c>
      <c r="P60" s="386" t="s">
        <v>366</v>
      </c>
      <c r="Q60" s="397" t="s">
        <v>144</v>
      </c>
      <c r="R60" s="419" t="s">
        <v>73</v>
      </c>
      <c r="S60" s="310">
        <v>50</v>
      </c>
      <c r="T60" s="420"/>
      <c r="U60" s="279">
        <v>24</v>
      </c>
      <c r="V60" s="323">
        <v>6473.9966140621727</v>
      </c>
      <c r="W60" s="323">
        <v>2824.5698392986178</v>
      </c>
      <c r="X60" s="420"/>
      <c r="Y60" s="398">
        <f t="shared" si="15"/>
        <v>1</v>
      </c>
      <c r="Z60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60" s="182" t="s">
        <v>644</v>
      </c>
      <c r="AB60" s="391" t="s">
        <v>654</v>
      </c>
      <c r="AC60" s="31">
        <v>3.5</v>
      </c>
      <c r="AD60" s="31">
        <v>2.5</v>
      </c>
      <c r="AE60" s="421"/>
      <c r="AF60" s="421"/>
      <c r="AG60" s="421">
        <v>0</v>
      </c>
      <c r="AH60" s="441">
        <v>0.68</v>
      </c>
      <c r="AI60" s="25">
        <v>0.03</v>
      </c>
      <c r="AJ60" s="435">
        <v>8.7999999999999995E-2</v>
      </c>
      <c r="AK60" s="330">
        <v>758</v>
      </c>
      <c r="AL60" s="263">
        <v>0.55000000000000004</v>
      </c>
      <c r="AM60" s="414">
        <v>416.90000000000003</v>
      </c>
      <c r="AN60" s="417">
        <v>2</v>
      </c>
      <c r="AO60" s="467" t="s">
        <v>73</v>
      </c>
      <c r="AP60" s="439">
        <v>88</v>
      </c>
      <c r="AQ60" s="442">
        <v>0.32</v>
      </c>
      <c r="AR60" s="422">
        <v>0.88</v>
      </c>
      <c r="AS60" s="316"/>
      <c r="AT60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60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60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60" s="23">
        <f>1/(1+(Tabela24[[#This Row],[Pt]])*(Tabela24[[#This Row],[Et]]-1)+(Tabela24[[#This Row],[PRv]])*(Tabela24[[#This Row],[Er]]-1))</f>
        <v>0.88028169014084512</v>
      </c>
      <c r="AX60" s="423">
        <f>Tabela24[veic/h]/Tabela24[PHF]</f>
        <v>861.36363636363637</v>
      </c>
      <c r="AY60" s="423">
        <v>978.50909090909079</v>
      </c>
      <c r="AZ60" s="21">
        <f>Tabela24[veic/h]/(Tabela24[PHF]*Tabela24[fg ats]*Tabela24[fhv ats])</f>
        <v>978.50909090909079</v>
      </c>
      <c r="BA60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60" s="322" t="str">
        <f>IF(AND(Tabela24[[#This Row],[vp1]]*Tabela24[[#This Row],[distrib. direc.]]&lt;1700,Tabela24[[#This Row],[vp1]]&lt;3200),"OK!","FAIL")</f>
        <v>OK!</v>
      </c>
      <c r="BC60" s="23">
        <f>INDEX('HCM2000'!$L$68:$AF$83,MATCH(Tabela24[[#This Row],[faixa (m)]],'HCM2000'!$K$68:$K$83),MATCH(Tabela24[[#This Row],[acost (m)]],'HCM2000'!$L$67:$AF$67))</f>
        <v>0.7</v>
      </c>
      <c r="BD60" s="23">
        <f>MIN(16,(2/3)*Tabela24[[#This Row],[acessos/km]])</f>
        <v>1.3333333333333333</v>
      </c>
      <c r="BE60" s="22">
        <f>Tabela24[BFFS]-Tabela24[fLS]-Tabela24[fA]</f>
        <v>85.966666666666669</v>
      </c>
      <c r="BF60" s="23" t="e">
        <v>#REF!</v>
      </c>
      <c r="BG60" s="463">
        <f>IFERROR(Tabela24[[#This Row],[vp1]],0)</f>
        <v>978.50909090909079</v>
      </c>
      <c r="BH60" s="463">
        <f>IFERROR(Tabela24[[#This Row],[% zonas s/ultra]],0)</f>
        <v>0.32</v>
      </c>
      <c r="BI60" s="23" t="str">
        <f t="shared" si="5"/>
        <v>FNP</v>
      </c>
      <c r="BJ60" s="23">
        <v>2.2758763636363613</v>
      </c>
      <c r="BK60" s="43">
        <f>Tabela24[FFS]-0.0125*MAX(Tabela24[[#This Row],[vp1]],Tabela24[[#This Row],[vp1'']])-Tabela24[fnp'']</f>
        <v>71.459426666666673</v>
      </c>
      <c r="BL60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60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60" s="23">
        <v>1</v>
      </c>
      <c r="BO60" s="23">
        <f>1/(1+Tabela24[[#This Row],[Pt]]*(Tabela24[[#This Row],[Et time]]-1)+Tabela24[[#This Row],[PRv]]*(Tabela24[[#This Row],[Er time]]-1))</f>
        <v>0.93632958801498123</v>
      </c>
      <c r="BP60" s="23">
        <f>Tabela24[veic/h]/Tabela24[PHF]</f>
        <v>861.36363636363637</v>
      </c>
      <c r="BQ60" s="23">
        <v>919.93636363636358</v>
      </c>
      <c r="BR60" s="438">
        <f>Tabela24[veic/h]/(Tabela24[PHF]*Tabela24[fg time]*Tabela24[fhv follow])</f>
        <v>919.93636363636358</v>
      </c>
      <c r="BS60" s="438" t="str">
        <f>IF(AND(Tabela24[[#This Row],[vp2]]*Tabela24[[#This Row],[distrib. direc.]]&lt;1700,Tabela24[[#This Row],[vp2]]&lt;3200),"OK!","FAIL")</f>
        <v>OK!</v>
      </c>
      <c r="BT60" s="23">
        <f>100*(1-EXP(-0.000879*MAX(Tabela24[[#This Row],[vp2]],Tabela24[[#This Row],[vp2'']])))</f>
        <v>55.452941609104187</v>
      </c>
      <c r="BU60" s="304" t="e">
        <v>#REF!</v>
      </c>
      <c r="BV60" s="304">
        <f>IF(TYPE(Tabela24[distrib. direc.])&lt;&gt;1,0,Tabela24[distrib. direc.])</f>
        <v>0.55000000000000004</v>
      </c>
      <c r="BW60" s="304">
        <f>IF(TYPE(Tabela24[vp2])&lt;&gt;1,0,Tabela24[vp2])</f>
        <v>919.93636363636358</v>
      </c>
      <c r="BX60" s="304">
        <f>IF(TYPE(Tabela24[% zonas s/ultra])&lt;&gt;1,0,Tabela24[% zonas s/ultra])</f>
        <v>0.32</v>
      </c>
      <c r="BY60" s="304" t="str">
        <f t="shared" si="6"/>
        <v>FDNP</v>
      </c>
      <c r="BZ60" s="31">
        <v>8.3324709090905849</v>
      </c>
      <c r="CA60" s="305">
        <f>Tabela24[BPTSF]+Tabela24[fd/np'']</f>
        <v>63.785412518194775</v>
      </c>
      <c r="CB60" s="424">
        <f>Tabela24[vp1]/3200</f>
        <v>0.30578409090909087</v>
      </c>
      <c r="CC60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60" s="332">
        <f>VLOOKUP(Tabela24[faixa (m)],'HCM2000'!$B$541:$C$547,2,TRUE)</f>
        <v>1</v>
      </c>
      <c r="CE60" s="332">
        <f>IF(Tabela24[acost (m)]&gt;0,1.8,1.2)</f>
        <v>1.8</v>
      </c>
      <c r="CF60" s="332">
        <f>IF(Tabela24[Separador]=$CB$6,$CD$6,IF(Tabela24[Separador]=$CB$7,$CD$7,$CD$8))</f>
        <v>0</v>
      </c>
      <c r="CG60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60" s="332">
        <f>IF(Tabela24[Separador]="Sinalização horizontal",'HCM2000'!$C$590,'HCM2000'!$C$591)</f>
        <v>2.6</v>
      </c>
      <c r="CI60" s="332">
        <f>MIN((2/3)*Tabela24[[#This Row],[acessos/km]],16)</f>
        <v>1.3333333333333333</v>
      </c>
      <c r="CJ60" s="332">
        <f>IF(Tabela24[fLC]="Pista simples","-",Tabela24[BFFS]-Tabela24[fLW]-Tabela24[fLC]-Tabela24[fM]-Tabela24[fA2])</f>
        <v>80.966666666666683</v>
      </c>
      <c r="CK60" s="332">
        <f>IF(Tabela24[plano/ondulado]="Montanhoso",Tabela24[Para PT&lt;],VLOOKUP(Tabela24[plano/ondulado],'HCM2000'!$B$606:$C$608,2,FALSE))</f>
        <v>1.5</v>
      </c>
      <c r="CL60" s="332">
        <f>IF(Tabela24[[#This Row],[plano/ondulado]]="Montanhoso",Tabela24[[#This Row],[Para PT&lt;]],VLOOKUP(Tabela24[[#This Row],[plano/ondulado]],'HCM2000'!$E$606:$F$608,2,FALSE))</f>
        <v>1.2</v>
      </c>
      <c r="CM60" s="433">
        <f>1/(1+(Tabela24[Pt]*(Tabela24[Et2]-1))+(Tabela24[PRv]*(Tabela24[Er2]-1)))</f>
        <v>0.74294205052005935</v>
      </c>
      <c r="CN60" s="329">
        <f>K60+IF(Tabela24[[#This Row],[Num. Faixas Marg.]]="-",0,Tabela24[[#This Row],[Num. Faixas Marg.]])</f>
        <v>4.5999999999999996</v>
      </c>
      <c r="CO60" s="331">
        <f>Tabela24[[#This Row],[Vzão]]/(Tabela24[[#This Row],[PHF]]*Tabela24[[#This Row],[N]]*Tabela24[[#This Row],[fHV]])</f>
        <v>138.62336956521742</v>
      </c>
      <c r="CP60" s="332">
        <f>IF(Tabela24[fLC]="Pista simples","-",Tabela24[vp3]/Tabela24[S])</f>
        <v>1.712104193889058</v>
      </c>
      <c r="CQ60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60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60" s="308" t="str">
        <f>IF(Tabela24[LOS_vp3]="F","F",VLOOKUP(Tabela24[LOS_vp3],'HCM2000'!$R$655:$S$659,2))</f>
        <v>F</v>
      </c>
      <c r="CT60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60" s="425" t="str">
        <f>IF(Tabela24[[#This Row],[LOS_vp3]]="F","F",IF(Tabela24[[#This Row],[fLC]]="Pista simples","-",VLOOKUP(Tabela24[[#This Row],[LOS_D3]],'HCM2000'!$R$655:$S$659,2)))</f>
        <v>F</v>
      </c>
      <c r="CV60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60" s="381"/>
      <c r="CX60" s="381"/>
      <c r="CY60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60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60" s="22">
        <f>ABS(INDEX('HCM2000'!$E$611:$M$611,1,MATCH(Tabela24[Pt]*100,'HCM2000'!$E$611:$M$611,1))-Tabela24[Pt]*100)</f>
        <v>43</v>
      </c>
      <c r="DB60" s="22" t="e">
        <f>INDEX('HCM2000'!$E$611:$M$611,1,MATCH(Tabela24[[#This Row],[Pt]]*100,'HCM2000'!$E$611:$M$611,1)+1)-Tabela24[[#This Row],[Pt]]*100</f>
        <v>#REF!</v>
      </c>
      <c r="DC60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60" s="440"/>
      <c r="DE60" s="423" t="e">
        <f>1/(1+(Tabela24[Pt]*(Tabela24[ETsu]-1))+(Tabela24[PRv]*(Tabela24[ERsu]-1)))</f>
        <v>#N/A</v>
      </c>
      <c r="DF60" s="438" t="e">
        <f>Tabela24[Vzão]/(Tabela24[PHF]*Tabela24[N]*Tabela24[fHVsu])</f>
        <v>#N/A</v>
      </c>
      <c r="DG60" s="332" t="e">
        <f>IF(Tabela24[fLC]="Pista simples","-",Tabela24[vpsu]/Tabela24[S])</f>
        <v>#N/A</v>
      </c>
      <c r="DH60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60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60" s="425" t="str">
        <f>IF(Tabela24[[#This Row],[LOS_vp3]]="F","F",VLOOKUP(Tabela24[[#This Row],[LOS_vp3]],'HCM2000'!$R$655:$S$659,2))</f>
        <v>F</v>
      </c>
      <c r="DK60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60" s="425" t="str">
        <f>IF(Tabela24[[#This Row],[LOS_vp3]]="F","F",IF(Tabela24[[#This Row],[fLC]]="Pista simples","-",VLOOKUP(Tabela24[[#This Row],[LOS_D3]],'HCM2000'!$R$655:$S$659,2)))</f>
        <v>F</v>
      </c>
      <c r="DM60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60" s="416"/>
      <c r="DO60" s="22">
        <f>Tabela24[[#This Row],[ATS]]</f>
        <v>71.459426666666673</v>
      </c>
      <c r="DP60" s="416">
        <v>71.5</v>
      </c>
      <c r="DQ60" s="22">
        <f t="shared" si="11"/>
        <v>4.0573333333327355E-2</v>
      </c>
      <c r="DR60" s="22">
        <f>Tabela24[[#This Row],[PTSF]]</f>
        <v>63.785412518194775</v>
      </c>
      <c r="DS60" s="416">
        <v>64.5</v>
      </c>
      <c r="DT60" s="22">
        <f t="shared" si="12"/>
        <v>0.71458748180522491</v>
      </c>
      <c r="DU60" s="22"/>
      <c r="DV60" s="22">
        <v>71.459426666666673</v>
      </c>
      <c r="DW60" s="416">
        <v>71.5</v>
      </c>
      <c r="DX60" s="22">
        <v>4.0573333333327355E-2</v>
      </c>
      <c r="DY60" s="22">
        <v>70.254788897742841</v>
      </c>
      <c r="DZ60" s="416">
        <v>64.5</v>
      </c>
      <c r="EA60" s="22">
        <v>0.71458748180522491</v>
      </c>
      <c r="EB60" s="416"/>
      <c r="EC60" s="416"/>
      <c r="ED60" s="416"/>
      <c r="EE60" s="416"/>
      <c r="EF60" s="416"/>
      <c r="EG60" s="416"/>
      <c r="EH60" s="416"/>
      <c r="EI60" s="416"/>
      <c r="EJ60" s="416"/>
      <c r="EK60" s="416"/>
      <c r="EL60" s="416"/>
      <c r="EM60" s="416"/>
      <c r="EN60" s="416"/>
      <c r="EO60" s="416"/>
      <c r="EP60" s="416"/>
      <c r="EQ60" s="416"/>
      <c r="ER60" s="416"/>
      <c r="ES60" s="416"/>
      <c r="ET60" s="416"/>
      <c r="EU60" s="416"/>
      <c r="EV60" s="416"/>
      <c r="EW60" s="416"/>
      <c r="EX60" s="416"/>
      <c r="EY60" s="416"/>
      <c r="EZ60" s="416"/>
      <c r="FA60" s="416"/>
      <c r="FB60" s="416"/>
      <c r="FC60" s="416"/>
      <c r="FD60" s="416"/>
      <c r="FE60" s="416"/>
      <c r="FF60" s="416"/>
      <c r="FG60" s="416"/>
      <c r="FH60" s="416"/>
      <c r="FI60" s="416"/>
      <c r="FJ60" s="416"/>
      <c r="FK60" s="416"/>
      <c r="FL60" s="416"/>
      <c r="FM60" s="416"/>
      <c r="FR60" s="3"/>
      <c r="FS60" s="3"/>
      <c r="FV60" s="58"/>
      <c r="FW60" s="58"/>
    </row>
    <row r="61" spans="2:179">
      <c r="B61" s="386">
        <v>5</v>
      </c>
      <c r="C61" s="394"/>
      <c r="D61" s="395"/>
      <c r="E61" s="385">
        <v>24201</v>
      </c>
      <c r="F61" s="385">
        <v>24501</v>
      </c>
      <c r="G61" s="390">
        <v>300</v>
      </c>
      <c r="H61" s="386" t="s">
        <v>263</v>
      </c>
      <c r="I61" s="386" t="s">
        <v>379</v>
      </c>
      <c r="J61" s="390">
        <v>2</v>
      </c>
      <c r="K61" s="386">
        <v>4.5999999999999996</v>
      </c>
      <c r="L61" s="386" t="s">
        <v>143</v>
      </c>
      <c r="M61" s="386">
        <v>4.2</v>
      </c>
      <c r="N61" s="386">
        <v>1</v>
      </c>
      <c r="O61" s="396">
        <v>1</v>
      </c>
      <c r="P61" s="386" t="s">
        <v>366</v>
      </c>
      <c r="Q61" s="397" t="s">
        <v>144</v>
      </c>
      <c r="R61" s="419" t="s">
        <v>73</v>
      </c>
      <c r="S61" s="310">
        <v>51</v>
      </c>
      <c r="T61" s="420"/>
      <c r="U61" s="279">
        <v>24</v>
      </c>
      <c r="V61" s="323">
        <v>6473.9966140621727</v>
      </c>
      <c r="W61" s="323">
        <v>2824.5698392986178</v>
      </c>
      <c r="X61" s="420"/>
      <c r="Y61" s="398">
        <f t="shared" si="15"/>
        <v>1</v>
      </c>
      <c r="Z61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61" s="182" t="s">
        <v>644</v>
      </c>
      <c r="AB61" s="391" t="s">
        <v>654</v>
      </c>
      <c r="AC61" s="31">
        <v>3.5</v>
      </c>
      <c r="AD61" s="31">
        <v>2.5</v>
      </c>
      <c r="AE61" s="421"/>
      <c r="AF61" s="421"/>
      <c r="AG61" s="421">
        <v>0</v>
      </c>
      <c r="AH61" s="441">
        <v>0.56000000000000005</v>
      </c>
      <c r="AI61" s="25">
        <v>0.03</v>
      </c>
      <c r="AJ61" s="435">
        <v>8.7999999999999995E-2</v>
      </c>
      <c r="AK61" s="330">
        <v>781</v>
      </c>
      <c r="AL61" s="263">
        <v>0.55000000000000004</v>
      </c>
      <c r="AM61" s="414">
        <v>429.55</v>
      </c>
      <c r="AN61" s="417">
        <v>2</v>
      </c>
      <c r="AO61" s="467" t="s">
        <v>73</v>
      </c>
      <c r="AP61" s="439">
        <v>88</v>
      </c>
      <c r="AQ61" s="442">
        <v>0.37</v>
      </c>
      <c r="AR61" s="422">
        <v>0.88</v>
      </c>
      <c r="AS61" s="316"/>
      <c r="AT61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61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61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61" s="23">
        <f>1/(1+(Tabela24[[#This Row],[Pt]])*(Tabela24[[#This Row],[Et]]-1)+(Tabela24[[#This Row],[PRv]])*(Tabela24[[#This Row],[Er]]-1))</f>
        <v>0.89928057553956831</v>
      </c>
      <c r="AX61" s="423">
        <f>Tabela24[veic/h]/Tabela24[PHF]</f>
        <v>887.5</v>
      </c>
      <c r="AY61" s="423">
        <v>986.90000000000009</v>
      </c>
      <c r="AZ61" s="21">
        <f>Tabela24[veic/h]/(Tabela24[PHF]*Tabela24[fg ats]*Tabela24[fhv ats])</f>
        <v>986.90000000000009</v>
      </c>
      <c r="BA61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61" s="322" t="str">
        <f>IF(AND(Tabela24[[#This Row],[vp1]]*Tabela24[[#This Row],[distrib. direc.]]&lt;1700,Tabela24[[#This Row],[vp1]]&lt;3200),"OK!","FAIL")</f>
        <v>OK!</v>
      </c>
      <c r="BC61" s="23">
        <f>INDEX('HCM2000'!$L$68:$AF$83,MATCH(Tabela24[[#This Row],[faixa (m)]],'HCM2000'!$K$68:$K$83),MATCH(Tabela24[[#This Row],[acost (m)]],'HCM2000'!$L$67:$AF$67))</f>
        <v>0.7</v>
      </c>
      <c r="BD61" s="23">
        <f>MIN(16,(2/3)*Tabela24[[#This Row],[acessos/km]])</f>
        <v>1.3333333333333333</v>
      </c>
      <c r="BE61" s="22">
        <f>Tabela24[BFFS]-Tabela24[fLS]-Tabela24[fA]</f>
        <v>85.966666666666669</v>
      </c>
      <c r="BF61" s="23" t="e">
        <v>#REF!</v>
      </c>
      <c r="BG61" s="463">
        <f>IFERROR(Tabela24[[#This Row],[vp1]],0)</f>
        <v>986.90000000000009</v>
      </c>
      <c r="BH61" s="463">
        <f>IFERROR(Tabela24[[#This Row],[% zonas s/ultra]],0)</f>
        <v>0.37</v>
      </c>
      <c r="BI61" s="23" t="str">
        <f t="shared" si="5"/>
        <v>FNP</v>
      </c>
      <c r="BJ61" s="23">
        <v>2.4323349999999966</v>
      </c>
      <c r="BK61" s="43">
        <f>Tabela24[FFS]-0.0125*MAX(Tabela24[[#This Row],[vp1]],Tabela24[[#This Row],[vp1'']])-Tabela24[fnp'']</f>
        <v>71.198081666666667</v>
      </c>
      <c r="BL61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61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61" s="23">
        <v>1</v>
      </c>
      <c r="BO61" s="23">
        <f>1/(1+Tabela24[[#This Row],[Pt]]*(Tabela24[[#This Row],[Et time]]-1)+Tabela24[[#This Row],[PRv]]*(Tabela24[[#This Row],[Er time]]-1))</f>
        <v>0.94696969696969691</v>
      </c>
      <c r="BP61" s="23">
        <f>Tabela24[veic/h]/Tabela24[PHF]</f>
        <v>887.5</v>
      </c>
      <c r="BQ61" s="23">
        <v>937.2</v>
      </c>
      <c r="BR61" s="438">
        <f>Tabela24[veic/h]/(Tabela24[PHF]*Tabela24[fg time]*Tabela24[fhv follow])</f>
        <v>937.2</v>
      </c>
      <c r="BS61" s="438" t="str">
        <f>IF(AND(Tabela24[[#This Row],[vp2]]*Tabela24[[#This Row],[distrib. direc.]]&lt;1700,Tabela24[[#This Row],[vp2]]&lt;3200),"OK!","FAIL")</f>
        <v>OK!</v>
      </c>
      <c r="BT61" s="23">
        <f>100*(1-EXP(-0.000879*MAX(Tabela24[[#This Row],[vp2]],Tabela24[[#This Row],[vp2'']])))</f>
        <v>56.123828337490465</v>
      </c>
      <c r="BU61" s="304" t="e">
        <v>#REF!</v>
      </c>
      <c r="BV61" s="304">
        <f>IF(TYPE(Tabela24[distrib. direc.])&lt;&gt;1,0,Tabela24[distrib. direc.])</f>
        <v>0.55000000000000004</v>
      </c>
      <c r="BW61" s="304">
        <f>IF(TYPE(Tabela24[vp2])&lt;&gt;1,0,Tabela24[vp2])</f>
        <v>937.2</v>
      </c>
      <c r="BX61" s="304">
        <f>IF(TYPE(Tabela24[% zonas s/ultra])&lt;&gt;1,0,Tabela24[% zonas s/ultra])</f>
        <v>0.37</v>
      </c>
      <c r="BY61" s="304" t="str">
        <f t="shared" si="6"/>
        <v>FDNP</v>
      </c>
      <c r="BZ61" s="31">
        <v>8.8282699999996836</v>
      </c>
      <c r="CA61" s="305">
        <f>Tabela24[BPTSF]+Tabela24[fd/np'']</f>
        <v>64.952098337490156</v>
      </c>
      <c r="CB61" s="424">
        <f>Tabela24[vp1]/3200</f>
        <v>0.30840625000000005</v>
      </c>
      <c r="CC61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61" s="332">
        <f>VLOOKUP(Tabela24[faixa (m)],'HCM2000'!$B$541:$C$547,2,TRUE)</f>
        <v>1</v>
      </c>
      <c r="CE61" s="332">
        <f>IF(Tabela24[acost (m)]&gt;0,1.8,1.2)</f>
        <v>1.8</v>
      </c>
      <c r="CF61" s="332">
        <f>IF(Tabela24[Separador]=$CB$6,$CD$6,IF(Tabela24[Separador]=$CB$7,$CD$7,$CD$8))</f>
        <v>0</v>
      </c>
      <c r="CG61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61" s="332">
        <f>IF(Tabela24[Separador]="Sinalização horizontal",'HCM2000'!$C$590,'HCM2000'!$C$591)</f>
        <v>2.6</v>
      </c>
      <c r="CI61" s="332">
        <f>MIN((2/3)*Tabela24[[#This Row],[acessos/km]],16)</f>
        <v>1.3333333333333333</v>
      </c>
      <c r="CJ61" s="332">
        <f>IF(Tabela24[fLC]="Pista simples","-",Tabela24[BFFS]-Tabela24[fLW]-Tabela24[fLC]-Tabela24[fM]-Tabela24[fA2])</f>
        <v>80.966666666666683</v>
      </c>
      <c r="CK61" s="332">
        <f>IF(Tabela24[plano/ondulado]="Montanhoso",Tabela24[Para PT&lt;],VLOOKUP(Tabela24[plano/ondulado],'HCM2000'!$B$606:$C$608,2,FALSE))</f>
        <v>1.5</v>
      </c>
      <c r="CL61" s="332">
        <f>IF(Tabela24[[#This Row],[plano/ondulado]]="Montanhoso",Tabela24[[#This Row],[Para PT&lt;]],VLOOKUP(Tabela24[[#This Row],[plano/ondulado]],'HCM2000'!$E$606:$F$608,2,FALSE))</f>
        <v>1.2</v>
      </c>
      <c r="CM61" s="433">
        <f>1/(1+(Tabela24[Pt]*(Tabela24[Et2]-1))+(Tabela24[PRv]*(Tabela24[Er2]-1)))</f>
        <v>0.77760497667185069</v>
      </c>
      <c r="CN61" s="329">
        <f>K61+IF(Tabela24[[#This Row],[Num. Faixas Marg.]]="-",0,Tabela24[[#This Row],[Num. Faixas Marg.]])</f>
        <v>4.5999999999999996</v>
      </c>
      <c r="CO61" s="331">
        <f>Tabela24[[#This Row],[Vzão]]/(Tabela24[[#This Row],[PHF]]*Tabela24[[#This Row],[N]]*Tabela24[[#This Row],[fHV]])</f>
        <v>136.46277173913043</v>
      </c>
      <c r="CP61" s="332">
        <f>IF(Tabela24[fLC]="Pista simples","-",Tabela24[vp3]/Tabela24[S])</f>
        <v>1.685419165160112</v>
      </c>
      <c r="CQ61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61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61" s="308" t="str">
        <f>IF(Tabela24[LOS_vp3]="F","F",VLOOKUP(Tabela24[LOS_vp3],'HCM2000'!$R$655:$S$659,2))</f>
        <v>F</v>
      </c>
      <c r="CT61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61" s="425" t="str">
        <f>IF(Tabela24[[#This Row],[LOS_vp3]]="F","F",IF(Tabela24[[#This Row],[fLC]]="Pista simples","-",VLOOKUP(Tabela24[[#This Row],[LOS_D3]],'HCM2000'!$R$655:$S$659,2)))</f>
        <v>F</v>
      </c>
      <c r="CV61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61" s="381"/>
      <c r="CX61" s="381"/>
      <c r="CY61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61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61" s="22">
        <f>ABS(INDEX('HCM2000'!$E$611:$M$611,1,MATCH(Tabela24[Pt]*100,'HCM2000'!$E$611:$M$611,1))-Tabela24[Pt]*100)</f>
        <v>31.000000000000007</v>
      </c>
      <c r="DB61" s="22" t="e">
        <f>INDEX('HCM2000'!$E$611:$M$611,1,MATCH(Tabela24[[#This Row],[Pt]]*100,'HCM2000'!$E$611:$M$611,1)+1)-Tabela24[[#This Row],[Pt]]*100</f>
        <v>#REF!</v>
      </c>
      <c r="DC61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61" s="440"/>
      <c r="DE61" s="423" t="e">
        <f>1/(1+(Tabela24[Pt]*(Tabela24[ETsu]-1))+(Tabela24[PRv]*(Tabela24[ERsu]-1)))</f>
        <v>#N/A</v>
      </c>
      <c r="DF61" s="438" t="e">
        <f>Tabela24[Vzão]/(Tabela24[PHF]*Tabela24[N]*Tabela24[fHVsu])</f>
        <v>#N/A</v>
      </c>
      <c r="DG61" s="332" t="e">
        <f>IF(Tabela24[fLC]="Pista simples","-",Tabela24[vpsu]/Tabela24[S])</f>
        <v>#N/A</v>
      </c>
      <c r="DH61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61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61" s="425" t="str">
        <f>IF(Tabela24[[#This Row],[LOS_vp3]]="F","F",VLOOKUP(Tabela24[[#This Row],[LOS_vp3]],'HCM2000'!$R$655:$S$659,2))</f>
        <v>F</v>
      </c>
      <c r="DK61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61" s="425" t="str">
        <f>IF(Tabela24[[#This Row],[LOS_vp3]]="F","F",IF(Tabela24[[#This Row],[fLC]]="Pista simples","-",VLOOKUP(Tabela24[[#This Row],[LOS_D3]],'HCM2000'!$R$655:$S$659,2)))</f>
        <v>F</v>
      </c>
      <c r="DM61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61" s="416"/>
      <c r="DO61" s="22">
        <f>Tabela24[[#This Row],[ATS]]</f>
        <v>71.198081666666667</v>
      </c>
      <c r="DP61" s="416">
        <v>71.2</v>
      </c>
      <c r="DQ61" s="22">
        <f t="shared" si="11"/>
        <v>1.9183333333359087E-3</v>
      </c>
      <c r="DR61" s="22">
        <f>Tabela24[[#This Row],[PTSF]]</f>
        <v>64.952098337490156</v>
      </c>
      <c r="DS61" s="416">
        <v>65.7</v>
      </c>
      <c r="DT61" s="22">
        <f t="shared" si="12"/>
        <v>0.74790166250984669</v>
      </c>
      <c r="DU61" s="22"/>
      <c r="DV61" s="22">
        <v>71.198081666666667</v>
      </c>
      <c r="DW61" s="416">
        <v>71.2</v>
      </c>
      <c r="DX61" s="22">
        <v>1.9183333333359087E-3</v>
      </c>
      <c r="DY61" s="22">
        <v>71.952421213867211</v>
      </c>
      <c r="DZ61" s="416">
        <v>65.7</v>
      </c>
      <c r="EA61" s="22">
        <v>0.74790166250984669</v>
      </c>
      <c r="EB61" s="416"/>
      <c r="EC61" s="416"/>
      <c r="ED61" s="416"/>
      <c r="EE61" s="416"/>
      <c r="EF61" s="416"/>
      <c r="EG61" s="416"/>
      <c r="EH61" s="416"/>
      <c r="EI61" s="416"/>
      <c r="EJ61" s="416"/>
      <c r="EK61" s="416"/>
      <c r="EL61" s="416"/>
      <c r="EM61" s="416"/>
      <c r="EN61" s="416"/>
      <c r="EO61" s="416"/>
      <c r="EP61" s="416"/>
      <c r="EQ61" s="416"/>
      <c r="ER61" s="416"/>
      <c r="ES61" s="416"/>
      <c r="ET61" s="416"/>
      <c r="EU61" s="416"/>
      <c r="EV61" s="416"/>
      <c r="EW61" s="416"/>
      <c r="EX61" s="416"/>
      <c r="EY61" s="416"/>
      <c r="EZ61" s="416"/>
      <c r="FA61" s="416"/>
      <c r="FB61" s="416"/>
      <c r="FC61" s="416"/>
      <c r="FD61" s="416"/>
      <c r="FE61" s="416"/>
      <c r="FF61" s="416"/>
      <c r="FG61" s="416"/>
      <c r="FH61" s="416"/>
      <c r="FI61" s="416"/>
      <c r="FJ61" s="416"/>
      <c r="FK61" s="416"/>
      <c r="FL61" s="416"/>
      <c r="FM61" s="416"/>
      <c r="FR61" s="3"/>
      <c r="FS61" s="3"/>
      <c r="FV61" s="58"/>
      <c r="FW61" s="58"/>
    </row>
    <row r="62" spans="2:179">
      <c r="B62" s="386">
        <v>6</v>
      </c>
      <c r="C62" s="394"/>
      <c r="D62" s="395"/>
      <c r="E62" s="385">
        <v>24201</v>
      </c>
      <c r="F62" s="385">
        <v>24501</v>
      </c>
      <c r="G62" s="390">
        <v>300</v>
      </c>
      <c r="H62" s="386" t="s">
        <v>263</v>
      </c>
      <c r="I62" s="386" t="s">
        <v>379</v>
      </c>
      <c r="J62" s="390">
        <v>2</v>
      </c>
      <c r="K62" s="386">
        <v>4.5999999999999996</v>
      </c>
      <c r="L62" s="386" t="s">
        <v>143</v>
      </c>
      <c r="M62" s="386">
        <v>4.2</v>
      </c>
      <c r="N62" s="386">
        <v>1</v>
      </c>
      <c r="O62" s="396">
        <v>1</v>
      </c>
      <c r="P62" s="386" t="s">
        <v>366</v>
      </c>
      <c r="Q62" s="397" t="s">
        <v>144</v>
      </c>
      <c r="R62" s="419" t="s">
        <v>73</v>
      </c>
      <c r="S62" s="310">
        <v>52</v>
      </c>
      <c r="T62" s="420"/>
      <c r="U62" s="279">
        <v>24</v>
      </c>
      <c r="V62" s="323">
        <v>6473.9966140621727</v>
      </c>
      <c r="W62" s="323">
        <v>2824.5698392986178</v>
      </c>
      <c r="X62" s="420"/>
      <c r="Y62" s="398">
        <f t="shared" si="15"/>
        <v>1</v>
      </c>
      <c r="Z62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62" s="182" t="s">
        <v>644</v>
      </c>
      <c r="AB62" s="391" t="s">
        <v>654</v>
      </c>
      <c r="AC62" s="31">
        <v>3.5</v>
      </c>
      <c r="AD62" s="31">
        <v>2.5</v>
      </c>
      <c r="AE62" s="421"/>
      <c r="AF62" s="421"/>
      <c r="AG62" s="421">
        <v>0</v>
      </c>
      <c r="AH62" s="441">
        <v>0.55000000000000004</v>
      </c>
      <c r="AI62" s="25">
        <v>0.03</v>
      </c>
      <c r="AJ62" s="435">
        <v>8.7999999999999995E-2</v>
      </c>
      <c r="AK62" s="330">
        <v>728</v>
      </c>
      <c r="AL62" s="263">
        <v>0.55000000000000004</v>
      </c>
      <c r="AM62" s="414">
        <v>400.40000000000003</v>
      </c>
      <c r="AN62" s="417">
        <v>2</v>
      </c>
      <c r="AO62" s="467" t="s">
        <v>73</v>
      </c>
      <c r="AP62" s="439">
        <v>88</v>
      </c>
      <c r="AQ62" s="442">
        <v>0.52</v>
      </c>
      <c r="AR62" s="422">
        <v>0.88</v>
      </c>
      <c r="AS62" s="316"/>
      <c r="AT62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62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62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62" s="23">
        <f>1/(1+(Tabela24[[#This Row],[Pt]])*(Tabela24[[#This Row],[Et]]-1)+(Tabela24[[#This Row],[PRv]])*(Tabela24[[#This Row],[Er]]-1))</f>
        <v>0.90090090090090102</v>
      </c>
      <c r="AX62" s="423">
        <f>Tabela24[veic/h]/Tabela24[PHF]</f>
        <v>827.27272727272725</v>
      </c>
      <c r="AY62" s="423">
        <v>918.27272727272714</v>
      </c>
      <c r="AZ62" s="21">
        <f>Tabela24[veic/h]/(Tabela24[PHF]*Tabela24[fg ats]*Tabela24[fhv ats])</f>
        <v>918.27272727272714</v>
      </c>
      <c r="BA62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62" s="322" t="str">
        <f>IF(AND(Tabela24[[#This Row],[vp1]]*Tabela24[[#This Row],[distrib. direc.]]&lt;1700,Tabela24[[#This Row],[vp1]]&lt;3200),"OK!","FAIL")</f>
        <v>OK!</v>
      </c>
      <c r="BC62" s="23">
        <f>INDEX('HCM2000'!$L$68:$AF$83,MATCH(Tabela24[[#This Row],[faixa (m)]],'HCM2000'!$K$68:$K$83),MATCH(Tabela24[[#This Row],[acost (m)]],'HCM2000'!$L$67:$AF$67))</f>
        <v>0.7</v>
      </c>
      <c r="BD62" s="23">
        <f>MIN(16,(2/3)*Tabela24[[#This Row],[acessos/km]])</f>
        <v>1.3333333333333333</v>
      </c>
      <c r="BE62" s="22">
        <f>Tabela24[BFFS]-Tabela24[fLS]-Tabela24[fA]</f>
        <v>85.966666666666669</v>
      </c>
      <c r="BF62" s="23" t="e">
        <v>#REF!</v>
      </c>
      <c r="BG62" s="463">
        <f>IFERROR(Tabela24[[#This Row],[vp1]],0)</f>
        <v>918.27272727272714</v>
      </c>
      <c r="BH62" s="463">
        <f>IFERROR(Tabela24[[#This Row],[% zonas s/ultra]],0)</f>
        <v>0.52</v>
      </c>
      <c r="BI62" s="23" t="str">
        <f t="shared" si="5"/>
        <v>FNP</v>
      </c>
      <c r="BJ62" s="23">
        <v>3.1897000000000046</v>
      </c>
      <c r="BK62" s="43">
        <f>Tabela24[FFS]-0.0125*MAX(Tabela24[[#This Row],[vp1]],Tabela24[[#This Row],[vp1'']])-Tabela24[fnp'']</f>
        <v>71.298557575757584</v>
      </c>
      <c r="BL62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62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62" s="23">
        <v>1</v>
      </c>
      <c r="BO62" s="23">
        <f>1/(1+Tabela24[[#This Row],[Pt]]*(Tabela24[[#This Row],[Et time]]-1)+Tabela24[[#This Row],[PRv]]*(Tabela24[[#This Row],[Er time]]-1))</f>
        <v>0.94786729857819896</v>
      </c>
      <c r="BP62" s="23">
        <f>Tabela24[veic/h]/Tabela24[PHF]</f>
        <v>827.27272727272725</v>
      </c>
      <c r="BQ62" s="23">
        <v>872.77272727272737</v>
      </c>
      <c r="BR62" s="438">
        <f>Tabela24[veic/h]/(Tabela24[PHF]*Tabela24[fg time]*Tabela24[fhv follow])</f>
        <v>872.77272727272737</v>
      </c>
      <c r="BS62" s="438" t="str">
        <f>IF(AND(Tabela24[[#This Row],[vp2]]*Tabela24[[#This Row],[distrib. direc.]]&lt;1700,Tabela24[[#This Row],[vp2]]&lt;3200),"OK!","FAIL")</f>
        <v>OK!</v>
      </c>
      <c r="BT62" s="23">
        <f>100*(1-EXP(-0.000879*MAX(Tabela24[[#This Row],[vp2]],Tabela24[[#This Row],[vp2'']])))</f>
        <v>53.567346139341311</v>
      </c>
      <c r="BU62" s="304" t="e">
        <v>#REF!</v>
      </c>
      <c r="BV62" s="304">
        <f>IF(TYPE(Tabela24[distrib. direc.])&lt;&gt;1,0,Tabela24[distrib. direc.])</f>
        <v>0.55000000000000004</v>
      </c>
      <c r="BW62" s="304">
        <f>IF(TYPE(Tabela24[vp2])&lt;&gt;1,0,Tabela24[vp2])</f>
        <v>872.77272727272737</v>
      </c>
      <c r="BX62" s="304">
        <f>IF(TYPE(Tabela24[% zonas s/ultra])&lt;&gt;1,0,Tabela24[% zonas s/ultra])</f>
        <v>0.52</v>
      </c>
      <c r="BY62" s="304" t="str">
        <f t="shared" si="6"/>
        <v>FDNP</v>
      </c>
      <c r="BZ62" s="31">
        <v>11.250490909091672</v>
      </c>
      <c r="CA62" s="305">
        <f>Tabela24[BPTSF]+Tabela24[fd/np'']</f>
        <v>64.817837048432978</v>
      </c>
      <c r="CB62" s="424">
        <f>Tabela24[vp1]/3200</f>
        <v>0.28696022727272724</v>
      </c>
      <c r="CC62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62" s="332">
        <f>VLOOKUP(Tabela24[faixa (m)],'HCM2000'!$B$541:$C$547,2,TRUE)</f>
        <v>1</v>
      </c>
      <c r="CE62" s="332">
        <f>IF(Tabela24[acost (m)]&gt;0,1.8,1.2)</f>
        <v>1.8</v>
      </c>
      <c r="CF62" s="332">
        <f>IF(Tabela24[Separador]=$CB$6,$CD$6,IF(Tabela24[Separador]=$CB$7,$CD$7,$CD$8))</f>
        <v>0</v>
      </c>
      <c r="CG62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62" s="332">
        <f>IF(Tabela24[Separador]="Sinalização horizontal",'HCM2000'!$C$590,'HCM2000'!$C$591)</f>
        <v>2.6</v>
      </c>
      <c r="CI62" s="332">
        <f>MIN((2/3)*Tabela24[[#This Row],[acessos/km]],16)</f>
        <v>1.3333333333333333</v>
      </c>
      <c r="CJ62" s="332">
        <f>IF(Tabela24[fLC]="Pista simples","-",Tabela24[BFFS]-Tabela24[fLW]-Tabela24[fLC]-Tabela24[fM]-Tabela24[fA2])</f>
        <v>80.966666666666683</v>
      </c>
      <c r="CK62" s="332">
        <f>IF(Tabela24[plano/ondulado]="Montanhoso",Tabela24[Para PT&lt;],VLOOKUP(Tabela24[plano/ondulado],'HCM2000'!$B$606:$C$608,2,FALSE))</f>
        <v>1.5</v>
      </c>
      <c r="CL62" s="332">
        <f>IF(Tabela24[[#This Row],[plano/ondulado]]="Montanhoso",Tabela24[[#This Row],[Para PT&lt;]],VLOOKUP(Tabela24[[#This Row],[plano/ondulado]],'HCM2000'!$E$606:$F$608,2,FALSE))</f>
        <v>1.2</v>
      </c>
      <c r="CM62" s="433">
        <f>1/(1+(Tabela24[Pt]*(Tabela24[Et2]-1))+(Tabela24[PRv]*(Tabela24[Er2]-1)))</f>
        <v>0.78064012490242007</v>
      </c>
      <c r="CN62" s="329">
        <f>K62+IF(Tabela24[[#This Row],[Num. Faixas Marg.]]="-",0,Tabela24[[#This Row],[Num. Faixas Marg.]])</f>
        <v>4.5999999999999996</v>
      </c>
      <c r="CO62" s="331">
        <f>Tabela24[[#This Row],[Vzão]]/(Tabela24[[#This Row],[PHF]]*Tabela24[[#This Row],[N]]*Tabela24[[#This Row],[fHV]])</f>
        <v>126.70760869565217</v>
      </c>
      <c r="CP62" s="332">
        <f>IF(Tabela24[fLC]="Pista simples","-",Tabela24[vp3]/Tabela24[S])</f>
        <v>1.5649354717453949</v>
      </c>
      <c r="CQ62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62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62" s="308" t="str">
        <f>IF(Tabela24[LOS_vp3]="F","F",VLOOKUP(Tabela24[LOS_vp3],'HCM2000'!$R$655:$S$659,2))</f>
        <v>F</v>
      </c>
      <c r="CT62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62" s="425" t="str">
        <f>IF(Tabela24[[#This Row],[LOS_vp3]]="F","F",IF(Tabela24[[#This Row],[fLC]]="Pista simples","-",VLOOKUP(Tabela24[[#This Row],[LOS_D3]],'HCM2000'!$R$655:$S$659,2)))</f>
        <v>F</v>
      </c>
      <c r="CV62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62" s="381"/>
      <c r="CX62" s="381"/>
      <c r="CY62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62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62" s="22">
        <f>ABS(INDEX('HCM2000'!$E$611:$M$611,1,MATCH(Tabela24[Pt]*100,'HCM2000'!$E$611:$M$611,1))-Tabela24[Pt]*100)</f>
        <v>30.000000000000007</v>
      </c>
      <c r="DB62" s="22" t="e">
        <f>INDEX('HCM2000'!$E$611:$M$611,1,MATCH(Tabela24[[#This Row],[Pt]]*100,'HCM2000'!$E$611:$M$611,1)+1)-Tabela24[[#This Row],[Pt]]*100</f>
        <v>#REF!</v>
      </c>
      <c r="DC62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62" s="440"/>
      <c r="DE62" s="423" t="e">
        <f>1/(1+(Tabela24[Pt]*(Tabela24[ETsu]-1))+(Tabela24[PRv]*(Tabela24[ERsu]-1)))</f>
        <v>#N/A</v>
      </c>
      <c r="DF62" s="438" t="e">
        <f>Tabela24[Vzão]/(Tabela24[PHF]*Tabela24[N]*Tabela24[fHVsu])</f>
        <v>#N/A</v>
      </c>
      <c r="DG62" s="332" t="e">
        <f>IF(Tabela24[fLC]="Pista simples","-",Tabela24[vpsu]/Tabela24[S])</f>
        <v>#N/A</v>
      </c>
      <c r="DH62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62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62" s="425" t="str">
        <f>IF(Tabela24[[#This Row],[LOS_vp3]]="F","F",VLOOKUP(Tabela24[[#This Row],[LOS_vp3]],'HCM2000'!$R$655:$S$659,2))</f>
        <v>F</v>
      </c>
      <c r="DK62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62" s="425" t="str">
        <f>IF(Tabela24[[#This Row],[LOS_vp3]]="F","F",IF(Tabela24[[#This Row],[fLC]]="Pista simples","-",VLOOKUP(Tabela24[[#This Row],[LOS_D3]],'HCM2000'!$R$655:$S$659,2)))</f>
        <v>F</v>
      </c>
      <c r="DM62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62" s="416"/>
      <c r="DO62" s="22">
        <f>Tabela24[[#This Row],[ATS]]</f>
        <v>71.298557575757584</v>
      </c>
      <c r="DP62" s="416">
        <v>71.3</v>
      </c>
      <c r="DQ62" s="22">
        <f t="shared" si="11"/>
        <v>1.4424242424126987E-3</v>
      </c>
      <c r="DR62" s="22">
        <f>Tabela24[[#This Row],[PTSF]]</f>
        <v>64.817837048432978</v>
      </c>
      <c r="DS62" s="416">
        <v>65.5</v>
      </c>
      <c r="DT62" s="22">
        <f t="shared" si="12"/>
        <v>0.68216295156702245</v>
      </c>
      <c r="DU62" s="22"/>
      <c r="DV62" s="22">
        <v>71.298557575757584</v>
      </c>
      <c r="DW62" s="22">
        <v>71.3</v>
      </c>
      <c r="DX62" s="22">
        <v>1.4424242424126987E-3</v>
      </c>
      <c r="DY62" s="22">
        <v>72.227043639644222</v>
      </c>
      <c r="DZ62" s="22">
        <v>65.5</v>
      </c>
      <c r="EA62" s="22">
        <v>0.68216295156702245</v>
      </c>
      <c r="EB62" s="416"/>
      <c r="EC62" s="416"/>
      <c r="ED62" s="416"/>
      <c r="EE62" s="416"/>
      <c r="EF62" s="416"/>
      <c r="EG62" s="416"/>
      <c r="EH62" s="416"/>
      <c r="EI62" s="416"/>
      <c r="EJ62" s="416"/>
      <c r="EK62" s="416"/>
      <c r="EL62" s="416"/>
      <c r="EM62" s="416"/>
      <c r="EN62" s="416"/>
      <c r="EO62" s="416"/>
      <c r="EP62" s="416"/>
      <c r="EQ62" s="416"/>
      <c r="ER62" s="416"/>
      <c r="ES62" s="416"/>
      <c r="ET62" s="416"/>
      <c r="EU62" s="416"/>
      <c r="EV62" s="416"/>
      <c r="EW62" s="416"/>
      <c r="EX62" s="416"/>
      <c r="EY62" s="416"/>
      <c r="EZ62" s="416"/>
      <c r="FA62" s="416"/>
      <c r="FB62" s="416"/>
      <c r="FC62" s="416"/>
      <c r="FD62" s="416"/>
      <c r="FE62" s="416"/>
      <c r="FF62" s="416"/>
      <c r="FG62" s="416"/>
      <c r="FH62" s="416"/>
      <c r="FI62" s="416"/>
      <c r="FJ62" s="416"/>
      <c r="FK62" s="416"/>
      <c r="FL62" s="416"/>
      <c r="FM62" s="416"/>
      <c r="FR62" s="3"/>
      <c r="FS62" s="3"/>
      <c r="FV62" s="58"/>
      <c r="FW62" s="58"/>
    </row>
    <row r="63" spans="2:179">
      <c r="B63" s="386">
        <v>7</v>
      </c>
      <c r="C63" s="394"/>
      <c r="D63" s="395"/>
      <c r="E63" s="385">
        <v>24201</v>
      </c>
      <c r="F63" s="385">
        <v>24501</v>
      </c>
      <c r="G63" s="390">
        <v>300</v>
      </c>
      <c r="H63" s="386" t="s">
        <v>263</v>
      </c>
      <c r="I63" s="386" t="s">
        <v>379</v>
      </c>
      <c r="J63" s="390">
        <v>2</v>
      </c>
      <c r="K63" s="386">
        <v>4.5999999999999996</v>
      </c>
      <c r="L63" s="386" t="s">
        <v>143</v>
      </c>
      <c r="M63" s="386">
        <v>4.2</v>
      </c>
      <c r="N63" s="386">
        <v>1</v>
      </c>
      <c r="O63" s="396">
        <v>1</v>
      </c>
      <c r="P63" s="386" t="s">
        <v>366</v>
      </c>
      <c r="Q63" s="397" t="s">
        <v>144</v>
      </c>
      <c r="R63" s="419" t="s">
        <v>73</v>
      </c>
      <c r="S63" s="310">
        <v>53</v>
      </c>
      <c r="T63" s="420"/>
      <c r="U63" s="279">
        <v>24</v>
      </c>
      <c r="V63" s="323">
        <v>6473.9966140621727</v>
      </c>
      <c r="W63" s="323">
        <v>2824.5698392986178</v>
      </c>
      <c r="X63" s="420"/>
      <c r="Y63" s="398">
        <f t="shared" si="15"/>
        <v>1</v>
      </c>
      <c r="Z63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63" s="182" t="s">
        <v>644</v>
      </c>
      <c r="AB63" s="391" t="s">
        <v>654</v>
      </c>
      <c r="AC63" s="31">
        <v>3.5</v>
      </c>
      <c r="AD63" s="31">
        <v>2.5</v>
      </c>
      <c r="AE63" s="421"/>
      <c r="AF63" s="421"/>
      <c r="AG63" s="421">
        <v>0</v>
      </c>
      <c r="AH63" s="441">
        <v>0.53</v>
      </c>
      <c r="AI63" s="25">
        <v>0.03</v>
      </c>
      <c r="AJ63" s="435">
        <v>8.7999999999999995E-2</v>
      </c>
      <c r="AK63" s="330">
        <v>783</v>
      </c>
      <c r="AL63" s="263">
        <v>0.55000000000000004</v>
      </c>
      <c r="AM63" s="414">
        <v>430.65000000000003</v>
      </c>
      <c r="AN63" s="417">
        <v>1</v>
      </c>
      <c r="AO63" s="467" t="s">
        <v>73</v>
      </c>
      <c r="AP63" s="439">
        <v>88</v>
      </c>
      <c r="AQ63" s="442">
        <v>0.34</v>
      </c>
      <c r="AR63" s="422">
        <v>0.88</v>
      </c>
      <c r="AS63" s="316"/>
      <c r="AT63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63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63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63" s="23">
        <f>1/(1+(Tabela24[[#This Row],[Pt]])*(Tabela24[[#This Row],[Et]]-1)+(Tabela24[[#This Row],[PRv]])*(Tabela24[[#This Row],[Er]]-1))</f>
        <v>0.90415913200723341</v>
      </c>
      <c r="AX63" s="423">
        <f>Tabela24[veic/h]/Tabela24[PHF]</f>
        <v>889.77272727272725</v>
      </c>
      <c r="AY63" s="423">
        <v>984.08863636363628</v>
      </c>
      <c r="AZ63" s="21">
        <f>Tabela24[veic/h]/(Tabela24[PHF]*Tabela24[fg ats]*Tabela24[fhv ats])</f>
        <v>984.08863636363628</v>
      </c>
      <c r="BA63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63" s="322" t="str">
        <f>IF(AND(Tabela24[[#This Row],[vp1]]*Tabela24[[#This Row],[distrib. direc.]]&lt;1700,Tabela24[[#This Row],[vp1]]&lt;3200),"OK!","FAIL")</f>
        <v>OK!</v>
      </c>
      <c r="BC63" s="23">
        <f>INDEX('HCM2000'!$L$68:$AF$83,MATCH(Tabela24[[#This Row],[faixa (m)]],'HCM2000'!$K$68:$K$83),MATCH(Tabela24[[#This Row],[acost (m)]],'HCM2000'!$L$67:$AF$67))</f>
        <v>0.7</v>
      </c>
      <c r="BD63" s="23">
        <f>MIN(16,(2/3)*Tabela24[[#This Row],[acessos/km]])</f>
        <v>0.66666666666666663</v>
      </c>
      <c r="BE63" s="22">
        <f>Tabela24[BFFS]-Tabela24[fLS]-Tabela24[fA]</f>
        <v>86.633333333333326</v>
      </c>
      <c r="BF63" s="23" t="e">
        <v>#REF!</v>
      </c>
      <c r="BG63" s="463">
        <f>IFERROR(Tabela24[[#This Row],[vp1]],0)</f>
        <v>984.08863636363628</v>
      </c>
      <c r="BH63" s="463">
        <f>IFERROR(Tabela24[[#This Row],[% zonas s/ultra]],0)</f>
        <v>0.34</v>
      </c>
      <c r="BI63" s="23" t="str">
        <f t="shared" si="5"/>
        <v>FNP</v>
      </c>
      <c r="BJ63" s="23">
        <v>2.3329606818181787</v>
      </c>
      <c r="BK63" s="43">
        <f>Tabela24[FFS]-0.0125*MAX(Tabela24[[#This Row],[vp1]],Tabela24[[#This Row],[vp1'']])-Tabela24[fnp'']</f>
        <v>71.999264696969689</v>
      </c>
      <c r="BL63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63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63" s="23">
        <v>1</v>
      </c>
      <c r="BO63" s="23">
        <f>1/(1+Tabela24[[#This Row],[Pt]]*(Tabela24[[#This Row],[Et time]]-1)+Tabela24[[#This Row],[PRv]]*(Tabela24[[#This Row],[Er time]]-1))</f>
        <v>0.94966761633428309</v>
      </c>
      <c r="BP63" s="23">
        <f>Tabela24[veic/h]/Tabela24[PHF]</f>
        <v>889.77272727272725</v>
      </c>
      <c r="BQ63" s="23">
        <v>936.93068181818171</v>
      </c>
      <c r="BR63" s="438">
        <f>Tabela24[veic/h]/(Tabela24[PHF]*Tabela24[fg time]*Tabela24[fhv follow])</f>
        <v>936.93068181818171</v>
      </c>
      <c r="BS63" s="438" t="str">
        <f>IF(AND(Tabela24[[#This Row],[vp2]]*Tabela24[[#This Row],[distrib. direc.]]&lt;1700,Tabela24[[#This Row],[vp2]]&lt;3200),"OK!","FAIL")</f>
        <v>OK!</v>
      </c>
      <c r="BT63" s="23">
        <f>100*(1-EXP(-0.000879*MAX(Tabela24[[#This Row],[vp2]],Tabela24[[#This Row],[vp2'']])))</f>
        <v>56.113440271918826</v>
      </c>
      <c r="BU63" s="304" t="e">
        <v>#REF!</v>
      </c>
      <c r="BV63" s="304">
        <f>IF(TYPE(Tabela24[distrib. direc.])&lt;&gt;1,0,Tabela24[distrib. direc.])</f>
        <v>0.55000000000000004</v>
      </c>
      <c r="BW63" s="304">
        <f>IF(TYPE(Tabela24[vp2])&lt;&gt;1,0,Tabela24[vp2])</f>
        <v>936.93068181818171</v>
      </c>
      <c r="BX63" s="304">
        <f>IF(TYPE(Tabela24[% zonas s/ultra])&lt;&gt;1,0,Tabela24[% zonas s/ultra])</f>
        <v>0.34</v>
      </c>
      <c r="BY63" s="304" t="str">
        <f t="shared" si="6"/>
        <v>FDNP</v>
      </c>
      <c r="BZ63" s="31">
        <v>8.4561733522724065</v>
      </c>
      <c r="CA63" s="305">
        <f>Tabela24[BPTSF]+Tabela24[fd/np'']</f>
        <v>64.569613624191234</v>
      </c>
      <c r="CB63" s="424">
        <f>Tabela24[vp1]/3200</f>
        <v>0.30752769886363635</v>
      </c>
      <c r="CC63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63" s="332">
        <f>VLOOKUP(Tabela24[faixa (m)],'HCM2000'!$B$541:$C$547,2,TRUE)</f>
        <v>1</v>
      </c>
      <c r="CE63" s="332">
        <f>IF(Tabela24[acost (m)]&gt;0,1.8,1.2)</f>
        <v>1.8</v>
      </c>
      <c r="CF63" s="332">
        <f>IF(Tabela24[Separador]=$CB$6,$CD$6,IF(Tabela24[Separador]=$CB$7,$CD$7,$CD$8))</f>
        <v>0</v>
      </c>
      <c r="CG63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63" s="332">
        <f>IF(Tabela24[Separador]="Sinalização horizontal",'HCM2000'!$C$590,'HCM2000'!$C$591)</f>
        <v>2.6</v>
      </c>
      <c r="CI63" s="332">
        <f>MIN((2/3)*Tabela24[[#This Row],[acessos/km]],16)</f>
        <v>0.66666666666666663</v>
      </c>
      <c r="CJ63" s="332">
        <f>IF(Tabela24[fLC]="Pista simples","-",Tabela24[BFFS]-Tabela24[fLW]-Tabela24[fLC]-Tabela24[fM]-Tabela24[fA2])</f>
        <v>81.63333333333334</v>
      </c>
      <c r="CK63" s="332">
        <f>IF(Tabela24[plano/ondulado]="Montanhoso",Tabela24[Para PT&lt;],VLOOKUP(Tabela24[plano/ondulado],'HCM2000'!$B$606:$C$608,2,FALSE))</f>
        <v>1.5</v>
      </c>
      <c r="CL63" s="332">
        <f>IF(Tabela24[[#This Row],[plano/ondulado]]="Montanhoso",Tabela24[[#This Row],[Para PT&lt;]],VLOOKUP(Tabela24[[#This Row],[plano/ondulado]],'HCM2000'!$E$606:$F$608,2,FALSE))</f>
        <v>1.2</v>
      </c>
      <c r="CM63" s="433">
        <f>1/(1+(Tabela24[Pt]*(Tabela24[Et2]-1))+(Tabela24[PRv]*(Tabela24[Er2]-1)))</f>
        <v>0.78678206136900075</v>
      </c>
      <c r="CN63" s="329">
        <f>K63+IF(Tabela24[[#This Row],[Num. Faixas Marg.]]="-",0,Tabela24[[#This Row],[Num. Faixas Marg.]])</f>
        <v>4.5999999999999996</v>
      </c>
      <c r="CO63" s="331">
        <f>Tabela24[[#This Row],[Vzão]]/(Tabela24[[#This Row],[PHF]]*Tabela24[[#This Row],[N]]*Tabela24[[#This Row],[fHV]])</f>
        <v>135.21644021739132</v>
      </c>
      <c r="CP63" s="332">
        <f>IF(Tabela24[fLC]="Pista simples","-",Tabela24[vp3]/Tabela24[S])</f>
        <v>1.6563875894331317</v>
      </c>
      <c r="CQ63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81.63333333333334</v>
      </c>
      <c r="CR63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63" s="308" t="str">
        <f>IF(Tabela24[LOS_vp3]="F","F",VLOOKUP(Tabela24[LOS_vp3],'HCM2000'!$R$655:$S$659,2))</f>
        <v>F</v>
      </c>
      <c r="CT63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63" s="425" t="str">
        <f>IF(Tabela24[[#This Row],[LOS_vp3]]="F","F",IF(Tabela24[[#This Row],[fLC]]="Pista simples","-",VLOOKUP(Tabela24[[#This Row],[LOS_D3]],'HCM2000'!$R$655:$S$659,2)))</f>
        <v>F</v>
      </c>
      <c r="CV63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63" s="381"/>
      <c r="CX63" s="381"/>
      <c r="CY63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63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63" s="22">
        <f>ABS(INDEX('HCM2000'!$E$611:$M$611,1,MATCH(Tabela24[Pt]*100,'HCM2000'!$E$611:$M$611,1))-Tabela24[Pt]*100)</f>
        <v>28</v>
      </c>
      <c r="DB63" s="22" t="e">
        <f>INDEX('HCM2000'!$E$611:$M$611,1,MATCH(Tabela24[[#This Row],[Pt]]*100,'HCM2000'!$E$611:$M$611,1)+1)-Tabela24[[#This Row],[Pt]]*100</f>
        <v>#REF!</v>
      </c>
      <c r="DC63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63" s="440"/>
      <c r="DE63" s="423" t="e">
        <f>1/(1+(Tabela24[Pt]*(Tabela24[ETsu]-1))+(Tabela24[PRv]*(Tabela24[ERsu]-1)))</f>
        <v>#N/A</v>
      </c>
      <c r="DF63" s="438" t="e">
        <f>Tabela24[Vzão]/(Tabela24[PHF]*Tabela24[N]*Tabela24[fHVsu])</f>
        <v>#N/A</v>
      </c>
      <c r="DG63" s="332" t="e">
        <f>IF(Tabela24[fLC]="Pista simples","-",Tabela24[vpsu]/Tabela24[S])</f>
        <v>#N/A</v>
      </c>
      <c r="DH63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63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63" s="425" t="str">
        <f>IF(Tabela24[[#This Row],[LOS_vp3]]="F","F",VLOOKUP(Tabela24[[#This Row],[LOS_vp3]],'HCM2000'!$R$655:$S$659,2))</f>
        <v>F</v>
      </c>
      <c r="DK63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63" s="425" t="str">
        <f>IF(Tabela24[[#This Row],[LOS_vp3]]="F","F",IF(Tabela24[[#This Row],[fLC]]="Pista simples","-",VLOOKUP(Tabela24[[#This Row],[LOS_D3]],'HCM2000'!$R$655:$S$659,2)))</f>
        <v>F</v>
      </c>
      <c r="DM63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63" s="416"/>
      <c r="DO63" s="22">
        <f>Tabela24[[#This Row],[ATS]]</f>
        <v>71.999264696969689</v>
      </c>
      <c r="DP63" s="416">
        <v>72</v>
      </c>
      <c r="DQ63" s="22">
        <f t="shared" si="11"/>
        <v>7.3530303031077437E-4</v>
      </c>
      <c r="DR63" s="22">
        <f>Tabela24[[#This Row],[PTSF]]</f>
        <v>64.569613624191234</v>
      </c>
      <c r="DS63" s="416">
        <v>65.3</v>
      </c>
      <c r="DT63" s="22">
        <f t="shared" si="12"/>
        <v>0.73038637580876298</v>
      </c>
      <c r="DU63" s="22"/>
      <c r="DV63" s="22">
        <v>71.999264696969689</v>
      </c>
      <c r="DW63" s="440">
        <v>72</v>
      </c>
      <c r="DX63" s="22">
        <v>7.3530303031077437E-4</v>
      </c>
      <c r="DY63" s="22">
        <v>72.850715140003516</v>
      </c>
      <c r="DZ63" s="440">
        <v>65.3</v>
      </c>
      <c r="EA63" s="22">
        <v>0.73038637580876298</v>
      </c>
      <c r="EB63" s="416"/>
      <c r="EC63" s="416"/>
      <c r="ED63" s="416"/>
      <c r="EE63" s="416"/>
      <c r="EF63" s="416"/>
      <c r="EG63" s="416"/>
      <c r="EH63" s="416"/>
      <c r="EI63" s="416"/>
      <c r="EJ63" s="416"/>
      <c r="EK63" s="416"/>
      <c r="EL63" s="416"/>
      <c r="EM63" s="416"/>
      <c r="EN63" s="416"/>
      <c r="EO63" s="416"/>
      <c r="EP63" s="416"/>
      <c r="EQ63" s="416"/>
      <c r="ER63" s="416"/>
      <c r="ES63" s="416"/>
      <c r="ET63" s="416"/>
      <c r="EU63" s="416"/>
      <c r="EV63" s="416"/>
      <c r="EW63" s="416"/>
      <c r="EX63" s="416"/>
      <c r="EY63" s="416"/>
      <c r="EZ63" s="416"/>
      <c r="FA63" s="416"/>
      <c r="FB63" s="416"/>
      <c r="FC63" s="416"/>
      <c r="FD63" s="416"/>
      <c r="FE63" s="416"/>
      <c r="FF63" s="416"/>
      <c r="FG63" s="416"/>
      <c r="FH63" s="416"/>
      <c r="FI63" s="416"/>
      <c r="FJ63" s="416"/>
      <c r="FK63" s="416"/>
      <c r="FL63" s="416"/>
      <c r="FM63" s="416"/>
      <c r="FR63" s="3"/>
      <c r="FS63" s="3"/>
      <c r="FV63" s="58"/>
      <c r="FW63" s="58"/>
    </row>
    <row r="64" spans="2:179">
      <c r="B64" s="386">
        <v>8</v>
      </c>
      <c r="C64" s="394"/>
      <c r="D64" s="395"/>
      <c r="E64" s="385">
        <v>24201</v>
      </c>
      <c r="F64" s="385">
        <v>24501</v>
      </c>
      <c r="G64" s="390">
        <v>300</v>
      </c>
      <c r="H64" s="386" t="s">
        <v>263</v>
      </c>
      <c r="I64" s="386" t="s">
        <v>379</v>
      </c>
      <c r="J64" s="390">
        <v>2</v>
      </c>
      <c r="K64" s="386">
        <v>4.5999999999999996</v>
      </c>
      <c r="L64" s="386" t="s">
        <v>143</v>
      </c>
      <c r="M64" s="386">
        <v>4.2</v>
      </c>
      <c r="N64" s="386">
        <v>1</v>
      </c>
      <c r="O64" s="396">
        <v>1</v>
      </c>
      <c r="P64" s="386" t="s">
        <v>366</v>
      </c>
      <c r="Q64" s="397" t="s">
        <v>144</v>
      </c>
      <c r="R64" s="419" t="s">
        <v>73</v>
      </c>
      <c r="S64" s="310">
        <v>54</v>
      </c>
      <c r="T64" s="420"/>
      <c r="U64" s="279">
        <v>24</v>
      </c>
      <c r="V64" s="323">
        <v>6473.9966140621727</v>
      </c>
      <c r="W64" s="323">
        <v>2824.5698392986178</v>
      </c>
      <c r="X64" s="420"/>
      <c r="Y64" s="398">
        <f t="shared" si="15"/>
        <v>1</v>
      </c>
      <c r="Z64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64" s="182" t="s">
        <v>644</v>
      </c>
      <c r="AB64" s="391" t="s">
        <v>654</v>
      </c>
      <c r="AC64" s="31">
        <v>3.5</v>
      </c>
      <c r="AD64" s="31">
        <v>2.5</v>
      </c>
      <c r="AE64" s="421"/>
      <c r="AF64" s="421"/>
      <c r="AG64" s="421">
        <v>0</v>
      </c>
      <c r="AH64" s="441">
        <v>0.68</v>
      </c>
      <c r="AI64" s="25">
        <v>0.03</v>
      </c>
      <c r="AJ64" s="435">
        <v>8.7999999999999995E-2</v>
      </c>
      <c r="AK64" s="330">
        <v>736</v>
      </c>
      <c r="AL64" s="263">
        <v>0.55000000000000004</v>
      </c>
      <c r="AM64" s="414">
        <v>404.8</v>
      </c>
      <c r="AN64" s="417">
        <v>2</v>
      </c>
      <c r="AO64" s="467" t="s">
        <v>73</v>
      </c>
      <c r="AP64" s="439">
        <v>88</v>
      </c>
      <c r="AQ64" s="442">
        <v>0.46</v>
      </c>
      <c r="AR64" s="422">
        <v>0.88</v>
      </c>
      <c r="AS64" s="316"/>
      <c r="AT64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64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64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64" s="23">
        <f>1/(1+(Tabela24[[#This Row],[Pt]])*(Tabela24[[#This Row],[Et]]-1)+(Tabela24[[#This Row],[PRv]])*(Tabela24[[#This Row],[Er]]-1))</f>
        <v>0.88028169014084512</v>
      </c>
      <c r="AX64" s="423">
        <f>Tabela24[veic/h]/Tabela24[PHF]</f>
        <v>836.36363636363637</v>
      </c>
      <c r="AY64" s="423">
        <v>950.10909090909081</v>
      </c>
      <c r="AZ64" s="21">
        <f>Tabela24[veic/h]/(Tabela24[PHF]*Tabela24[fg ats]*Tabela24[fhv ats])</f>
        <v>950.10909090909081</v>
      </c>
      <c r="BA64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64" s="322" t="str">
        <f>IF(AND(Tabela24[[#This Row],[vp1]]*Tabela24[[#This Row],[distrib. direc.]]&lt;1700,Tabela24[[#This Row],[vp1]]&lt;3200),"OK!","FAIL")</f>
        <v>OK!</v>
      </c>
      <c r="BC64" s="23">
        <f>INDEX('HCM2000'!$L$68:$AF$83,MATCH(Tabela24[[#This Row],[faixa (m)]],'HCM2000'!$K$68:$K$83),MATCH(Tabela24[[#This Row],[acost (m)]],'HCM2000'!$L$67:$AF$67))</f>
        <v>0.7</v>
      </c>
      <c r="BD64" s="23">
        <f>MIN(16,(2/3)*Tabela24[[#This Row],[acessos/km]])</f>
        <v>1.3333333333333333</v>
      </c>
      <c r="BE64" s="22">
        <f>Tabela24[BFFS]-Tabela24[fLS]-Tabela24[fA]</f>
        <v>85.966666666666669</v>
      </c>
      <c r="BF64" s="23" t="e">
        <v>#REF!</v>
      </c>
      <c r="BG64" s="463">
        <f>IFERROR(Tabela24[[#This Row],[vp1]],0)</f>
        <v>950.10909090909081</v>
      </c>
      <c r="BH64" s="463">
        <f>IFERROR(Tabela24[[#This Row],[% zonas s/ultra]],0)</f>
        <v>0.46</v>
      </c>
      <c r="BI64" s="23" t="str">
        <f t="shared" si="5"/>
        <v>FNP</v>
      </c>
      <c r="BJ64" s="23">
        <v>2.8671563636363686</v>
      </c>
      <c r="BK64" s="43">
        <f>Tabela24[FFS]-0.0125*MAX(Tabela24[[#This Row],[vp1]],Tabela24[[#This Row],[vp1'']])-Tabela24[fnp'']</f>
        <v>71.223146666666665</v>
      </c>
      <c r="BL64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64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64" s="23">
        <v>1</v>
      </c>
      <c r="BO64" s="23">
        <f>1/(1+Tabela24[[#This Row],[Pt]]*(Tabela24[[#This Row],[Et time]]-1)+Tabela24[[#This Row],[PRv]]*(Tabela24[[#This Row],[Er time]]-1))</f>
        <v>0.93632958801498123</v>
      </c>
      <c r="BP64" s="23">
        <f>Tabela24[veic/h]/Tabela24[PHF]</f>
        <v>836.36363636363637</v>
      </c>
      <c r="BQ64" s="23">
        <v>893.23636363636365</v>
      </c>
      <c r="BR64" s="438">
        <f>Tabela24[veic/h]/(Tabela24[PHF]*Tabela24[fg time]*Tabela24[fhv follow])</f>
        <v>893.23636363636365</v>
      </c>
      <c r="BS64" s="438" t="str">
        <f>IF(AND(Tabela24[[#This Row],[vp2]]*Tabela24[[#This Row],[distrib. direc.]]&lt;1700,Tabela24[[#This Row],[vp2]]&lt;3200),"OK!","FAIL")</f>
        <v>OK!</v>
      </c>
      <c r="BT64" s="23">
        <f>100*(1-EXP(-0.000879*MAX(Tabela24[[#This Row],[vp2]],Tabela24[[#This Row],[vp2'']])))</f>
        <v>54.395088349586793</v>
      </c>
      <c r="BU64" s="304" t="e">
        <v>#REF!</v>
      </c>
      <c r="BV64" s="304">
        <f>IF(TYPE(Tabela24[distrib. direc.])&lt;&gt;1,0,Tabela24[distrib. direc.])</f>
        <v>0.55000000000000004</v>
      </c>
      <c r="BW64" s="304">
        <f>IF(TYPE(Tabela24[vp2])&lt;&gt;1,0,Tabela24[vp2])</f>
        <v>893.23636363636365</v>
      </c>
      <c r="BX64" s="304">
        <f>IF(TYPE(Tabela24[% zonas s/ultra])&lt;&gt;1,0,Tabela24[% zonas s/ultra])</f>
        <v>0.46</v>
      </c>
      <c r="BY64" s="304" t="str">
        <f t="shared" si="6"/>
        <v>FDNP</v>
      </c>
      <c r="BZ64" s="31">
        <v>10.308167272728035</v>
      </c>
      <c r="CA64" s="305">
        <f>Tabela24[BPTSF]+Tabela24[fd/np'']</f>
        <v>64.703255622314828</v>
      </c>
      <c r="CB64" s="424">
        <f>Tabela24[vp1]/3200</f>
        <v>0.2969090909090909</v>
      </c>
      <c r="CC64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64" s="332">
        <f>VLOOKUP(Tabela24[faixa (m)],'HCM2000'!$B$541:$C$547,2,TRUE)</f>
        <v>1</v>
      </c>
      <c r="CE64" s="332">
        <f>IF(Tabela24[acost (m)]&gt;0,1.8,1.2)</f>
        <v>1.8</v>
      </c>
      <c r="CF64" s="332">
        <f>IF(Tabela24[Separador]=$CB$6,$CD$6,IF(Tabela24[Separador]=$CB$7,$CD$7,$CD$8))</f>
        <v>0</v>
      </c>
      <c r="CG64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64" s="332">
        <f>IF(Tabela24[Separador]="Sinalização horizontal",'HCM2000'!$C$590,'HCM2000'!$C$591)</f>
        <v>2.6</v>
      </c>
      <c r="CI64" s="332">
        <f>MIN((2/3)*Tabela24[[#This Row],[acessos/km]],16)</f>
        <v>1.3333333333333333</v>
      </c>
      <c r="CJ64" s="332">
        <f>IF(Tabela24[fLC]="Pista simples","-",Tabela24[BFFS]-Tabela24[fLW]-Tabela24[fLC]-Tabela24[fM]-Tabela24[fA2])</f>
        <v>80.966666666666683</v>
      </c>
      <c r="CK64" s="332">
        <f>IF(Tabela24[plano/ondulado]="Montanhoso",Tabela24[Para PT&lt;],VLOOKUP(Tabela24[plano/ondulado],'HCM2000'!$B$606:$C$608,2,FALSE))</f>
        <v>1.5</v>
      </c>
      <c r="CL64" s="332">
        <f>IF(Tabela24[[#This Row],[plano/ondulado]]="Montanhoso",Tabela24[[#This Row],[Para PT&lt;]],VLOOKUP(Tabela24[[#This Row],[plano/ondulado]],'HCM2000'!$E$606:$F$608,2,FALSE))</f>
        <v>1.2</v>
      </c>
      <c r="CM64" s="433">
        <f>1/(1+(Tabela24[Pt]*(Tabela24[Et2]-1))+(Tabela24[PRv]*(Tabela24[Er2]-1)))</f>
        <v>0.74294205052005935</v>
      </c>
      <c r="CN64" s="329">
        <f>K64+IF(Tabela24[[#This Row],[Num. Faixas Marg.]]="-",0,Tabela24[[#This Row],[Num. Faixas Marg.]])</f>
        <v>4.5999999999999996</v>
      </c>
      <c r="CO64" s="331">
        <f>Tabela24[[#This Row],[Vzão]]/(Tabela24[[#This Row],[PHF]]*Tabela24[[#This Row],[N]]*Tabela24[[#This Row],[fHV]])</f>
        <v>134.60000000000002</v>
      </c>
      <c r="CP64" s="332">
        <f>IF(Tabela24[fLC]="Pista simples","-",Tabela24[vp3]/Tabela24[S])</f>
        <v>1.6624125154384519</v>
      </c>
      <c r="CQ64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64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64" s="308" t="str">
        <f>IF(Tabela24[LOS_vp3]="F","F",VLOOKUP(Tabela24[LOS_vp3],'HCM2000'!$R$655:$S$659,2))</f>
        <v>F</v>
      </c>
      <c r="CT64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64" s="425" t="str">
        <f>IF(Tabela24[[#This Row],[LOS_vp3]]="F","F",IF(Tabela24[[#This Row],[fLC]]="Pista simples","-",VLOOKUP(Tabela24[[#This Row],[LOS_D3]],'HCM2000'!$R$655:$S$659,2)))</f>
        <v>F</v>
      </c>
      <c r="CV64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64" s="381"/>
      <c r="CX64" s="381"/>
      <c r="CY64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64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64" s="22">
        <f>ABS(INDEX('HCM2000'!$E$611:$M$611,1,MATCH(Tabela24[Pt]*100,'HCM2000'!$E$611:$M$611,1))-Tabela24[Pt]*100)</f>
        <v>43</v>
      </c>
      <c r="DB64" s="22" t="e">
        <f>INDEX('HCM2000'!$E$611:$M$611,1,MATCH(Tabela24[[#This Row],[Pt]]*100,'HCM2000'!$E$611:$M$611,1)+1)-Tabela24[[#This Row],[Pt]]*100</f>
        <v>#REF!</v>
      </c>
      <c r="DC64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64" s="440"/>
      <c r="DE64" s="423" t="e">
        <f>1/(1+(Tabela24[Pt]*(Tabela24[ETsu]-1))+(Tabela24[PRv]*(Tabela24[ERsu]-1)))</f>
        <v>#N/A</v>
      </c>
      <c r="DF64" s="438" t="e">
        <f>Tabela24[Vzão]/(Tabela24[PHF]*Tabela24[N]*Tabela24[fHVsu])</f>
        <v>#N/A</v>
      </c>
      <c r="DG64" s="332" t="e">
        <f>IF(Tabela24[fLC]="Pista simples","-",Tabela24[vpsu]/Tabela24[S])</f>
        <v>#N/A</v>
      </c>
      <c r="DH64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64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64" s="425" t="str">
        <f>IF(Tabela24[[#This Row],[LOS_vp3]]="F","F",VLOOKUP(Tabela24[[#This Row],[LOS_vp3]],'HCM2000'!$R$655:$S$659,2))</f>
        <v>F</v>
      </c>
      <c r="DK64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64" s="425" t="str">
        <f>IF(Tabela24[[#This Row],[LOS_vp3]]="F","F",IF(Tabela24[[#This Row],[fLC]]="Pista simples","-",VLOOKUP(Tabela24[[#This Row],[LOS_D3]],'HCM2000'!$R$655:$S$659,2)))</f>
        <v>F</v>
      </c>
      <c r="DM64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64" s="416"/>
      <c r="DO64" s="22">
        <f>Tabela24[[#This Row],[ATS]]</f>
        <v>71.223146666666665</v>
      </c>
      <c r="DP64" s="416">
        <v>71.2</v>
      </c>
      <c r="DQ64" s="22">
        <f t="shared" si="11"/>
        <v>2.3146666666661986E-2</v>
      </c>
      <c r="DR64" s="22">
        <f>Tabela24[[#This Row],[PTSF]]</f>
        <v>64.703255622314828</v>
      </c>
      <c r="DS64" s="416">
        <v>65.400000000000006</v>
      </c>
      <c r="DT64" s="22">
        <f t="shared" si="12"/>
        <v>0.69674437768517805</v>
      </c>
      <c r="DU64" s="22"/>
      <c r="DV64" s="22">
        <v>71.223146666666665</v>
      </c>
      <c r="DW64" s="416">
        <v>71.2</v>
      </c>
      <c r="DX64" s="22">
        <v>2.3146666666661986E-2</v>
      </c>
      <c r="DY64" s="22">
        <v>73.226185997294792</v>
      </c>
      <c r="DZ64" s="416">
        <v>65.400000000000006</v>
      </c>
      <c r="EA64" s="22">
        <v>0.69674437768517805</v>
      </c>
      <c r="EB64" s="416"/>
      <c r="EC64" s="416"/>
      <c r="ED64" s="416"/>
      <c r="EE64" s="416"/>
      <c r="EF64" s="416"/>
      <c r="EG64" s="416"/>
      <c r="EH64" s="416"/>
      <c r="EI64" s="416"/>
      <c r="EJ64" s="416"/>
      <c r="EK64" s="416"/>
      <c r="EL64" s="416"/>
      <c r="EM64" s="416"/>
      <c r="EN64" s="416"/>
      <c r="EO64" s="416"/>
      <c r="EP64" s="416"/>
      <c r="EQ64" s="416"/>
      <c r="ER64" s="416"/>
      <c r="ES64" s="416"/>
      <c r="ET64" s="416"/>
      <c r="EU64" s="416"/>
      <c r="EV64" s="416"/>
      <c r="EW64" s="416"/>
      <c r="EX64" s="416"/>
      <c r="EY64" s="416"/>
      <c r="EZ64" s="416"/>
      <c r="FA64" s="416"/>
      <c r="FB64" s="416"/>
      <c r="FC64" s="416"/>
      <c r="FD64" s="416"/>
      <c r="FE64" s="416"/>
      <c r="FF64" s="416"/>
      <c r="FG64" s="416"/>
      <c r="FH64" s="416"/>
      <c r="FI64" s="416"/>
      <c r="FJ64" s="416"/>
      <c r="FK64" s="416"/>
      <c r="FL64" s="416"/>
      <c r="FM64" s="416"/>
      <c r="FR64" s="3"/>
      <c r="FS64" s="3"/>
      <c r="FV64" s="58"/>
      <c r="FW64" s="58"/>
    </row>
    <row r="65" spans="2:179">
      <c r="B65" s="386">
        <v>9</v>
      </c>
      <c r="C65" s="394"/>
      <c r="D65" s="395"/>
      <c r="E65" s="385">
        <v>24201</v>
      </c>
      <c r="F65" s="385">
        <v>24501</v>
      </c>
      <c r="G65" s="390">
        <v>300</v>
      </c>
      <c r="H65" s="386" t="s">
        <v>263</v>
      </c>
      <c r="I65" s="386" t="s">
        <v>379</v>
      </c>
      <c r="J65" s="390">
        <v>2</v>
      </c>
      <c r="K65" s="386">
        <v>4.5999999999999996</v>
      </c>
      <c r="L65" s="386" t="s">
        <v>143</v>
      </c>
      <c r="M65" s="386">
        <v>4.2</v>
      </c>
      <c r="N65" s="386">
        <v>1</v>
      </c>
      <c r="O65" s="396">
        <v>1</v>
      </c>
      <c r="P65" s="386" t="s">
        <v>366</v>
      </c>
      <c r="Q65" s="397" t="s">
        <v>144</v>
      </c>
      <c r="R65" s="419" t="s">
        <v>73</v>
      </c>
      <c r="S65" s="310">
        <v>55</v>
      </c>
      <c r="T65" s="420"/>
      <c r="U65" s="279">
        <v>24</v>
      </c>
      <c r="V65" s="323">
        <v>6473.9966140621727</v>
      </c>
      <c r="W65" s="323">
        <v>2824.5698392986178</v>
      </c>
      <c r="X65" s="420"/>
      <c r="Y65" s="398">
        <f t="shared" si="15"/>
        <v>1</v>
      </c>
      <c r="Z65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65" s="182" t="s">
        <v>644</v>
      </c>
      <c r="AB65" s="391" t="s">
        <v>654</v>
      </c>
      <c r="AC65" s="31">
        <v>3.5</v>
      </c>
      <c r="AD65" s="31">
        <v>2.5</v>
      </c>
      <c r="AE65" s="421"/>
      <c r="AF65" s="421"/>
      <c r="AG65" s="421">
        <v>0</v>
      </c>
      <c r="AH65" s="441">
        <v>0.59</v>
      </c>
      <c r="AI65" s="25">
        <v>0.03</v>
      </c>
      <c r="AJ65" s="435">
        <v>8.7999999999999995E-2</v>
      </c>
      <c r="AK65" s="330">
        <v>785</v>
      </c>
      <c r="AL65" s="263">
        <v>0.55000000000000004</v>
      </c>
      <c r="AM65" s="414">
        <v>431.75000000000006</v>
      </c>
      <c r="AN65" s="417">
        <v>2</v>
      </c>
      <c r="AO65" s="467" t="s">
        <v>73</v>
      </c>
      <c r="AP65" s="439">
        <v>88</v>
      </c>
      <c r="AQ65" s="442">
        <v>0.34</v>
      </c>
      <c r="AR65" s="422">
        <v>0.88</v>
      </c>
      <c r="AS65" s="316"/>
      <c r="AT65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65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65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65" s="23">
        <f>1/(1+(Tabela24[[#This Row],[Pt]])*(Tabela24[[#This Row],[Et]]-1)+(Tabela24[[#This Row],[PRv]])*(Tabela24[[#This Row],[Er]]-1))</f>
        <v>0.89445438282647594</v>
      </c>
      <c r="AX65" s="423">
        <f>Tabela24[veic/h]/Tabela24[PHF]</f>
        <v>892.0454545454545</v>
      </c>
      <c r="AY65" s="423">
        <v>997.30681818181813</v>
      </c>
      <c r="AZ65" s="21">
        <f>Tabela24[veic/h]/(Tabela24[PHF]*Tabela24[fg ats]*Tabela24[fhv ats])</f>
        <v>997.30681818181813</v>
      </c>
      <c r="BA65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65" s="322" t="str">
        <f>IF(AND(Tabela24[[#This Row],[vp1]]*Tabela24[[#This Row],[distrib. direc.]]&lt;1700,Tabela24[[#This Row],[vp1]]&lt;3200),"OK!","FAIL")</f>
        <v>OK!</v>
      </c>
      <c r="BC65" s="23">
        <f>INDEX('HCM2000'!$L$68:$AF$83,MATCH(Tabela24[[#This Row],[faixa (m)]],'HCM2000'!$K$68:$K$83),MATCH(Tabela24[[#This Row],[acost (m)]],'HCM2000'!$L$67:$AF$67))</f>
        <v>0.7</v>
      </c>
      <c r="BD65" s="23">
        <f>MIN(16,(2/3)*Tabela24[[#This Row],[acessos/km]])</f>
        <v>1.3333333333333333</v>
      </c>
      <c r="BE65" s="22">
        <f>Tabela24[BFFS]-Tabela24[fLS]-Tabela24[fA]</f>
        <v>85.966666666666669</v>
      </c>
      <c r="BF65" s="23" t="e">
        <v>#REF!</v>
      </c>
      <c r="BG65" s="463">
        <f>IFERROR(Tabela24[[#This Row],[vp1]],0)</f>
        <v>997.30681818181813</v>
      </c>
      <c r="BH65" s="463">
        <f>IFERROR(Tabela24[[#This Row],[% zonas s/ultra]],0)</f>
        <v>0.34</v>
      </c>
      <c r="BI65" s="23" t="str">
        <f t="shared" si="5"/>
        <v>FNP</v>
      </c>
      <c r="BJ65" s="23">
        <v>2.2972715909090877</v>
      </c>
      <c r="BK65" s="43">
        <f>Tabela24[FFS]-0.0125*MAX(Tabela24[[#This Row],[vp1]],Tabela24[[#This Row],[vp1'']])-Tabela24[fnp'']</f>
        <v>71.203059848484855</v>
      </c>
      <c r="BL65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65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65" s="23">
        <v>1</v>
      </c>
      <c r="BO65" s="23">
        <f>1/(1+Tabela24[[#This Row],[Pt]]*(Tabela24[[#This Row],[Et time]]-1)+Tabela24[[#This Row],[PRv]]*(Tabela24[[#This Row],[Er time]]-1))</f>
        <v>0.94428706326723311</v>
      </c>
      <c r="BP65" s="23">
        <f>Tabela24[veic/h]/Tabela24[PHF]</f>
        <v>892.0454545454545</v>
      </c>
      <c r="BQ65" s="23">
        <v>944.67613636363649</v>
      </c>
      <c r="BR65" s="438">
        <f>Tabela24[veic/h]/(Tabela24[PHF]*Tabela24[fg time]*Tabela24[fhv follow])</f>
        <v>944.67613636363649</v>
      </c>
      <c r="BS65" s="438" t="str">
        <f>IF(AND(Tabela24[[#This Row],[vp2]]*Tabela24[[#This Row],[distrib. direc.]]&lt;1700,Tabela24[[#This Row],[vp2]]&lt;3200),"OK!","FAIL")</f>
        <v>OK!</v>
      </c>
      <c r="BT65" s="23">
        <f>100*(1-EXP(-0.000879*MAX(Tabela24[[#This Row],[vp2]],Tabela24[[#This Row],[vp2'']])))</f>
        <v>56.411216323875337</v>
      </c>
      <c r="BU65" s="304" t="e">
        <v>#REF!</v>
      </c>
      <c r="BV65" s="304">
        <f>IF(TYPE(Tabela24[distrib. direc.])&lt;&gt;1,0,Tabela24[distrib. direc.])</f>
        <v>0.55000000000000004</v>
      </c>
      <c r="BW65" s="304">
        <f>IF(TYPE(Tabela24[vp2])&lt;&gt;1,0,Tabela24[vp2])</f>
        <v>944.67613636363649</v>
      </c>
      <c r="BX65" s="304">
        <f>IF(TYPE(Tabela24[% zonas s/ultra])&lt;&gt;1,0,Tabela24[% zonas s/ultra])</f>
        <v>0.34</v>
      </c>
      <c r="BY65" s="304" t="str">
        <f t="shared" si="6"/>
        <v>FDNP</v>
      </c>
      <c r="BZ65" s="31">
        <v>8.3976951704542255</v>
      </c>
      <c r="CA65" s="305">
        <f>Tabela24[BPTSF]+Tabela24[fd/np'']</f>
        <v>64.808911494329564</v>
      </c>
      <c r="CB65" s="424">
        <f>Tabela24[vp1]/3200</f>
        <v>0.31165838068181817</v>
      </c>
      <c r="CC65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65" s="332">
        <f>VLOOKUP(Tabela24[faixa (m)],'HCM2000'!$B$541:$C$547,2,TRUE)</f>
        <v>1</v>
      </c>
      <c r="CE65" s="332">
        <f>IF(Tabela24[acost (m)]&gt;0,1.8,1.2)</f>
        <v>1.8</v>
      </c>
      <c r="CF65" s="332">
        <f>IF(Tabela24[Separador]=$CB$6,$CD$6,IF(Tabela24[Separador]=$CB$7,$CD$7,$CD$8))</f>
        <v>0</v>
      </c>
      <c r="CG65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65" s="332">
        <f>IF(Tabela24[Separador]="Sinalização horizontal",'HCM2000'!$C$590,'HCM2000'!$C$591)</f>
        <v>2.6</v>
      </c>
      <c r="CI65" s="332">
        <f>MIN((2/3)*Tabela24[[#This Row],[acessos/km]],16)</f>
        <v>1.3333333333333333</v>
      </c>
      <c r="CJ65" s="332">
        <f>IF(Tabela24[fLC]="Pista simples","-",Tabela24[BFFS]-Tabela24[fLW]-Tabela24[fLC]-Tabela24[fM]-Tabela24[fA2])</f>
        <v>80.966666666666683</v>
      </c>
      <c r="CK65" s="332">
        <f>IF(Tabela24[plano/ondulado]="Montanhoso",Tabela24[Para PT&lt;],VLOOKUP(Tabela24[plano/ondulado],'HCM2000'!$B$606:$C$608,2,FALSE))</f>
        <v>1.5</v>
      </c>
      <c r="CL65" s="332">
        <f>IF(Tabela24[[#This Row],[plano/ondulado]]="Montanhoso",Tabela24[[#This Row],[Para PT&lt;]],VLOOKUP(Tabela24[[#This Row],[plano/ondulado]],'HCM2000'!$E$606:$F$608,2,FALSE))</f>
        <v>1.2</v>
      </c>
      <c r="CM65" s="433">
        <f>1/(1+(Tabela24[Pt]*(Tabela24[Et2]-1))+(Tabela24[PRv]*(Tabela24[Er2]-1)))</f>
        <v>0.76863950807071491</v>
      </c>
      <c r="CN65" s="329">
        <f>K65+IF(Tabela24[[#This Row],[Num. Faixas Marg.]]="-",0,Tabela24[[#This Row],[Num. Faixas Marg.]])</f>
        <v>4.5999999999999996</v>
      </c>
      <c r="CO65" s="331">
        <f>Tabela24[[#This Row],[Vzão]]/(Tabela24[[#This Row],[PHF]]*Tabela24[[#This Row],[N]]*Tabela24[[#This Row],[fHV]])</f>
        <v>138.7615489130435</v>
      </c>
      <c r="CP65" s="332">
        <f>IF(Tabela24[fLC]="Pista simples","-",Tabela24[vp3]/Tabela24[S])</f>
        <v>1.7138108140762882</v>
      </c>
      <c r="CQ65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65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65" s="308" t="str">
        <f>IF(Tabela24[LOS_vp3]="F","F",VLOOKUP(Tabela24[LOS_vp3],'HCM2000'!$R$655:$S$659,2))</f>
        <v>F</v>
      </c>
      <c r="CT65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65" s="425" t="str">
        <f>IF(Tabela24[[#This Row],[LOS_vp3]]="F","F",IF(Tabela24[[#This Row],[fLC]]="Pista simples","-",VLOOKUP(Tabela24[[#This Row],[LOS_D3]],'HCM2000'!$R$655:$S$659,2)))</f>
        <v>F</v>
      </c>
      <c r="CV65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65" s="381"/>
      <c r="CX65" s="381"/>
      <c r="CY65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65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65" s="22">
        <f>ABS(INDEX('HCM2000'!$E$611:$M$611,1,MATCH(Tabela24[Pt]*100,'HCM2000'!$E$611:$M$611,1))-Tabela24[Pt]*100)</f>
        <v>34</v>
      </c>
      <c r="DB65" s="22" t="e">
        <f>INDEX('HCM2000'!$E$611:$M$611,1,MATCH(Tabela24[[#This Row],[Pt]]*100,'HCM2000'!$E$611:$M$611,1)+1)-Tabela24[[#This Row],[Pt]]*100</f>
        <v>#REF!</v>
      </c>
      <c r="DC65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65" s="440"/>
      <c r="DE65" s="423" t="e">
        <f>1/(1+(Tabela24[Pt]*(Tabela24[ETsu]-1))+(Tabela24[PRv]*(Tabela24[ERsu]-1)))</f>
        <v>#N/A</v>
      </c>
      <c r="DF65" s="438" t="e">
        <f>Tabela24[Vzão]/(Tabela24[PHF]*Tabela24[N]*Tabela24[fHVsu])</f>
        <v>#N/A</v>
      </c>
      <c r="DG65" s="332" t="e">
        <f>IF(Tabela24[fLC]="Pista simples","-",Tabela24[vpsu]/Tabela24[S])</f>
        <v>#N/A</v>
      </c>
      <c r="DH65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65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65" s="425" t="str">
        <f>IF(Tabela24[[#This Row],[LOS_vp3]]="F","F",VLOOKUP(Tabela24[[#This Row],[LOS_vp3]],'HCM2000'!$R$655:$S$659,2))</f>
        <v>F</v>
      </c>
      <c r="DK65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65" s="425" t="str">
        <f>IF(Tabela24[[#This Row],[LOS_vp3]]="F","F",IF(Tabela24[[#This Row],[fLC]]="Pista simples","-",VLOOKUP(Tabela24[[#This Row],[LOS_D3]],'HCM2000'!$R$655:$S$659,2)))</f>
        <v>F</v>
      </c>
      <c r="DM65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65" s="416"/>
      <c r="DO65" s="22">
        <f>Tabela24[[#This Row],[ATS]]</f>
        <v>71.203059848484855</v>
      </c>
      <c r="DP65" s="416">
        <v>71.2</v>
      </c>
      <c r="DQ65" s="22">
        <f t="shared" si="11"/>
        <v>3.0598484848525231E-3</v>
      </c>
      <c r="DR65" s="22">
        <f>Tabela24[[#This Row],[PTSF]]</f>
        <v>64.808911494329564</v>
      </c>
      <c r="DS65" s="416">
        <v>65.5</v>
      </c>
      <c r="DT65" s="22">
        <f t="shared" si="12"/>
        <v>0.69108850567043589</v>
      </c>
      <c r="DU65" s="22"/>
      <c r="DV65" s="22">
        <v>71.203059848484855</v>
      </c>
      <c r="DW65" s="416">
        <v>71.2</v>
      </c>
      <c r="DX65" s="22">
        <v>3.0598484848525231E-3</v>
      </c>
      <c r="DY65" s="22">
        <v>74.140859005118969</v>
      </c>
      <c r="DZ65" s="416">
        <v>65.5</v>
      </c>
      <c r="EA65" s="22">
        <v>0.69108850567043589</v>
      </c>
      <c r="EB65" s="416"/>
      <c r="EC65" s="416"/>
      <c r="ED65" s="416"/>
      <c r="EE65" s="416"/>
      <c r="EF65" s="416"/>
      <c r="EG65" s="416"/>
      <c r="EH65" s="416"/>
      <c r="EI65" s="416"/>
      <c r="EJ65" s="416"/>
      <c r="EK65" s="416"/>
      <c r="EL65" s="416"/>
      <c r="EM65" s="416"/>
      <c r="EN65" s="416"/>
      <c r="EO65" s="416"/>
      <c r="EP65" s="416"/>
      <c r="EQ65" s="416"/>
      <c r="ER65" s="416"/>
      <c r="ES65" s="416"/>
      <c r="ET65" s="416"/>
      <c r="EU65" s="416"/>
      <c r="EV65" s="416"/>
      <c r="EW65" s="416"/>
      <c r="EX65" s="416"/>
      <c r="EY65" s="416"/>
      <c r="EZ65" s="416"/>
      <c r="FA65" s="416"/>
      <c r="FB65" s="416"/>
      <c r="FC65" s="416"/>
      <c r="FD65" s="416"/>
      <c r="FE65" s="416"/>
      <c r="FF65" s="416"/>
      <c r="FG65" s="416"/>
      <c r="FH65" s="416"/>
      <c r="FI65" s="416"/>
      <c r="FJ65" s="416"/>
      <c r="FK65" s="416"/>
      <c r="FL65" s="416"/>
      <c r="FM65" s="416"/>
      <c r="FR65" s="3"/>
      <c r="FS65" s="3"/>
      <c r="FV65" s="58"/>
      <c r="FW65" s="58"/>
    </row>
    <row r="66" spans="2:179">
      <c r="B66" s="386">
        <v>10</v>
      </c>
      <c r="C66" s="394"/>
      <c r="D66" s="395"/>
      <c r="E66" s="385">
        <v>24201</v>
      </c>
      <c r="F66" s="385">
        <v>24501</v>
      </c>
      <c r="G66" s="390">
        <v>300</v>
      </c>
      <c r="H66" s="386" t="s">
        <v>263</v>
      </c>
      <c r="I66" s="386" t="s">
        <v>379</v>
      </c>
      <c r="J66" s="390">
        <v>2</v>
      </c>
      <c r="K66" s="386">
        <v>4.5999999999999996</v>
      </c>
      <c r="L66" s="386" t="s">
        <v>143</v>
      </c>
      <c r="M66" s="386">
        <v>4.2</v>
      </c>
      <c r="N66" s="386">
        <v>1</v>
      </c>
      <c r="O66" s="396">
        <v>1</v>
      </c>
      <c r="P66" s="386" t="s">
        <v>366</v>
      </c>
      <c r="Q66" s="397" t="s">
        <v>144</v>
      </c>
      <c r="R66" s="419" t="s">
        <v>73</v>
      </c>
      <c r="S66" s="310">
        <v>56</v>
      </c>
      <c r="T66" s="420"/>
      <c r="U66" s="279">
        <v>24</v>
      </c>
      <c r="V66" s="323">
        <v>6473.9966140621727</v>
      </c>
      <c r="W66" s="323">
        <v>2824.5698392986178</v>
      </c>
      <c r="X66" s="420"/>
      <c r="Y66" s="398">
        <f t="shared" si="15"/>
        <v>1</v>
      </c>
      <c r="Z66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66" s="182" t="s">
        <v>644</v>
      </c>
      <c r="AB66" s="391" t="s">
        <v>654</v>
      </c>
      <c r="AC66" s="31">
        <v>3.5</v>
      </c>
      <c r="AD66" s="31">
        <v>2.5</v>
      </c>
      <c r="AE66" s="421"/>
      <c r="AF66" s="421"/>
      <c r="AG66" s="421">
        <v>0</v>
      </c>
      <c r="AH66" s="441">
        <v>0.56999999999999995</v>
      </c>
      <c r="AI66" s="25">
        <v>0.03</v>
      </c>
      <c r="AJ66" s="435">
        <v>8.7999999999999995E-2</v>
      </c>
      <c r="AK66" s="330">
        <v>775</v>
      </c>
      <c r="AL66" s="263">
        <v>0.55000000000000004</v>
      </c>
      <c r="AM66" s="414">
        <v>426.25000000000006</v>
      </c>
      <c r="AN66" s="417">
        <v>3</v>
      </c>
      <c r="AO66" s="467" t="s">
        <v>73</v>
      </c>
      <c r="AP66" s="439">
        <v>88</v>
      </c>
      <c r="AQ66" s="442">
        <v>0.38</v>
      </c>
      <c r="AR66" s="422">
        <v>0.88</v>
      </c>
      <c r="AS66" s="316"/>
      <c r="AT66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66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66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66" s="23">
        <f>1/(1+(Tabela24[[#This Row],[Pt]])*(Tabela24[[#This Row],[Et]]-1)+(Tabela24[[#This Row],[PRv]])*(Tabela24[[#This Row],[Er]]-1))</f>
        <v>0.89766606822262129</v>
      </c>
      <c r="AX66" s="423">
        <f>Tabela24[veic/h]/Tabela24[PHF]</f>
        <v>880.68181818181813</v>
      </c>
      <c r="AY66" s="423">
        <v>981.07954545454527</v>
      </c>
      <c r="AZ66" s="21">
        <f>Tabela24[veic/h]/(Tabela24[PHF]*Tabela24[fg ats]*Tabela24[fhv ats])</f>
        <v>981.07954545454527</v>
      </c>
      <c r="BA66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66" s="322" t="str">
        <f>IF(AND(Tabela24[[#This Row],[vp1]]*Tabela24[[#This Row],[distrib. direc.]]&lt;1700,Tabela24[[#This Row],[vp1]]&lt;3200),"OK!","FAIL")</f>
        <v>OK!</v>
      </c>
      <c r="BC66" s="23">
        <f>INDEX('HCM2000'!$L$68:$AF$83,MATCH(Tabela24[[#This Row],[faixa (m)]],'HCM2000'!$K$68:$K$83),MATCH(Tabela24[[#This Row],[acost (m)]],'HCM2000'!$L$67:$AF$67))</f>
        <v>0.7</v>
      </c>
      <c r="BD66" s="23">
        <f>MIN(16,(2/3)*Tabela24[[#This Row],[acessos/km]])</f>
        <v>2</v>
      </c>
      <c r="BE66" s="22">
        <f>Tabela24[BFFS]-Tabela24[fLS]-Tabela24[fA]</f>
        <v>85.3</v>
      </c>
      <c r="BF66" s="23" t="e">
        <v>#REF!</v>
      </c>
      <c r="BG66" s="463">
        <f>IFERROR(Tabela24[[#This Row],[vp1]],0)</f>
        <v>981.07954545454527</v>
      </c>
      <c r="BH66" s="463">
        <f>IFERROR(Tabela24[[#This Row],[% zonas s/ultra]],0)</f>
        <v>0.38</v>
      </c>
      <c r="BI66" s="23" t="str">
        <f t="shared" si="5"/>
        <v>FNP</v>
      </c>
      <c r="BJ66" s="23">
        <v>2.4848693181818149</v>
      </c>
      <c r="BK66" s="43">
        <f>Tabela24[FFS]-0.0125*MAX(Tabela24[[#This Row],[vp1]],Tabela24[[#This Row],[vp1'']])-Tabela24[fnp'']</f>
        <v>70.551636363636362</v>
      </c>
      <c r="BL66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66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66" s="23">
        <v>1</v>
      </c>
      <c r="BO66" s="23">
        <f>1/(1+Tabela24[[#This Row],[Pt]]*(Tabela24[[#This Row],[Et time]]-1)+Tabela24[[#This Row],[PRv]]*(Tabela24[[#This Row],[Er time]]-1))</f>
        <v>0.94607379375591305</v>
      </c>
      <c r="BP66" s="23">
        <f>Tabela24[veic/h]/Tabela24[PHF]</f>
        <v>880.68181818181813</v>
      </c>
      <c r="BQ66" s="23">
        <v>930.88068181818176</v>
      </c>
      <c r="BR66" s="438">
        <f>Tabela24[veic/h]/(Tabela24[PHF]*Tabela24[fg time]*Tabela24[fhv follow])</f>
        <v>930.88068181818176</v>
      </c>
      <c r="BS66" s="438" t="str">
        <f>IF(AND(Tabela24[[#This Row],[vp2]]*Tabela24[[#This Row],[distrib. direc.]]&lt;1700,Tabela24[[#This Row],[vp2]]&lt;3200),"OK!","FAIL")</f>
        <v>OK!</v>
      </c>
      <c r="BT66" s="23">
        <f>100*(1-EXP(-0.000879*MAX(Tabela24[[#This Row],[vp2]],Tabela24[[#This Row],[vp2'']])))</f>
        <v>55.879432071147839</v>
      </c>
      <c r="BU66" s="304" t="e">
        <v>#REF!</v>
      </c>
      <c r="BV66" s="304">
        <f>IF(TYPE(Tabela24[distrib. direc.])&lt;&gt;1,0,Tabela24[distrib. direc.])</f>
        <v>0.55000000000000004</v>
      </c>
      <c r="BW66" s="304">
        <f>IF(TYPE(Tabela24[vp2])&lt;&gt;1,0,Tabela24[vp2])</f>
        <v>930.88068181818176</v>
      </c>
      <c r="BX66" s="304">
        <f>IF(TYPE(Tabela24[% zonas s/ultra])&lt;&gt;1,0,Tabela24[% zonas s/ultra])</f>
        <v>0.38</v>
      </c>
      <c r="BY66" s="304" t="str">
        <f t="shared" si="6"/>
        <v>FDNP</v>
      </c>
      <c r="BZ66" s="31">
        <v>9.0025866477269574</v>
      </c>
      <c r="CA66" s="305">
        <f>Tabela24[BPTSF]+Tabela24[fd/np'']</f>
        <v>64.882018718874804</v>
      </c>
      <c r="CB66" s="424">
        <f>Tabela24[vp1]/3200</f>
        <v>0.30658735795454539</v>
      </c>
      <c r="CC66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66" s="332">
        <f>VLOOKUP(Tabela24[faixa (m)],'HCM2000'!$B$541:$C$547,2,TRUE)</f>
        <v>1</v>
      </c>
      <c r="CE66" s="332">
        <f>IF(Tabela24[acost (m)]&gt;0,1.8,1.2)</f>
        <v>1.8</v>
      </c>
      <c r="CF66" s="332">
        <f>IF(Tabela24[Separador]=$CB$6,$CD$6,IF(Tabela24[Separador]=$CB$7,$CD$7,$CD$8))</f>
        <v>0</v>
      </c>
      <c r="CG66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66" s="332">
        <f>IF(Tabela24[Separador]="Sinalização horizontal",'HCM2000'!$C$590,'HCM2000'!$C$591)</f>
        <v>2.6</v>
      </c>
      <c r="CI66" s="332">
        <f>MIN((2/3)*Tabela24[[#This Row],[acessos/km]],16)</f>
        <v>2</v>
      </c>
      <c r="CJ66" s="332">
        <f>IF(Tabela24[fLC]="Pista simples","-",Tabela24[BFFS]-Tabela24[fLW]-Tabela24[fLC]-Tabela24[fM]-Tabela24[fA2])</f>
        <v>80.300000000000011</v>
      </c>
      <c r="CK66" s="332">
        <f>IF(Tabela24[plano/ondulado]="Montanhoso",Tabela24[Para PT&lt;],VLOOKUP(Tabela24[plano/ondulado],'HCM2000'!$B$606:$C$608,2,FALSE))</f>
        <v>1.5</v>
      </c>
      <c r="CL66" s="332">
        <f>IF(Tabela24[[#This Row],[plano/ondulado]]="Montanhoso",Tabela24[[#This Row],[Para PT&lt;]],VLOOKUP(Tabela24[[#This Row],[plano/ondulado]],'HCM2000'!$E$606:$F$608,2,FALSE))</f>
        <v>1.2</v>
      </c>
      <c r="CM66" s="433">
        <f>1/(1+(Tabela24[Pt]*(Tabela24[Et2]-1))+(Tabela24[PRv]*(Tabela24[Er2]-1)))</f>
        <v>0.77459333849728895</v>
      </c>
      <c r="CN66" s="329">
        <f>K66+IF(Tabela24[[#This Row],[Num. Faixas Marg.]]="-",0,Tabela24[[#This Row],[Num. Faixas Marg.]])</f>
        <v>4.5999999999999996</v>
      </c>
      <c r="CO66" s="331">
        <f>Tabela24[[#This Row],[Vzão]]/(Tabela24[[#This Row],[PHF]]*Tabela24[[#This Row],[N]]*Tabela24[[#This Row],[fHV]])</f>
        <v>135.94089673913047</v>
      </c>
      <c r="CP66" s="332">
        <f>IF(Tabela24[fLC]="Pista simples","-",Tabela24[vp3]/Tabela24[S])</f>
        <v>1.6929127862905411</v>
      </c>
      <c r="CQ66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66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66" s="308" t="str">
        <f>IF(Tabela24[LOS_vp3]="F","F",VLOOKUP(Tabela24[LOS_vp3],'HCM2000'!$R$655:$S$659,2))</f>
        <v>F</v>
      </c>
      <c r="CT66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66" s="425" t="str">
        <f>IF(Tabela24[[#This Row],[LOS_vp3]]="F","F",IF(Tabela24[[#This Row],[fLC]]="Pista simples","-",VLOOKUP(Tabela24[[#This Row],[LOS_D3]],'HCM2000'!$R$655:$S$659,2)))</f>
        <v>F</v>
      </c>
      <c r="CV66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66" s="381"/>
      <c r="CX66" s="381"/>
      <c r="CY66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66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66" s="22">
        <f>ABS(INDEX('HCM2000'!$E$611:$M$611,1,MATCH(Tabela24[Pt]*100,'HCM2000'!$E$611:$M$611,1))-Tabela24[Pt]*100)</f>
        <v>31.999999999999993</v>
      </c>
      <c r="DB66" s="22" t="e">
        <f>INDEX('HCM2000'!$E$611:$M$611,1,MATCH(Tabela24[[#This Row],[Pt]]*100,'HCM2000'!$E$611:$M$611,1)+1)-Tabela24[[#This Row],[Pt]]*100</f>
        <v>#REF!</v>
      </c>
      <c r="DC66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66" s="440"/>
      <c r="DE66" s="423" t="e">
        <f>1/(1+(Tabela24[Pt]*(Tabela24[ETsu]-1))+(Tabela24[PRv]*(Tabela24[ERsu]-1)))</f>
        <v>#N/A</v>
      </c>
      <c r="DF66" s="438" t="e">
        <f>Tabela24[Vzão]/(Tabela24[PHF]*Tabela24[N]*Tabela24[fHVsu])</f>
        <v>#N/A</v>
      </c>
      <c r="DG66" s="332" t="e">
        <f>IF(Tabela24[fLC]="Pista simples","-",Tabela24[vpsu]/Tabela24[S])</f>
        <v>#N/A</v>
      </c>
      <c r="DH66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66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66" s="425" t="str">
        <f>IF(Tabela24[[#This Row],[LOS_vp3]]="F","F",VLOOKUP(Tabela24[[#This Row],[LOS_vp3]],'HCM2000'!$R$655:$S$659,2))</f>
        <v>F</v>
      </c>
      <c r="DK66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66" s="425" t="str">
        <f>IF(Tabela24[[#This Row],[LOS_vp3]]="F","F",IF(Tabela24[[#This Row],[fLC]]="Pista simples","-",VLOOKUP(Tabela24[[#This Row],[LOS_D3]],'HCM2000'!$R$655:$S$659,2)))</f>
        <v>F</v>
      </c>
      <c r="DM66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66" s="416"/>
      <c r="DO66" s="22">
        <f>Tabela24[[#This Row],[ATS]]</f>
        <v>70.551636363636362</v>
      </c>
      <c r="DP66" s="416">
        <v>70.599999999999994</v>
      </c>
      <c r="DQ66" s="22">
        <f t="shared" si="11"/>
        <v>4.8363636363632168E-2</v>
      </c>
      <c r="DR66" s="22">
        <f>Tabela24[[#This Row],[PTSF]]</f>
        <v>64.882018718874804</v>
      </c>
      <c r="DS66" s="416">
        <v>65.599999999999994</v>
      </c>
      <c r="DT66" s="22">
        <f t="shared" si="12"/>
        <v>0.71798128112519066</v>
      </c>
      <c r="DU66" s="22"/>
      <c r="DV66" s="22">
        <v>70.551636363636362</v>
      </c>
      <c r="DW66" s="416">
        <v>70.599999999999994</v>
      </c>
      <c r="DX66" s="22">
        <v>4.8363636363632168E-2</v>
      </c>
      <c r="DY66" s="22">
        <v>74.659111518773869</v>
      </c>
      <c r="DZ66" s="416">
        <v>65.599999999999994</v>
      </c>
      <c r="EA66" s="22">
        <v>0.71798128112519066</v>
      </c>
      <c r="EB66" s="416"/>
      <c r="EC66" s="416"/>
      <c r="ED66" s="416"/>
      <c r="EE66" s="416"/>
      <c r="EF66" s="416"/>
      <c r="EG66" s="416"/>
      <c r="EH66" s="416"/>
      <c r="EI66" s="416"/>
      <c r="EJ66" s="416"/>
      <c r="EK66" s="416"/>
      <c r="EL66" s="416"/>
      <c r="EM66" s="416"/>
      <c r="EN66" s="416"/>
      <c r="EO66" s="416"/>
      <c r="EP66" s="416"/>
      <c r="EQ66" s="416"/>
      <c r="ER66" s="416"/>
      <c r="ES66" s="416"/>
      <c r="ET66" s="416"/>
      <c r="EU66" s="416"/>
      <c r="EV66" s="416"/>
      <c r="EW66" s="416"/>
      <c r="EX66" s="416"/>
      <c r="EY66" s="416"/>
      <c r="EZ66" s="416"/>
      <c r="FA66" s="416"/>
      <c r="FB66" s="416"/>
      <c r="FC66" s="416"/>
      <c r="FD66" s="416"/>
      <c r="FE66" s="416"/>
      <c r="FF66" s="416"/>
      <c r="FG66" s="416"/>
      <c r="FH66" s="416"/>
      <c r="FI66" s="416"/>
      <c r="FJ66" s="416"/>
      <c r="FK66" s="416"/>
      <c r="FL66" s="416"/>
      <c r="FM66" s="416"/>
      <c r="FR66" s="3"/>
      <c r="FS66" s="3"/>
      <c r="FV66" s="58"/>
      <c r="FW66" s="58"/>
    </row>
    <row r="67" spans="2:179">
      <c r="B67" s="386">
        <v>11</v>
      </c>
      <c r="C67" s="394"/>
      <c r="D67" s="395"/>
      <c r="E67" s="385">
        <v>24201</v>
      </c>
      <c r="F67" s="385">
        <v>24501</v>
      </c>
      <c r="G67" s="390">
        <v>300</v>
      </c>
      <c r="H67" s="386" t="s">
        <v>263</v>
      </c>
      <c r="I67" s="386" t="s">
        <v>379</v>
      </c>
      <c r="J67" s="390">
        <v>2</v>
      </c>
      <c r="K67" s="386">
        <v>4.5999999999999996</v>
      </c>
      <c r="L67" s="386" t="s">
        <v>143</v>
      </c>
      <c r="M67" s="386">
        <v>4.2</v>
      </c>
      <c r="N67" s="386">
        <v>1</v>
      </c>
      <c r="O67" s="396">
        <v>1</v>
      </c>
      <c r="P67" s="386" t="s">
        <v>366</v>
      </c>
      <c r="Q67" s="397" t="s">
        <v>144</v>
      </c>
      <c r="R67" s="419" t="s">
        <v>73</v>
      </c>
      <c r="S67" s="310">
        <v>57</v>
      </c>
      <c r="T67" s="420"/>
      <c r="U67" s="279">
        <v>24</v>
      </c>
      <c r="V67" s="323">
        <v>6473.9966140621727</v>
      </c>
      <c r="W67" s="323">
        <v>2824.5698392986178</v>
      </c>
      <c r="X67" s="420"/>
      <c r="Y67" s="398">
        <f t="shared" si="15"/>
        <v>1</v>
      </c>
      <c r="Z67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67" s="182" t="s">
        <v>644</v>
      </c>
      <c r="AB67" s="391" t="s">
        <v>654</v>
      </c>
      <c r="AC67" s="31">
        <v>3.5</v>
      </c>
      <c r="AD67" s="31">
        <v>2.5</v>
      </c>
      <c r="AE67" s="421"/>
      <c r="AF67" s="421"/>
      <c r="AG67" s="421">
        <v>0</v>
      </c>
      <c r="AH67" s="441">
        <v>0.49</v>
      </c>
      <c r="AI67" s="25">
        <v>0.03</v>
      </c>
      <c r="AJ67" s="435">
        <v>8.7999999999999995E-2</v>
      </c>
      <c r="AK67" s="330">
        <v>744</v>
      </c>
      <c r="AL67" s="263">
        <v>0.55000000000000004</v>
      </c>
      <c r="AM67" s="414">
        <v>409.20000000000005</v>
      </c>
      <c r="AN67" s="417">
        <v>2</v>
      </c>
      <c r="AO67" s="467" t="s">
        <v>73</v>
      </c>
      <c r="AP67" s="439">
        <v>88</v>
      </c>
      <c r="AQ67" s="442">
        <v>0.32</v>
      </c>
      <c r="AR67" s="422">
        <v>0.88</v>
      </c>
      <c r="AS67" s="316"/>
      <c r="AT67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67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67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67" s="23">
        <f>1/(1+(Tabela24[[#This Row],[Pt]])*(Tabela24[[#This Row],[Et]]-1)+(Tabela24[[#This Row],[PRv]])*(Tabela24[[#This Row],[Er]]-1))</f>
        <v>0.91074681238615673</v>
      </c>
      <c r="AX67" s="423">
        <f>Tabela24[veic/h]/Tabela24[PHF]</f>
        <v>845.4545454545455</v>
      </c>
      <c r="AY67" s="423">
        <v>928.30909090909086</v>
      </c>
      <c r="AZ67" s="21">
        <f>Tabela24[veic/h]/(Tabela24[PHF]*Tabela24[fg ats]*Tabela24[fhv ats])</f>
        <v>928.30909090909086</v>
      </c>
      <c r="BA67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67" s="322" t="str">
        <f>IF(AND(Tabela24[[#This Row],[vp1]]*Tabela24[[#This Row],[distrib. direc.]]&lt;1700,Tabela24[[#This Row],[vp1]]&lt;3200),"OK!","FAIL")</f>
        <v>OK!</v>
      </c>
      <c r="BC67" s="23">
        <f>INDEX('HCM2000'!$L$68:$AF$83,MATCH(Tabela24[[#This Row],[faixa (m)]],'HCM2000'!$K$68:$K$83),MATCH(Tabela24[[#This Row],[acost (m)]],'HCM2000'!$L$67:$AF$67))</f>
        <v>0.7</v>
      </c>
      <c r="BD67" s="23">
        <f>MIN(16,(2/3)*Tabela24[[#This Row],[acessos/km]])</f>
        <v>1.3333333333333333</v>
      </c>
      <c r="BE67" s="22">
        <f>Tabela24[BFFS]-Tabela24[fLS]-Tabela24[fA]</f>
        <v>85.966666666666669</v>
      </c>
      <c r="BF67" s="23" t="e">
        <v>#REF!</v>
      </c>
      <c r="BG67" s="463">
        <f>IFERROR(Tabela24[[#This Row],[vp1]],0)</f>
        <v>928.30909090909086</v>
      </c>
      <c r="BH67" s="463">
        <f>IFERROR(Tabela24[[#This Row],[% zonas s/ultra]],0)</f>
        <v>0.32</v>
      </c>
      <c r="BI67" s="23" t="str">
        <f t="shared" si="5"/>
        <v>FNP</v>
      </c>
      <c r="BJ67" s="23">
        <v>2.406396363636361</v>
      </c>
      <c r="BK67" s="43">
        <f>Tabela24[FFS]-0.0125*MAX(Tabela24[[#This Row],[vp1]],Tabela24[[#This Row],[vp1'']])-Tabela24[fnp'']</f>
        <v>71.956406666666666</v>
      </c>
      <c r="BL67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67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67" s="23">
        <v>1</v>
      </c>
      <c r="BO67" s="23">
        <f>1/(1+Tabela24[[#This Row],[Pt]]*(Tabela24[[#This Row],[Et time]]-1)+Tabela24[[#This Row],[PRv]]*(Tabela24[[#This Row],[Er time]]-1))</f>
        <v>0.95328884652049573</v>
      </c>
      <c r="BP67" s="23">
        <f>Tabela24[veic/h]/Tabela24[PHF]</f>
        <v>845.4545454545455</v>
      </c>
      <c r="BQ67" s="23">
        <v>886.88181818181818</v>
      </c>
      <c r="BR67" s="438">
        <f>Tabela24[veic/h]/(Tabela24[PHF]*Tabela24[fg time]*Tabela24[fhv follow])</f>
        <v>886.88181818181818</v>
      </c>
      <c r="BS67" s="438" t="str">
        <f>IF(AND(Tabela24[[#This Row],[vp2]]*Tabela24[[#This Row],[distrib. direc.]]&lt;1700,Tabela24[[#This Row],[vp2]]&lt;3200),"OK!","FAIL")</f>
        <v>OK!</v>
      </c>
      <c r="BT67" s="23">
        <f>100*(1-EXP(-0.000879*MAX(Tabela24[[#This Row],[vp2]],Tabela24[[#This Row],[vp2'']])))</f>
        <v>54.139642731941407</v>
      </c>
      <c r="BU67" s="304" t="e">
        <v>#REF!</v>
      </c>
      <c r="BV67" s="304">
        <f>IF(TYPE(Tabela24[distrib. direc.])&lt;&gt;1,0,Tabela24[distrib. direc.])</f>
        <v>0.55000000000000004</v>
      </c>
      <c r="BW67" s="304">
        <f>IF(TYPE(Tabela24[vp2])&lt;&gt;1,0,Tabela24[vp2])</f>
        <v>886.88181818181818</v>
      </c>
      <c r="BX67" s="304">
        <f>IF(TYPE(Tabela24[% zonas s/ultra])&lt;&gt;1,0,Tabela24[% zonas s/ultra])</f>
        <v>0.32</v>
      </c>
      <c r="BY67" s="304" t="str">
        <f t="shared" si="6"/>
        <v>FDNP</v>
      </c>
      <c r="BZ67" s="31">
        <v>8.5770745454542165</v>
      </c>
      <c r="CA67" s="305">
        <f>Tabela24[BPTSF]+Tabela24[fd/np'']</f>
        <v>62.716717277395624</v>
      </c>
      <c r="CB67" s="424">
        <f>Tabela24[vp1]/3200</f>
        <v>0.2900965909090909</v>
      </c>
      <c r="CC67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67" s="332">
        <f>VLOOKUP(Tabela24[faixa (m)],'HCM2000'!$B$541:$C$547,2,TRUE)</f>
        <v>1</v>
      </c>
      <c r="CE67" s="332">
        <f>IF(Tabela24[acost (m)]&gt;0,1.8,1.2)</f>
        <v>1.8</v>
      </c>
      <c r="CF67" s="332">
        <f>IF(Tabela24[Separador]=$CB$6,$CD$6,IF(Tabela24[Separador]=$CB$7,$CD$7,$CD$8))</f>
        <v>0</v>
      </c>
      <c r="CG67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67" s="332">
        <f>IF(Tabela24[Separador]="Sinalização horizontal",'HCM2000'!$C$590,'HCM2000'!$C$591)</f>
        <v>2.6</v>
      </c>
      <c r="CI67" s="332">
        <f>MIN((2/3)*Tabela24[[#This Row],[acessos/km]],16)</f>
        <v>1.3333333333333333</v>
      </c>
      <c r="CJ67" s="332">
        <f>IF(Tabela24[fLC]="Pista simples","-",Tabela24[BFFS]-Tabela24[fLW]-Tabela24[fLC]-Tabela24[fM]-Tabela24[fA2])</f>
        <v>80.966666666666683</v>
      </c>
      <c r="CK67" s="332">
        <f>IF(Tabela24[plano/ondulado]="Montanhoso",Tabela24[Para PT&lt;],VLOOKUP(Tabela24[plano/ondulado],'HCM2000'!$B$606:$C$608,2,FALSE))</f>
        <v>1.5</v>
      </c>
      <c r="CL67" s="332">
        <f>IF(Tabela24[[#This Row],[plano/ondulado]]="Montanhoso",Tabela24[[#This Row],[Para PT&lt;]],VLOOKUP(Tabela24[[#This Row],[plano/ondulado]],'HCM2000'!$E$606:$F$608,2,FALSE))</f>
        <v>1.2</v>
      </c>
      <c r="CM67" s="433">
        <f>1/(1+(Tabela24[Pt]*(Tabela24[Et2]-1))+(Tabela24[PRv]*(Tabela24[Er2]-1)))</f>
        <v>0.7993605115907273</v>
      </c>
      <c r="CN67" s="329">
        <f>K67+IF(Tabela24[[#This Row],[Num. Faixas Marg.]]="-",0,Tabela24[[#This Row],[Num. Faixas Marg.]])</f>
        <v>4.5999999999999996</v>
      </c>
      <c r="CO67" s="331">
        <f>Tabela24[[#This Row],[Vzão]]/(Tabela24[[#This Row],[PHF]]*Tabela24[[#This Row],[N]]*Tabela24[[#This Row],[fHV]])</f>
        <v>126.45978260869568</v>
      </c>
      <c r="CP67" s="332">
        <f>IF(Tabela24[fLC]="Pista simples","-",Tabela24[vp3]/Tabela24[S])</f>
        <v>1.5618746308196252</v>
      </c>
      <c r="CQ67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67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67" s="308" t="str">
        <f>IF(Tabela24[LOS_vp3]="F","F",VLOOKUP(Tabela24[LOS_vp3],'HCM2000'!$R$655:$S$659,2))</f>
        <v>F</v>
      </c>
      <c r="CT67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67" s="425" t="str">
        <f>IF(Tabela24[[#This Row],[LOS_vp3]]="F","F",IF(Tabela24[[#This Row],[fLC]]="Pista simples","-",VLOOKUP(Tabela24[[#This Row],[LOS_D3]],'HCM2000'!$R$655:$S$659,2)))</f>
        <v>F</v>
      </c>
      <c r="CV67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67" s="381"/>
      <c r="CX67" s="381"/>
      <c r="CY67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67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67" s="22">
        <f>ABS(INDEX('HCM2000'!$E$611:$M$611,1,MATCH(Tabela24[Pt]*100,'HCM2000'!$E$611:$M$611,1))-Tabela24[Pt]*100)</f>
        <v>24</v>
      </c>
      <c r="DB67" s="22" t="e">
        <f>INDEX('HCM2000'!$E$611:$M$611,1,MATCH(Tabela24[[#This Row],[Pt]]*100,'HCM2000'!$E$611:$M$611,1)+1)-Tabela24[[#This Row],[Pt]]*100</f>
        <v>#REF!</v>
      </c>
      <c r="DC67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67" s="440"/>
      <c r="DE67" s="423" t="e">
        <f>1/(1+(Tabela24[Pt]*(Tabela24[ETsu]-1))+(Tabela24[PRv]*(Tabela24[ERsu]-1)))</f>
        <v>#N/A</v>
      </c>
      <c r="DF67" s="438" t="e">
        <f>Tabela24[Vzão]/(Tabela24[PHF]*Tabela24[N]*Tabela24[fHVsu])</f>
        <v>#N/A</v>
      </c>
      <c r="DG67" s="332" t="e">
        <f>IF(Tabela24[fLC]="Pista simples","-",Tabela24[vpsu]/Tabela24[S])</f>
        <v>#N/A</v>
      </c>
      <c r="DH67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67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67" s="425" t="str">
        <f>IF(Tabela24[[#This Row],[LOS_vp3]]="F","F",VLOOKUP(Tabela24[[#This Row],[LOS_vp3]],'HCM2000'!$R$655:$S$659,2))</f>
        <v>F</v>
      </c>
      <c r="DK67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67" s="425" t="str">
        <f>IF(Tabela24[[#This Row],[LOS_vp3]]="F","F",IF(Tabela24[[#This Row],[fLC]]="Pista simples","-",VLOOKUP(Tabela24[[#This Row],[LOS_D3]],'HCM2000'!$R$655:$S$659,2)))</f>
        <v>F</v>
      </c>
      <c r="DM67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67" s="416"/>
      <c r="DO67" s="22">
        <f>Tabela24[[#This Row],[ATS]]</f>
        <v>71.956406666666666</v>
      </c>
      <c r="DP67" s="416">
        <v>69.900000000000006</v>
      </c>
      <c r="DQ67" s="22">
        <f t="shared" si="11"/>
        <v>2.0564066666666605</v>
      </c>
      <c r="DR67" s="22">
        <f>Tabela24[[#This Row],[PTSF]]</f>
        <v>62.716717277395624</v>
      </c>
      <c r="DS67" s="416">
        <v>63.5</v>
      </c>
      <c r="DT67" s="22">
        <f t="shared" si="12"/>
        <v>0.78328272260437615</v>
      </c>
      <c r="DU67" s="22"/>
      <c r="DV67" s="22">
        <v>71.956406666666666</v>
      </c>
      <c r="DW67" s="416">
        <v>69.900000000000006</v>
      </c>
      <c r="DX67" s="22">
        <v>2.0564066666666605</v>
      </c>
      <c r="DY67" s="22">
        <v>73.413029511865673</v>
      </c>
      <c r="DZ67" s="416">
        <v>63.5</v>
      </c>
      <c r="EA67" s="22">
        <v>0.78328272260437615</v>
      </c>
      <c r="EB67" s="416"/>
      <c r="EC67" s="416"/>
      <c r="ED67" s="416"/>
      <c r="EE67" s="416"/>
      <c r="EF67" s="416"/>
      <c r="EG67" s="416"/>
      <c r="EH67" s="416"/>
      <c r="EI67" s="416"/>
      <c r="EJ67" s="416"/>
      <c r="EK67" s="416"/>
      <c r="EL67" s="416"/>
      <c r="EM67" s="416"/>
      <c r="EN67" s="416"/>
      <c r="EO67" s="416"/>
      <c r="EP67" s="416"/>
      <c r="EQ67" s="416"/>
      <c r="ER67" s="416"/>
      <c r="ES67" s="416"/>
      <c r="ET67" s="416"/>
      <c r="EU67" s="416"/>
      <c r="EV67" s="416"/>
      <c r="EW67" s="416"/>
      <c r="EX67" s="416"/>
      <c r="EY67" s="416"/>
      <c r="EZ67" s="416"/>
      <c r="FA67" s="416"/>
      <c r="FB67" s="416"/>
      <c r="FC67" s="416"/>
      <c r="FD67" s="416"/>
      <c r="FE67" s="416"/>
      <c r="FF67" s="416"/>
      <c r="FG67" s="416"/>
      <c r="FH67" s="416"/>
      <c r="FI67" s="416"/>
      <c r="FJ67" s="416"/>
      <c r="FK67" s="416"/>
      <c r="FL67" s="416"/>
      <c r="FM67" s="416"/>
      <c r="FR67" s="3"/>
      <c r="FS67" s="3"/>
      <c r="FV67" s="58"/>
      <c r="FW67" s="58"/>
    </row>
    <row r="68" spans="2:179">
      <c r="B68" s="386">
        <v>12</v>
      </c>
      <c r="C68" s="394"/>
      <c r="D68" s="395"/>
      <c r="E68" s="385">
        <v>24201</v>
      </c>
      <c r="F68" s="385">
        <v>24501</v>
      </c>
      <c r="G68" s="390">
        <v>300</v>
      </c>
      <c r="H68" s="386" t="s">
        <v>263</v>
      </c>
      <c r="I68" s="386" t="s">
        <v>379</v>
      </c>
      <c r="J68" s="390">
        <v>2</v>
      </c>
      <c r="K68" s="386">
        <v>4.5999999999999996</v>
      </c>
      <c r="L68" s="386" t="s">
        <v>143</v>
      </c>
      <c r="M68" s="386">
        <v>4.2</v>
      </c>
      <c r="N68" s="386">
        <v>1</v>
      </c>
      <c r="O68" s="396">
        <v>1</v>
      </c>
      <c r="P68" s="386" t="s">
        <v>366</v>
      </c>
      <c r="Q68" s="397" t="s">
        <v>144</v>
      </c>
      <c r="R68" s="419" t="s">
        <v>73</v>
      </c>
      <c r="S68" s="310">
        <v>58</v>
      </c>
      <c r="T68" s="420"/>
      <c r="U68" s="279">
        <v>24</v>
      </c>
      <c r="V68" s="323">
        <v>6473.9966140621727</v>
      </c>
      <c r="W68" s="323">
        <v>2824.5698392986178</v>
      </c>
      <c r="X68" s="420"/>
      <c r="Y68" s="398">
        <f t="shared" si="15"/>
        <v>1</v>
      </c>
      <c r="Z68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68" s="182" t="s">
        <v>644</v>
      </c>
      <c r="AB68" s="391" t="s">
        <v>654</v>
      </c>
      <c r="AC68" s="31">
        <v>3.5</v>
      </c>
      <c r="AD68" s="31">
        <v>2.5</v>
      </c>
      <c r="AE68" s="421"/>
      <c r="AF68" s="421"/>
      <c r="AG68" s="421">
        <v>0</v>
      </c>
      <c r="AH68" s="441">
        <v>0.47</v>
      </c>
      <c r="AI68" s="25">
        <v>0.03</v>
      </c>
      <c r="AJ68" s="435">
        <v>8.7999999999999995E-2</v>
      </c>
      <c r="AK68" s="330">
        <v>761</v>
      </c>
      <c r="AL68" s="263">
        <v>0.55000000000000004</v>
      </c>
      <c r="AM68" s="414">
        <v>418.55</v>
      </c>
      <c r="AN68" s="417">
        <v>1</v>
      </c>
      <c r="AO68" s="467" t="s">
        <v>73</v>
      </c>
      <c r="AP68" s="439">
        <v>88</v>
      </c>
      <c r="AQ68" s="442">
        <v>0.44</v>
      </c>
      <c r="AR68" s="422">
        <v>0.88</v>
      </c>
      <c r="AS68" s="316"/>
      <c r="AT68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68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68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68" s="23">
        <f>1/(1+(Tabela24[[#This Row],[Pt]])*(Tabela24[[#This Row],[Et]]-1)+(Tabela24[[#This Row],[PRv]])*(Tabela24[[#This Row],[Er]]-1))</f>
        <v>0.9140767824497259</v>
      </c>
      <c r="AX68" s="423">
        <f>Tabela24[veic/h]/Tabela24[PHF]</f>
        <v>864.77272727272725</v>
      </c>
      <c r="AY68" s="423">
        <v>946.06136363636358</v>
      </c>
      <c r="AZ68" s="21">
        <f>Tabela24[veic/h]/(Tabela24[PHF]*Tabela24[fg ats]*Tabela24[fhv ats])</f>
        <v>946.06136363636358</v>
      </c>
      <c r="BA68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68" s="322" t="str">
        <f>IF(AND(Tabela24[[#This Row],[vp1]]*Tabela24[[#This Row],[distrib. direc.]]&lt;1700,Tabela24[[#This Row],[vp1]]&lt;3200),"OK!","FAIL")</f>
        <v>OK!</v>
      </c>
      <c r="BC68" s="23">
        <f>INDEX('HCM2000'!$L$68:$AF$83,MATCH(Tabela24[[#This Row],[faixa (m)]],'HCM2000'!$K$68:$K$83),MATCH(Tabela24[[#This Row],[acost (m)]],'HCM2000'!$L$67:$AF$67))</f>
        <v>0.7</v>
      </c>
      <c r="BD68" s="23">
        <f>MIN(16,(2/3)*Tabela24[[#This Row],[acessos/km]])</f>
        <v>0.66666666666666663</v>
      </c>
      <c r="BE68" s="22">
        <f>Tabela24[BFFS]-Tabela24[fLS]-Tabela24[fA]</f>
        <v>86.633333333333326</v>
      </c>
      <c r="BF68" s="23" t="e">
        <v>#REF!</v>
      </c>
      <c r="BG68" s="463">
        <f>IFERROR(Tabela24[[#This Row],[vp1]],0)</f>
        <v>946.06136363636358</v>
      </c>
      <c r="BH68" s="463">
        <f>IFERROR(Tabela24[[#This Row],[% zonas s/ultra]],0)</f>
        <v>0.44</v>
      </c>
      <c r="BI68" s="23" t="str">
        <f t="shared" si="5"/>
        <v>FNP</v>
      </c>
      <c r="BJ68" s="23">
        <v>2.8072097727272771</v>
      </c>
      <c r="BK68" s="43">
        <f>Tabela24[FFS]-0.0125*MAX(Tabela24[[#This Row],[vp1]],Tabela24[[#This Row],[vp1'']])-Tabela24[fnp'']</f>
        <v>72.000356515151509</v>
      </c>
      <c r="BL68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68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68" s="23">
        <v>1</v>
      </c>
      <c r="BO68" s="23">
        <f>1/(1+Tabela24[[#This Row],[Pt]]*(Tabela24[[#This Row],[Et time]]-1)+Tabela24[[#This Row],[PRv]]*(Tabela24[[#This Row],[Er time]]-1))</f>
        <v>0.95510983763132751</v>
      </c>
      <c r="BP68" s="23">
        <f>Tabela24[veic/h]/Tabela24[PHF]</f>
        <v>864.77272727272725</v>
      </c>
      <c r="BQ68" s="23">
        <v>905.41704545454559</v>
      </c>
      <c r="BR68" s="438">
        <f>Tabela24[veic/h]/(Tabela24[PHF]*Tabela24[fg time]*Tabela24[fhv follow])</f>
        <v>905.41704545454559</v>
      </c>
      <c r="BS68" s="438" t="str">
        <f>IF(AND(Tabela24[[#This Row],[vp2]]*Tabela24[[#This Row],[distrib. direc.]]&lt;1700,Tabela24[[#This Row],[vp2]]&lt;3200),"OK!","FAIL")</f>
        <v>OK!</v>
      </c>
      <c r="BT68" s="23">
        <f>100*(1-EXP(-0.000879*MAX(Tabela24[[#This Row],[vp2]],Tabela24[[#This Row],[vp2'']])))</f>
        <v>54.880767221007353</v>
      </c>
      <c r="BU68" s="304" t="e">
        <v>#REF!</v>
      </c>
      <c r="BV68" s="304">
        <f>IF(TYPE(Tabela24[distrib. direc.])&lt;&gt;1,0,Tabela24[distrib. direc.])</f>
        <v>0.55000000000000004</v>
      </c>
      <c r="BW68" s="304">
        <f>IF(TYPE(Tabela24[vp2])&lt;&gt;1,0,Tabela24[vp2])</f>
        <v>905.41704545454559</v>
      </c>
      <c r="BX68" s="304">
        <f>IF(TYPE(Tabela24[% zonas s/ultra])&lt;&gt;1,0,Tabela24[% zonas s/ultra])</f>
        <v>0.44</v>
      </c>
      <c r="BY68" s="304" t="str">
        <f t="shared" si="6"/>
        <v>FDNP</v>
      </c>
      <c r="BZ68" s="31">
        <v>9.9544968181825784</v>
      </c>
      <c r="CA68" s="305">
        <f>Tabela24[BPTSF]+Tabela24[fd/np'']</f>
        <v>64.835264039189937</v>
      </c>
      <c r="CB68" s="424">
        <f>Tabela24[vp1]/3200</f>
        <v>0.29564417613636362</v>
      </c>
      <c r="CC68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68" s="332">
        <f>VLOOKUP(Tabela24[faixa (m)],'HCM2000'!$B$541:$C$547,2,TRUE)</f>
        <v>1</v>
      </c>
      <c r="CE68" s="332">
        <f>IF(Tabela24[acost (m)]&gt;0,1.8,1.2)</f>
        <v>1.8</v>
      </c>
      <c r="CF68" s="332">
        <f>IF(Tabela24[Separador]=$CB$6,$CD$6,IF(Tabela24[Separador]=$CB$7,$CD$7,$CD$8))</f>
        <v>0</v>
      </c>
      <c r="CG68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68" s="332">
        <f>IF(Tabela24[Separador]="Sinalização horizontal",'HCM2000'!$C$590,'HCM2000'!$C$591)</f>
        <v>2.6</v>
      </c>
      <c r="CI68" s="332">
        <f>MIN((2/3)*Tabela24[[#This Row],[acessos/km]],16)</f>
        <v>0.66666666666666663</v>
      </c>
      <c r="CJ68" s="332">
        <f>IF(Tabela24[fLC]="Pista simples","-",Tabela24[BFFS]-Tabela24[fLW]-Tabela24[fLC]-Tabela24[fM]-Tabela24[fA2])</f>
        <v>81.63333333333334</v>
      </c>
      <c r="CK68" s="332">
        <f>IF(Tabela24[plano/ondulado]="Montanhoso",Tabela24[Para PT&lt;],VLOOKUP(Tabela24[plano/ondulado],'HCM2000'!$B$606:$C$608,2,FALSE))</f>
        <v>1.5</v>
      </c>
      <c r="CL68" s="332">
        <f>IF(Tabela24[[#This Row],[plano/ondulado]]="Montanhoso",Tabela24[[#This Row],[Para PT&lt;]],VLOOKUP(Tabela24[[#This Row],[plano/ondulado]],'HCM2000'!$E$606:$F$608,2,FALSE))</f>
        <v>1.2</v>
      </c>
      <c r="CM68" s="433">
        <f>1/(1+(Tabela24[Pt]*(Tabela24[Et2]-1))+(Tabela24[PRv]*(Tabela24[Er2]-1)))</f>
        <v>0.80580177276390019</v>
      </c>
      <c r="CN68" s="329">
        <f>K68+IF(Tabela24[[#This Row],[Num. Faixas Marg.]]="-",0,Tabela24[[#This Row],[Num. Faixas Marg.]])</f>
        <v>4.5999999999999996</v>
      </c>
      <c r="CO68" s="331">
        <f>Tabela24[[#This Row],[Vzão]]/(Tabela24[[#This Row],[PHF]]*Tabela24[[#This Row],[N]]*Tabela24[[#This Row],[fHV]])</f>
        <v>128.31535326086956</v>
      </c>
      <c r="CP68" s="332">
        <f>IF(Tabela24[fLC]="Pista simples","-",Tabela24[vp3]/Tabela24[S])</f>
        <v>1.5718499786958295</v>
      </c>
      <c r="CQ68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81.63333333333334</v>
      </c>
      <c r="CR68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68" s="308" t="str">
        <f>IF(Tabela24[LOS_vp3]="F","F",VLOOKUP(Tabela24[LOS_vp3],'HCM2000'!$R$655:$S$659,2))</f>
        <v>F</v>
      </c>
      <c r="CT68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68" s="425" t="str">
        <f>IF(Tabela24[[#This Row],[LOS_vp3]]="F","F",IF(Tabela24[[#This Row],[fLC]]="Pista simples","-",VLOOKUP(Tabela24[[#This Row],[LOS_D3]],'HCM2000'!$R$655:$S$659,2)))</f>
        <v>F</v>
      </c>
      <c r="CV68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68" s="381"/>
      <c r="CX68" s="381"/>
      <c r="CY68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68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68" s="22">
        <f>ABS(INDEX('HCM2000'!$E$611:$M$611,1,MATCH(Tabela24[Pt]*100,'HCM2000'!$E$611:$M$611,1))-Tabela24[Pt]*100)</f>
        <v>22</v>
      </c>
      <c r="DB68" s="22" t="e">
        <f>INDEX('HCM2000'!$E$611:$M$611,1,MATCH(Tabela24[[#This Row],[Pt]]*100,'HCM2000'!$E$611:$M$611,1)+1)-Tabela24[[#This Row],[Pt]]*100</f>
        <v>#REF!</v>
      </c>
      <c r="DC68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68" s="440"/>
      <c r="DE68" s="423" t="e">
        <f>1/(1+(Tabela24[Pt]*(Tabela24[ETsu]-1))+(Tabela24[PRv]*(Tabela24[ERsu]-1)))</f>
        <v>#N/A</v>
      </c>
      <c r="DF68" s="438" t="e">
        <f>Tabela24[Vzão]/(Tabela24[PHF]*Tabela24[N]*Tabela24[fHVsu])</f>
        <v>#N/A</v>
      </c>
      <c r="DG68" s="332" t="e">
        <f>IF(Tabela24[fLC]="Pista simples","-",Tabela24[vpsu]/Tabela24[S])</f>
        <v>#N/A</v>
      </c>
      <c r="DH68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68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68" s="425" t="str">
        <f>IF(Tabela24[[#This Row],[LOS_vp3]]="F","F",VLOOKUP(Tabela24[[#This Row],[LOS_vp3]],'HCM2000'!$R$655:$S$659,2))</f>
        <v>F</v>
      </c>
      <c r="DK68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68" s="425" t="str">
        <f>IF(Tabela24[[#This Row],[LOS_vp3]]="F","F",IF(Tabela24[[#This Row],[fLC]]="Pista simples","-",VLOOKUP(Tabela24[[#This Row],[LOS_D3]],'HCM2000'!$R$655:$S$659,2)))</f>
        <v>F</v>
      </c>
      <c r="DM68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68" s="416"/>
      <c r="DO68" s="22">
        <f>Tabela24[[#This Row],[ATS]]</f>
        <v>72.000356515151509</v>
      </c>
      <c r="DP68" s="416">
        <v>72</v>
      </c>
      <c r="DQ68" s="22">
        <f t="shared" si="11"/>
        <v>3.5651515150902924E-4</v>
      </c>
      <c r="DR68" s="22">
        <f>Tabela24[[#This Row],[PTSF]]</f>
        <v>64.835264039189937</v>
      </c>
      <c r="DS68" s="416">
        <v>65.599999999999994</v>
      </c>
      <c r="DT68" s="22">
        <f t="shared" si="12"/>
        <v>0.76473596081005724</v>
      </c>
      <c r="DU68" s="22"/>
      <c r="DV68" s="22">
        <v>72.000356515151509</v>
      </c>
      <c r="DW68" s="416">
        <v>72</v>
      </c>
      <c r="DX68" s="22">
        <v>3.5651515150902924E-4</v>
      </c>
      <c r="DY68" s="22">
        <v>75.570231571727945</v>
      </c>
      <c r="DZ68" s="416">
        <v>65.599999999999994</v>
      </c>
      <c r="EA68" s="22">
        <v>0.76473596081005724</v>
      </c>
      <c r="EB68" s="416"/>
      <c r="EC68" s="416"/>
      <c r="ED68" s="416"/>
      <c r="EE68" s="416"/>
      <c r="EF68" s="416"/>
      <c r="EG68" s="416"/>
      <c r="EH68" s="416"/>
      <c r="EI68" s="416"/>
      <c r="EJ68" s="416"/>
      <c r="EK68" s="416"/>
      <c r="EL68" s="416"/>
      <c r="EM68" s="416"/>
      <c r="EN68" s="416"/>
      <c r="EO68" s="416"/>
      <c r="EP68" s="416"/>
      <c r="EQ68" s="416"/>
      <c r="ER68" s="416"/>
      <c r="ES68" s="416"/>
      <c r="ET68" s="416"/>
      <c r="EU68" s="416"/>
      <c r="EV68" s="416"/>
      <c r="EW68" s="416"/>
      <c r="EX68" s="416"/>
      <c r="EY68" s="416"/>
      <c r="EZ68" s="416"/>
      <c r="FA68" s="416"/>
      <c r="FB68" s="416"/>
      <c r="FC68" s="416"/>
      <c r="FD68" s="416"/>
      <c r="FE68" s="416"/>
      <c r="FF68" s="416"/>
      <c r="FG68" s="416"/>
      <c r="FH68" s="416"/>
      <c r="FI68" s="416"/>
      <c r="FJ68" s="416"/>
      <c r="FK68" s="416"/>
      <c r="FL68" s="416"/>
      <c r="FM68" s="416"/>
      <c r="FR68" s="3"/>
      <c r="FS68" s="3"/>
      <c r="FV68" s="58"/>
      <c r="FW68" s="58"/>
    </row>
    <row r="69" spans="2:179">
      <c r="B69" s="386">
        <v>13</v>
      </c>
      <c r="C69" s="394"/>
      <c r="D69" s="395"/>
      <c r="E69" s="385">
        <v>24201</v>
      </c>
      <c r="F69" s="385">
        <v>24501</v>
      </c>
      <c r="G69" s="390">
        <v>300</v>
      </c>
      <c r="H69" s="386" t="s">
        <v>263</v>
      </c>
      <c r="I69" s="386" t="s">
        <v>379</v>
      </c>
      <c r="J69" s="390">
        <v>2</v>
      </c>
      <c r="K69" s="386">
        <v>4.5999999999999996</v>
      </c>
      <c r="L69" s="386" t="s">
        <v>143</v>
      </c>
      <c r="M69" s="386">
        <v>4.2</v>
      </c>
      <c r="N69" s="386">
        <v>1</v>
      </c>
      <c r="O69" s="396">
        <v>1</v>
      </c>
      <c r="P69" s="386" t="s">
        <v>366</v>
      </c>
      <c r="Q69" s="397" t="s">
        <v>144</v>
      </c>
      <c r="R69" s="419" t="s">
        <v>73</v>
      </c>
      <c r="S69" s="310">
        <v>59</v>
      </c>
      <c r="T69" s="420"/>
      <c r="U69" s="279">
        <v>24</v>
      </c>
      <c r="V69" s="323">
        <v>6473.9966140621727</v>
      </c>
      <c r="W69" s="323">
        <v>2824.5698392986178</v>
      </c>
      <c r="X69" s="420"/>
      <c r="Y69" s="398">
        <f t="shared" si="15"/>
        <v>1</v>
      </c>
      <c r="Z69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69" s="182" t="s">
        <v>644</v>
      </c>
      <c r="AB69" s="391" t="s">
        <v>654</v>
      </c>
      <c r="AC69" s="31">
        <v>3.5</v>
      </c>
      <c r="AD69" s="31">
        <v>2.5</v>
      </c>
      <c r="AE69" s="421"/>
      <c r="AF69" s="421"/>
      <c r="AG69" s="421">
        <v>0</v>
      </c>
      <c r="AH69" s="441">
        <v>0.55000000000000004</v>
      </c>
      <c r="AI69" s="25">
        <v>0.03</v>
      </c>
      <c r="AJ69" s="435">
        <v>8.7999999999999995E-2</v>
      </c>
      <c r="AK69" s="330">
        <v>752</v>
      </c>
      <c r="AL69" s="263">
        <v>0.55000000000000004</v>
      </c>
      <c r="AM69" s="414">
        <v>413.6</v>
      </c>
      <c r="AN69" s="417">
        <v>2</v>
      </c>
      <c r="AO69" s="467" t="s">
        <v>73</v>
      </c>
      <c r="AP69" s="439">
        <v>88</v>
      </c>
      <c r="AQ69" s="442">
        <v>0.45</v>
      </c>
      <c r="AR69" s="422">
        <v>0.88</v>
      </c>
      <c r="AS69" s="316"/>
      <c r="AT69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69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69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69" s="23">
        <f>1/(1+(Tabela24[[#This Row],[Pt]])*(Tabela24[[#This Row],[Et]]-1)+(Tabela24[[#This Row],[PRv]])*(Tabela24[[#This Row],[Er]]-1))</f>
        <v>0.90090090090090102</v>
      </c>
      <c r="AX69" s="423">
        <f>Tabela24[veic/h]/Tabela24[PHF]</f>
        <v>854.5454545454545</v>
      </c>
      <c r="AY69" s="423">
        <v>948.54545454545439</v>
      </c>
      <c r="AZ69" s="21">
        <f>Tabela24[veic/h]/(Tabela24[PHF]*Tabela24[fg ats]*Tabela24[fhv ats])</f>
        <v>948.54545454545439</v>
      </c>
      <c r="BA69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69" s="322" t="str">
        <f>IF(AND(Tabela24[[#This Row],[vp1]]*Tabela24[[#This Row],[distrib. direc.]]&lt;1700,Tabela24[[#This Row],[vp1]]&lt;3200),"OK!","FAIL")</f>
        <v>OK!</v>
      </c>
      <c r="BC69" s="23">
        <f>INDEX('HCM2000'!$L$68:$AF$83,MATCH(Tabela24[[#This Row],[faixa (m)]],'HCM2000'!$K$68:$K$83),MATCH(Tabela24[[#This Row],[acost (m)]],'HCM2000'!$L$67:$AF$67))</f>
        <v>0.7</v>
      </c>
      <c r="BD69" s="23">
        <f>MIN(16,(2/3)*Tabela24[[#This Row],[acessos/km]])</f>
        <v>1.3333333333333333</v>
      </c>
      <c r="BE69" s="22">
        <f>Tabela24[BFFS]-Tabela24[fLS]-Tabela24[fA]</f>
        <v>85.966666666666669</v>
      </c>
      <c r="BF69" s="23" t="e">
        <v>#REF!</v>
      </c>
      <c r="BG69" s="463">
        <f>IFERROR(Tabela24[[#This Row],[vp1]],0)</f>
        <v>948.54545454545439</v>
      </c>
      <c r="BH69" s="463">
        <f>IFERROR(Tabela24[[#This Row],[% zonas s/ultra]],0)</f>
        <v>0.45</v>
      </c>
      <c r="BI69" s="23" t="str">
        <f t="shared" si="5"/>
        <v>FNP</v>
      </c>
      <c r="BJ69" s="23">
        <v>2.8357954545454591</v>
      </c>
      <c r="BK69" s="43">
        <f>Tabela24[FFS]-0.0125*MAX(Tabela24[[#This Row],[vp1]],Tabela24[[#This Row],[vp1'']])-Tabela24[fnp'']</f>
        <v>71.274053030303023</v>
      </c>
      <c r="BL69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69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69" s="23">
        <v>1</v>
      </c>
      <c r="BO69" s="23">
        <f>1/(1+Tabela24[[#This Row],[Pt]]*(Tabela24[[#This Row],[Et time]]-1)+Tabela24[[#This Row],[PRv]]*(Tabela24[[#This Row],[Er time]]-1))</f>
        <v>0.94786729857819896</v>
      </c>
      <c r="BP69" s="23">
        <f>Tabela24[veic/h]/Tabela24[PHF]</f>
        <v>854.5454545454545</v>
      </c>
      <c r="BQ69" s="23">
        <v>901.54545454545462</v>
      </c>
      <c r="BR69" s="438">
        <f>Tabela24[veic/h]/(Tabela24[PHF]*Tabela24[fg time]*Tabela24[fhv follow])</f>
        <v>901.54545454545462</v>
      </c>
      <c r="BS69" s="438" t="str">
        <f>IF(AND(Tabela24[[#This Row],[vp2]]*Tabela24[[#This Row],[distrib. direc.]]&lt;1700,Tabela24[[#This Row],[vp2]]&lt;3200),"OK!","FAIL")</f>
        <v>OK!</v>
      </c>
      <c r="BT69" s="23">
        <f>100*(1-EXP(-0.000879*MAX(Tabela24[[#This Row],[vp2]],Tabela24[[#This Row],[vp2'']])))</f>
        <v>54.72695911220972</v>
      </c>
      <c r="BU69" s="304" t="e">
        <v>#REF!</v>
      </c>
      <c r="BV69" s="304">
        <f>IF(TYPE(Tabela24[distrib. direc.])&lt;&gt;1,0,Tabela24[distrib. direc.])</f>
        <v>0.55000000000000004</v>
      </c>
      <c r="BW69" s="304">
        <f>IF(TYPE(Tabela24[vp2])&lt;&gt;1,0,Tabela24[vp2])</f>
        <v>901.54545454545462</v>
      </c>
      <c r="BX69" s="304">
        <f>IF(TYPE(Tabela24[% zonas s/ultra])&lt;&gt;1,0,Tabela24[% zonas s/ultra])</f>
        <v>0.45</v>
      </c>
      <c r="BY69" s="304" t="str">
        <f t="shared" si="6"/>
        <v>FDNP</v>
      </c>
      <c r="BZ69" s="31">
        <v>10.111863636364397</v>
      </c>
      <c r="CA69" s="305">
        <f>Tabela24[BPTSF]+Tabela24[fd/np'']</f>
        <v>64.838822748574117</v>
      </c>
      <c r="CB69" s="424">
        <f>Tabela24[vp1]/3200</f>
        <v>0.29642045454545451</v>
      </c>
      <c r="CC69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69" s="332">
        <f>VLOOKUP(Tabela24[faixa (m)],'HCM2000'!$B$541:$C$547,2,TRUE)</f>
        <v>1</v>
      </c>
      <c r="CE69" s="332">
        <f>IF(Tabela24[acost (m)]&gt;0,1.8,1.2)</f>
        <v>1.8</v>
      </c>
      <c r="CF69" s="332">
        <f>IF(Tabela24[Separador]=$CB$6,$CD$6,IF(Tabela24[Separador]=$CB$7,$CD$7,$CD$8))</f>
        <v>0</v>
      </c>
      <c r="CG69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69" s="332">
        <f>IF(Tabela24[Separador]="Sinalização horizontal",'HCM2000'!$C$590,'HCM2000'!$C$591)</f>
        <v>2.6</v>
      </c>
      <c r="CI69" s="332">
        <f>MIN((2/3)*Tabela24[[#This Row],[acessos/km]],16)</f>
        <v>1.3333333333333333</v>
      </c>
      <c r="CJ69" s="332">
        <f>IF(Tabela24[fLC]="Pista simples","-",Tabela24[BFFS]-Tabela24[fLW]-Tabela24[fLC]-Tabela24[fM]-Tabela24[fA2])</f>
        <v>80.966666666666683</v>
      </c>
      <c r="CK69" s="332">
        <f>IF(Tabela24[plano/ondulado]="Montanhoso",Tabela24[Para PT&lt;],VLOOKUP(Tabela24[plano/ondulado],'HCM2000'!$B$606:$C$608,2,FALSE))</f>
        <v>1.5</v>
      </c>
      <c r="CL69" s="332">
        <f>IF(Tabela24[[#This Row],[plano/ondulado]]="Montanhoso",Tabela24[[#This Row],[Para PT&lt;]],VLOOKUP(Tabela24[[#This Row],[plano/ondulado]],'HCM2000'!$E$606:$F$608,2,FALSE))</f>
        <v>1.2</v>
      </c>
      <c r="CM69" s="433">
        <f>1/(1+(Tabela24[Pt]*(Tabela24[Et2]-1))+(Tabela24[PRv]*(Tabela24[Er2]-1)))</f>
        <v>0.78064012490242007</v>
      </c>
      <c r="CN69" s="329">
        <f>K69+IF(Tabela24[[#This Row],[Num. Faixas Marg.]]="-",0,Tabela24[[#This Row],[Num. Faixas Marg.]])</f>
        <v>4.5999999999999996</v>
      </c>
      <c r="CO69" s="331">
        <f>Tabela24[[#This Row],[Vzão]]/(Tabela24[[#This Row],[PHF]]*Tabela24[[#This Row],[N]]*Tabela24[[#This Row],[fHV]])</f>
        <v>130.88478260869564</v>
      </c>
      <c r="CP69" s="332">
        <f>IF(Tabela24[fLC]="Pista simples","-",Tabela24[vp3]/Tabela24[S])</f>
        <v>1.6165267510337047</v>
      </c>
      <c r="CQ69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69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69" s="308" t="str">
        <f>IF(Tabela24[LOS_vp3]="F","F",VLOOKUP(Tabela24[LOS_vp3],'HCM2000'!$R$655:$S$659,2))</f>
        <v>F</v>
      </c>
      <c r="CT69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69" s="425" t="str">
        <f>IF(Tabela24[[#This Row],[LOS_vp3]]="F","F",IF(Tabela24[[#This Row],[fLC]]="Pista simples","-",VLOOKUP(Tabela24[[#This Row],[LOS_D3]],'HCM2000'!$R$655:$S$659,2)))</f>
        <v>F</v>
      </c>
      <c r="CV69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69" s="381"/>
      <c r="CX69" s="381"/>
      <c r="CY69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69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69" s="22">
        <f>ABS(INDEX('HCM2000'!$E$611:$M$611,1,MATCH(Tabela24[Pt]*100,'HCM2000'!$E$611:$M$611,1))-Tabela24[Pt]*100)</f>
        <v>30.000000000000007</v>
      </c>
      <c r="DB69" s="22" t="e">
        <f>INDEX('HCM2000'!$E$611:$M$611,1,MATCH(Tabela24[[#This Row],[Pt]]*100,'HCM2000'!$E$611:$M$611,1)+1)-Tabela24[[#This Row],[Pt]]*100</f>
        <v>#REF!</v>
      </c>
      <c r="DC69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69" s="440"/>
      <c r="DE69" s="423" t="e">
        <f>1/(1+(Tabela24[Pt]*(Tabela24[ETsu]-1))+(Tabela24[PRv]*(Tabela24[ERsu]-1)))</f>
        <v>#N/A</v>
      </c>
      <c r="DF69" s="438" t="e">
        <f>Tabela24[Vzão]/(Tabela24[PHF]*Tabela24[N]*Tabela24[fHVsu])</f>
        <v>#N/A</v>
      </c>
      <c r="DG69" s="332" t="e">
        <f>IF(Tabela24[fLC]="Pista simples","-",Tabela24[vpsu]/Tabela24[S])</f>
        <v>#N/A</v>
      </c>
      <c r="DH69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69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69" s="425" t="str">
        <f>IF(Tabela24[[#This Row],[LOS_vp3]]="F","F",VLOOKUP(Tabela24[[#This Row],[LOS_vp3]],'HCM2000'!$R$655:$S$659,2))</f>
        <v>F</v>
      </c>
      <c r="DK69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69" s="425" t="str">
        <f>IF(Tabela24[[#This Row],[LOS_vp3]]="F","F",IF(Tabela24[[#This Row],[fLC]]="Pista simples","-",VLOOKUP(Tabela24[[#This Row],[LOS_D3]],'HCM2000'!$R$655:$S$659,2)))</f>
        <v>F</v>
      </c>
      <c r="DM69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69" s="416"/>
      <c r="DO69" s="22">
        <f>Tabela24[[#This Row],[ATS]]</f>
        <v>71.274053030303023</v>
      </c>
      <c r="DP69" s="416">
        <v>71.3</v>
      </c>
      <c r="DQ69" s="22">
        <f t="shared" si="11"/>
        <v>2.594696969697452E-2</v>
      </c>
      <c r="DR69" s="22">
        <f>Tabela24[[#This Row],[PTSF]]</f>
        <v>64.838822748574117</v>
      </c>
      <c r="DS69" s="416">
        <v>65.599999999999994</v>
      </c>
      <c r="DT69" s="22">
        <f t="shared" si="12"/>
        <v>0.76117725142587744</v>
      </c>
      <c r="DU69" s="22"/>
      <c r="DV69" s="22">
        <v>71.274053030303023</v>
      </c>
      <c r="DW69" s="416">
        <v>71.3</v>
      </c>
      <c r="DX69" s="22">
        <v>2.594696969697452E-2</v>
      </c>
      <c r="DY69" s="22">
        <v>75.962103436374946</v>
      </c>
      <c r="DZ69" s="416">
        <v>65.599999999999994</v>
      </c>
      <c r="EA69" s="22">
        <v>0.76117725142587744</v>
      </c>
      <c r="EB69" s="416"/>
      <c r="EC69" s="416"/>
      <c r="ED69" s="416"/>
      <c r="EE69" s="416"/>
      <c r="EF69" s="416"/>
      <c r="EG69" s="416"/>
      <c r="EH69" s="416"/>
      <c r="EI69" s="416"/>
      <c r="EJ69" s="416"/>
      <c r="EK69" s="416"/>
      <c r="EL69" s="416"/>
      <c r="EM69" s="416"/>
      <c r="EN69" s="416"/>
      <c r="EO69" s="416"/>
      <c r="EP69" s="416"/>
      <c r="EQ69" s="416"/>
      <c r="ER69" s="416"/>
      <c r="ES69" s="416"/>
      <c r="ET69" s="416"/>
      <c r="EU69" s="416"/>
      <c r="EV69" s="416"/>
      <c r="EW69" s="416"/>
      <c r="EX69" s="416"/>
      <c r="EY69" s="416"/>
      <c r="EZ69" s="416"/>
      <c r="FA69" s="416"/>
      <c r="FB69" s="416"/>
      <c r="FC69" s="416"/>
      <c r="FD69" s="416"/>
      <c r="FE69" s="416"/>
      <c r="FF69" s="416"/>
      <c r="FG69" s="416"/>
      <c r="FH69" s="416"/>
      <c r="FI69" s="416"/>
      <c r="FJ69" s="416"/>
      <c r="FK69" s="416"/>
      <c r="FL69" s="416"/>
      <c r="FM69" s="416"/>
      <c r="FR69" s="3"/>
      <c r="FS69" s="3"/>
      <c r="FV69" s="58"/>
      <c r="FW69" s="58"/>
    </row>
    <row r="70" spans="2:179">
      <c r="B70" s="386" t="s">
        <v>645</v>
      </c>
      <c r="C70" s="394"/>
      <c r="D70" s="395"/>
      <c r="E70" s="385">
        <v>24201</v>
      </c>
      <c r="F70" s="385">
        <v>24501</v>
      </c>
      <c r="G70" s="390">
        <v>300</v>
      </c>
      <c r="H70" s="386" t="s">
        <v>263</v>
      </c>
      <c r="I70" s="386" t="s">
        <v>379</v>
      </c>
      <c r="J70" s="390">
        <v>2</v>
      </c>
      <c r="K70" s="386">
        <v>4.5999999999999996</v>
      </c>
      <c r="L70" s="386" t="s">
        <v>143</v>
      </c>
      <c r="M70" s="386">
        <v>4.2</v>
      </c>
      <c r="N70" s="386">
        <v>1</v>
      </c>
      <c r="O70" s="396">
        <v>1</v>
      </c>
      <c r="P70" s="386" t="s">
        <v>366</v>
      </c>
      <c r="Q70" s="397" t="s">
        <v>144</v>
      </c>
      <c r="R70" s="419" t="s">
        <v>73</v>
      </c>
      <c r="S70" s="310">
        <v>60</v>
      </c>
      <c r="T70" s="420"/>
      <c r="U70" s="279">
        <v>24</v>
      </c>
      <c r="V70" s="323">
        <v>6473.9966140621727</v>
      </c>
      <c r="W70" s="323">
        <v>2824.5698392986178</v>
      </c>
      <c r="X70" s="420"/>
      <c r="Y70" s="398">
        <f t="shared" si="15"/>
        <v>1</v>
      </c>
      <c r="Z70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70" s="182" t="s">
        <v>644</v>
      </c>
      <c r="AB70" s="391" t="s">
        <v>654</v>
      </c>
      <c r="AC70" s="31" t="s">
        <v>645</v>
      </c>
      <c r="AD70" s="31" t="s">
        <v>645</v>
      </c>
      <c r="AE70" s="421"/>
      <c r="AF70" s="421"/>
      <c r="AG70" s="421">
        <v>0</v>
      </c>
      <c r="AH70" s="441" t="e">
        <v>#VALUE!</v>
      </c>
      <c r="AI70" s="25" t="e">
        <v>#VALUE!</v>
      </c>
      <c r="AJ70" s="435">
        <v>8.7999999999999995E-2</v>
      </c>
      <c r="AK70" s="330" t="s">
        <v>645</v>
      </c>
      <c r="AL70" s="263">
        <v>0.55000000000000004</v>
      </c>
      <c r="AM70" s="414" t="e">
        <v>#VALUE!</v>
      </c>
      <c r="AN70" s="417" t="s">
        <v>645</v>
      </c>
      <c r="AO70" s="467" t="s">
        <v>73</v>
      </c>
      <c r="AP70" s="439" t="s">
        <v>645</v>
      </c>
      <c r="AQ70" s="442" t="e">
        <v>#VALUE!</v>
      </c>
      <c r="AR70" s="422" t="s">
        <v>645</v>
      </c>
      <c r="AS70" s="316"/>
      <c r="AT70" s="412" t="e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#VALUE!</v>
      </c>
      <c r="AU70" s="23" t="e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#VALUE!</v>
      </c>
      <c r="AV70" s="23" t="e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#VALUE!</v>
      </c>
      <c r="AW70" s="23" t="e">
        <f>1/(1+(Tabela24[[#This Row],[Pt]])*(Tabela24[[#This Row],[Et]]-1)+(Tabela24[[#This Row],[PRv]])*(Tabela24[[#This Row],[Er]]-1))</f>
        <v>#VALUE!</v>
      </c>
      <c r="AX70" s="423" t="e">
        <f>Tabela24[veic/h]/Tabela24[PHF]</f>
        <v>#VALUE!</v>
      </c>
      <c r="AY70" s="423" t="e">
        <v>#VALUE!</v>
      </c>
      <c r="AZ70" s="21" t="e">
        <f>Tabela24[veic/h]/(Tabela24[PHF]*Tabela24[fg ats]*Tabela24[fhv ats])</f>
        <v>#VALUE!</v>
      </c>
      <c r="BA70" s="322" t="e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#VALUE!</v>
      </c>
      <c r="BB70" s="322" t="e">
        <f>IF(AND(Tabela24[[#This Row],[vp1]]*Tabela24[[#This Row],[distrib. direc.]]&lt;1700,Tabela24[[#This Row],[vp1]]&lt;3200),"OK!","FAIL")</f>
        <v>#VALUE!</v>
      </c>
      <c r="BC70" s="23" t="e">
        <f>INDEX('HCM2000'!$L$68:$AF$83,MATCH(Tabela24[[#This Row],[faixa (m)]],'HCM2000'!$K$68:$K$83),MATCH(Tabela24[[#This Row],[acost (m)]],'HCM2000'!$L$67:$AF$67))</f>
        <v>#N/A</v>
      </c>
      <c r="BD70" s="23" t="e">
        <f>MIN(16,(2/3)*Tabela24[[#This Row],[acessos/km]])</f>
        <v>#VALUE!</v>
      </c>
      <c r="BE70" s="22" t="e">
        <f>Tabela24[BFFS]-Tabela24[fLS]-Tabela24[fA]</f>
        <v>#VALUE!</v>
      </c>
      <c r="BF70" s="23" t="e">
        <v>#REF!</v>
      </c>
      <c r="BG70" s="463">
        <f>IFERROR(Tabela24[[#This Row],[vp1]],0)</f>
        <v>0</v>
      </c>
      <c r="BH70" s="463">
        <f>IFERROR(Tabela24[[#This Row],[% zonas s/ultra]],0)</f>
        <v>0</v>
      </c>
      <c r="BI70" s="23" t="str">
        <f t="shared" si="5"/>
        <v>FNP</v>
      </c>
      <c r="BJ70" s="23">
        <v>0</v>
      </c>
      <c r="BK70" s="43" t="e">
        <f>Tabela24[FFS]-0.0125*MAX(Tabela24[[#This Row],[vp1]],Tabela24[[#This Row],[vp1'']])-Tabela24[fnp'']</f>
        <v>#VALUE!</v>
      </c>
      <c r="BL70" s="412" t="e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#VALUE!</v>
      </c>
      <c r="BM70" s="23" t="e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#VALUE!</v>
      </c>
      <c r="BN70" s="23">
        <v>1</v>
      </c>
      <c r="BO70" s="23" t="e">
        <f>1/(1+Tabela24[[#This Row],[Pt]]*(Tabela24[[#This Row],[Et time]]-1)+Tabela24[[#This Row],[PRv]]*(Tabela24[[#This Row],[Er time]]-1))</f>
        <v>#VALUE!</v>
      </c>
      <c r="BP70" s="23" t="e">
        <f>Tabela24[veic/h]/Tabela24[PHF]</f>
        <v>#VALUE!</v>
      </c>
      <c r="BQ70" s="23" t="e">
        <v>#VALUE!</v>
      </c>
      <c r="BR70" s="438" t="e">
        <f>Tabela24[veic/h]/(Tabela24[PHF]*Tabela24[fg time]*Tabela24[fhv follow])</f>
        <v>#VALUE!</v>
      </c>
      <c r="BS70" s="438" t="e">
        <f>IF(AND(Tabela24[[#This Row],[vp2]]*Tabela24[[#This Row],[distrib. direc.]]&lt;1700,Tabela24[[#This Row],[vp2]]&lt;3200),"OK!","FAIL")</f>
        <v>#VALUE!</v>
      </c>
      <c r="BT70" s="23" t="e">
        <f>100*(1-EXP(-0.000879*MAX(Tabela24[[#This Row],[vp2]],Tabela24[[#This Row],[vp2'']])))</f>
        <v>#VALUE!</v>
      </c>
      <c r="BU70" s="304" t="e">
        <v>#REF!</v>
      </c>
      <c r="BV70" s="304">
        <f>IF(TYPE(Tabela24[distrib. direc.])&lt;&gt;1,0,Tabela24[distrib. direc.])</f>
        <v>0.55000000000000004</v>
      </c>
      <c r="BW70" s="304">
        <f>IF(TYPE(Tabela24[vp2])&lt;&gt;1,0,Tabela24[vp2])</f>
        <v>0</v>
      </c>
      <c r="BX70" s="304">
        <f>IF(TYPE(Tabela24[% zonas s/ultra])&lt;&gt;1,0,Tabela24[% zonas s/ultra])</f>
        <v>0</v>
      </c>
      <c r="BY70" s="304" t="str">
        <f t="shared" si="6"/>
        <v>FDNP</v>
      </c>
      <c r="BZ70" s="31">
        <v>1.6000000000000014</v>
      </c>
      <c r="CA70" s="305" t="e">
        <f>Tabela24[BPTSF]+Tabela24[fd/np'']</f>
        <v>#VALUE!</v>
      </c>
      <c r="CB70" s="424" t="e">
        <f>Tabela24[vp1]/3200</f>
        <v>#VALUE!</v>
      </c>
      <c r="CC70" s="280" t="e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#VALUE!</v>
      </c>
      <c r="CD70" s="332" t="e">
        <f>VLOOKUP(Tabela24[faixa (m)],'HCM2000'!$B$541:$C$547,2,TRUE)</f>
        <v>#N/A</v>
      </c>
      <c r="CE70" s="332">
        <f>IF(Tabela24[acost (m)]&gt;0,1.8,1.2)</f>
        <v>1.8</v>
      </c>
      <c r="CF70" s="332">
        <f>IF(Tabela24[Separador]=$CB$6,$CD$6,IF(Tabela24[Separador]=$CB$7,$CD$7,$CD$8))</f>
        <v>0</v>
      </c>
      <c r="CG70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70" s="332">
        <f>IF(Tabela24[Separador]="Sinalização horizontal",'HCM2000'!$C$590,'HCM2000'!$C$591)</f>
        <v>2.6</v>
      </c>
      <c r="CI70" s="332" t="e">
        <f>MIN((2/3)*Tabela24[[#This Row],[acessos/km]],16)</f>
        <v>#VALUE!</v>
      </c>
      <c r="CJ70" s="332" t="e">
        <f>IF(Tabela24[fLC]="Pista simples","-",Tabela24[BFFS]-Tabela24[fLW]-Tabela24[fLC]-Tabela24[fM]-Tabela24[fA2])</f>
        <v>#VALUE!</v>
      </c>
      <c r="CK70" s="332">
        <f>IF(Tabela24[plano/ondulado]="Montanhoso",Tabela24[Para PT&lt;],VLOOKUP(Tabela24[plano/ondulado],'HCM2000'!$B$606:$C$608,2,FALSE))</f>
        <v>1.5</v>
      </c>
      <c r="CL70" s="332">
        <f>IF(Tabela24[[#This Row],[plano/ondulado]]="Montanhoso",Tabela24[[#This Row],[Para PT&lt;]],VLOOKUP(Tabela24[[#This Row],[plano/ondulado]],'HCM2000'!$E$606:$F$608,2,FALSE))</f>
        <v>1.2</v>
      </c>
      <c r="CM70" s="433" t="e">
        <f>1/(1+(Tabela24[Pt]*(Tabela24[Et2]-1))+(Tabela24[PRv]*(Tabela24[Er2]-1)))</f>
        <v>#VALUE!</v>
      </c>
      <c r="CN70" s="329">
        <f>K70+IF(Tabela24[[#This Row],[Num. Faixas Marg.]]="-",0,Tabela24[[#This Row],[Num. Faixas Marg.]])</f>
        <v>4.5999999999999996</v>
      </c>
      <c r="CO70" s="331" t="e">
        <f>Tabela24[[#This Row],[Vzão]]/(Tabela24[[#This Row],[PHF]]*Tabela24[[#This Row],[N]]*Tabela24[[#This Row],[fHV]])</f>
        <v>#VALUE!</v>
      </c>
      <c r="CP70" s="332" t="e">
        <f>IF(Tabela24[fLC]="Pista simples","-",Tabela24[vp3]/Tabela24[S])</f>
        <v>#VALUE!</v>
      </c>
      <c r="CQ70" s="332" t="e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#VALUE!</v>
      </c>
      <c r="CR70" s="329" t="e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#VALUE!</v>
      </c>
      <c r="CS70" s="308" t="e">
        <f>IF(Tabela24[LOS_vp3]="F","F",VLOOKUP(Tabela24[LOS_vp3],'HCM2000'!$R$655:$S$659,2))</f>
        <v>#VALUE!</v>
      </c>
      <c r="CT70" s="329" t="e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#VALUE!</v>
      </c>
      <c r="CU70" s="425" t="e">
        <f>IF(Tabela24[[#This Row],[LOS_vp3]]="F","F",IF(Tabela24[[#This Row],[fLC]]="Pista simples","-",VLOOKUP(Tabela24[[#This Row],[LOS_D3]],'HCM2000'!$R$655:$S$659,2)))</f>
        <v>#VALUE!</v>
      </c>
      <c r="CV70" s="280" t="e">
        <f>IF(OR(Tabela24[[#This Row],[LOS_vp3]]="F",Tabela24[[#This Row],[LOS_D3]]="F"),"F",IF(Tabela24[[#This Row],[Pista]]="Pista Simples","-",VLOOKUP(MINA(Tabela24[LOS_vp],Tabela24[LOS_D]),'HCM2000'!$R$655:$S$659,2)))</f>
        <v>#VALUE!</v>
      </c>
      <c r="CW70" s="381"/>
      <c r="CX70" s="381"/>
      <c r="CY70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70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70" s="22" t="e">
        <f>ABS(INDEX('HCM2000'!$E$611:$M$611,1,MATCH(Tabela24[Pt]*100,'HCM2000'!$E$611:$M$611,1))-Tabela24[Pt]*100)</f>
        <v>#VALUE!</v>
      </c>
      <c r="DB70" s="22" t="e">
        <f>INDEX('HCM2000'!$E$611:$M$611,1,MATCH(Tabela24[[#This Row],[Pt]]*100,'HCM2000'!$E$611:$M$611,1)+1)-Tabela24[[#This Row],[Pt]]*100</f>
        <v>#VALUE!</v>
      </c>
      <c r="DC70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70" s="440"/>
      <c r="DE70" s="423" t="e">
        <f>1/(1+(Tabela24[Pt]*(Tabela24[ETsu]-1))+(Tabela24[PRv]*(Tabela24[ERsu]-1)))</f>
        <v>#VALUE!</v>
      </c>
      <c r="DF70" s="438" t="e">
        <f>Tabela24[Vzão]/(Tabela24[PHF]*Tabela24[N]*Tabela24[fHVsu])</f>
        <v>#VALUE!</v>
      </c>
      <c r="DG70" s="332" t="e">
        <f>IF(Tabela24[fLC]="Pista simples","-",Tabela24[vpsu]/Tabela24[S])</f>
        <v>#VALUE!</v>
      </c>
      <c r="DH70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#VALUE!</v>
      </c>
      <c r="DI70" s="426" t="e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#VALUE!</v>
      </c>
      <c r="DJ70" s="425" t="e">
        <f>IF(Tabela24[[#This Row],[LOS_vp3]]="F","F",VLOOKUP(Tabela24[[#This Row],[LOS_vp3]],'HCM2000'!$R$655:$S$659,2))</f>
        <v>#VALUE!</v>
      </c>
      <c r="DK70" s="426" t="e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#VALUE!</v>
      </c>
      <c r="DL70" s="425" t="e">
        <f>IF(Tabela24[[#This Row],[LOS_vp3]]="F","F",IF(Tabela24[[#This Row],[fLC]]="Pista simples","-",VLOOKUP(Tabela24[[#This Row],[LOS_D3]],'HCM2000'!$R$655:$S$659,2)))</f>
        <v>#VALUE!</v>
      </c>
      <c r="DM70" s="416" t="e">
        <f>IF(OR(Tabela24[[#This Row],[LOS_vp3]]="F",Tabela24[[#This Row],[LOS_D3]]="F"),"F",IF(Tabela24[[#This Row],[Pista]]="Pista Simples","-",VLOOKUP(MINA(Tabela24[LOS_vp3],Tabela24[LOS_D3]),'HCM2000'!$R$655:$S$659,2)))</f>
        <v>#VALUE!</v>
      </c>
      <c r="DN70" s="416"/>
      <c r="DO70" s="22" t="e">
        <f>Tabela24[[#This Row],[ATS]]</f>
        <v>#VALUE!</v>
      </c>
      <c r="DP70" s="416" t="s">
        <v>645</v>
      </c>
      <c r="DQ70" s="22" t="e">
        <f t="shared" si="11"/>
        <v>#VALUE!</v>
      </c>
      <c r="DR70" s="22" t="e">
        <f>Tabela24[[#This Row],[PTSF]]</f>
        <v>#VALUE!</v>
      </c>
      <c r="DS70" s="416" t="s">
        <v>645</v>
      </c>
      <c r="DT70" s="22" t="e">
        <f t="shared" si="12"/>
        <v>#VALUE!</v>
      </c>
      <c r="DU70" s="22"/>
      <c r="DV70" s="22" t="e">
        <v>#VALUE!</v>
      </c>
      <c r="DW70" s="416" t="s">
        <v>645</v>
      </c>
      <c r="DX70" s="22" t="e">
        <v>#VALUE!</v>
      </c>
      <c r="DY70" s="22" t="e">
        <v>#VALUE!</v>
      </c>
      <c r="DZ70" s="416" t="s">
        <v>645</v>
      </c>
      <c r="EA70" s="22" t="e">
        <v>#VALUE!</v>
      </c>
      <c r="EB70" s="416"/>
      <c r="EC70" s="416"/>
      <c r="ED70" s="416"/>
      <c r="EE70" s="416"/>
      <c r="EF70" s="416"/>
      <c r="EG70" s="416"/>
      <c r="EH70" s="416"/>
      <c r="EI70" s="416"/>
      <c r="EJ70" s="416"/>
      <c r="EK70" s="416"/>
      <c r="EL70" s="416"/>
      <c r="EM70" s="416"/>
      <c r="EN70" s="416"/>
      <c r="EO70" s="416"/>
      <c r="EP70" s="416"/>
      <c r="EQ70" s="416"/>
      <c r="ER70" s="416"/>
      <c r="ES70" s="416"/>
      <c r="ET70" s="416"/>
      <c r="EU70" s="416"/>
      <c r="EV70" s="416"/>
      <c r="EW70" s="416"/>
      <c r="EX70" s="416"/>
      <c r="EY70" s="416"/>
      <c r="EZ70" s="416"/>
      <c r="FA70" s="416"/>
      <c r="FB70" s="416"/>
      <c r="FC70" s="416"/>
      <c r="FD70" s="416"/>
      <c r="FE70" s="416"/>
      <c r="FF70" s="416"/>
      <c r="FG70" s="416"/>
      <c r="FH70" s="416"/>
      <c r="FI70" s="416"/>
      <c r="FJ70" s="416"/>
      <c r="FK70" s="416"/>
      <c r="FL70" s="416"/>
      <c r="FM70" s="416"/>
      <c r="FR70" s="3"/>
      <c r="FS70" s="3"/>
      <c r="FV70" s="58"/>
      <c r="FW70" s="58"/>
    </row>
    <row r="71" spans="2:179">
      <c r="B71" s="386">
        <v>16</v>
      </c>
      <c r="C71" s="394"/>
      <c r="D71" s="395"/>
      <c r="E71" s="385">
        <v>24201</v>
      </c>
      <c r="F71" s="385">
        <v>24501</v>
      </c>
      <c r="G71" s="390">
        <v>300</v>
      </c>
      <c r="H71" s="386" t="s">
        <v>263</v>
      </c>
      <c r="I71" s="386" t="s">
        <v>379</v>
      </c>
      <c r="J71" s="390">
        <v>2</v>
      </c>
      <c r="K71" s="386">
        <v>4.5999999999999996</v>
      </c>
      <c r="L71" s="386" t="s">
        <v>143</v>
      </c>
      <c r="M71" s="386">
        <v>4.2</v>
      </c>
      <c r="N71" s="386">
        <v>1</v>
      </c>
      <c r="O71" s="396">
        <v>1</v>
      </c>
      <c r="P71" s="386" t="s">
        <v>366</v>
      </c>
      <c r="Q71" s="397" t="s">
        <v>144</v>
      </c>
      <c r="R71" s="419" t="s">
        <v>73</v>
      </c>
      <c r="S71" s="310">
        <v>61</v>
      </c>
      <c r="T71" s="420"/>
      <c r="U71" s="279">
        <v>24</v>
      </c>
      <c r="V71" s="323">
        <v>6473.9966140621727</v>
      </c>
      <c r="W71" s="323">
        <v>2824.5698392986178</v>
      </c>
      <c r="X71" s="420"/>
      <c r="Y71" s="398">
        <f t="shared" si="15"/>
        <v>1</v>
      </c>
      <c r="Z71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71" s="182" t="s">
        <v>644</v>
      </c>
      <c r="AB71" s="391" t="s">
        <v>654</v>
      </c>
      <c r="AC71" s="31">
        <v>3.5</v>
      </c>
      <c r="AD71" s="31">
        <v>2.5</v>
      </c>
      <c r="AE71" s="421"/>
      <c r="AF71" s="421"/>
      <c r="AG71" s="421">
        <v>0</v>
      </c>
      <c r="AH71" s="441">
        <v>0.56999999999999995</v>
      </c>
      <c r="AI71" s="25">
        <v>0.03</v>
      </c>
      <c r="AJ71" s="435">
        <v>8.7999999999999995E-2</v>
      </c>
      <c r="AK71" s="330">
        <v>647</v>
      </c>
      <c r="AL71" s="263">
        <v>0.55000000000000004</v>
      </c>
      <c r="AM71" s="414">
        <v>355.85</v>
      </c>
      <c r="AN71" s="417">
        <v>2</v>
      </c>
      <c r="AO71" s="467" t="s">
        <v>73</v>
      </c>
      <c r="AP71" s="439">
        <v>88</v>
      </c>
      <c r="AQ71" s="442">
        <v>0.19</v>
      </c>
      <c r="AR71" s="422">
        <v>0.88</v>
      </c>
      <c r="AS71" s="316"/>
      <c r="AT71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71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71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71" s="23">
        <f>1/(1+(Tabela24[[#This Row],[Pt]])*(Tabela24[[#This Row],[Et]]-1)+(Tabela24[[#This Row],[PRv]])*(Tabela24[[#This Row],[Er]]-1))</f>
        <v>0.89766606822262129</v>
      </c>
      <c r="AX71" s="423">
        <f>Tabela24[veic/h]/Tabela24[PHF]</f>
        <v>735.22727272727275</v>
      </c>
      <c r="AY71" s="423">
        <v>819.04318181818167</v>
      </c>
      <c r="AZ71" s="21">
        <f>Tabela24[veic/h]/(Tabela24[PHF]*Tabela24[fg ats]*Tabela24[fhv ats])</f>
        <v>819.04318181818167</v>
      </c>
      <c r="BA71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71" s="322" t="str">
        <f>IF(AND(Tabela24[[#This Row],[vp1]]*Tabela24[[#This Row],[distrib. direc.]]&lt;1700,Tabela24[[#This Row],[vp1]]&lt;3200),"OK!","FAIL")</f>
        <v>OK!</v>
      </c>
      <c r="BC71" s="23">
        <f>INDEX('HCM2000'!$L$68:$AF$83,MATCH(Tabela24[[#This Row],[faixa (m)]],'HCM2000'!$K$68:$K$83),MATCH(Tabela24[[#This Row],[acost (m)]],'HCM2000'!$L$67:$AF$67))</f>
        <v>0.7</v>
      </c>
      <c r="BD71" s="23">
        <f>MIN(16,(2/3)*Tabela24[[#This Row],[acessos/km]])</f>
        <v>1.3333333333333333</v>
      </c>
      <c r="BE71" s="22">
        <f>Tabela24[BFFS]-Tabela24[fLS]-Tabela24[fA]</f>
        <v>85.966666666666669</v>
      </c>
      <c r="BF71" s="23" t="e">
        <v>#REF!</v>
      </c>
      <c r="BG71" s="463">
        <f>IFERROR(Tabela24[[#This Row],[vp1]],0)</f>
        <v>819.04318181818167</v>
      </c>
      <c r="BH71" s="463">
        <f>IFERROR(Tabela24[[#This Row],[% zonas s/ultra]],0)</f>
        <v>0.19</v>
      </c>
      <c r="BI71" s="23" t="str">
        <f t="shared" si="5"/>
        <v>FNP</v>
      </c>
      <c r="BJ71" s="23">
        <v>2.0538179545454556</v>
      </c>
      <c r="BK71" s="43">
        <f>Tabela24[FFS]-0.0125*MAX(Tabela24[[#This Row],[vp1]],Tabela24[[#This Row],[vp1'']])-Tabela24[fnp'']</f>
        <v>73.674808939393941</v>
      </c>
      <c r="BL71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71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71" s="23">
        <v>1</v>
      </c>
      <c r="BO71" s="23">
        <f>1/(1+Tabela24[[#This Row],[Pt]]*(Tabela24[[#This Row],[Et time]]-1)+Tabela24[[#This Row],[PRv]]*(Tabela24[[#This Row],[Er time]]-1))</f>
        <v>0.94607379375591305</v>
      </c>
      <c r="BP71" s="23">
        <f>Tabela24[veic/h]/Tabela24[PHF]</f>
        <v>735.22727272727275</v>
      </c>
      <c r="BQ71" s="23">
        <v>777.13522727272721</v>
      </c>
      <c r="BR71" s="438">
        <f>Tabela24[veic/h]/(Tabela24[PHF]*Tabela24[fg time]*Tabela24[fhv follow])</f>
        <v>777.13522727272721</v>
      </c>
      <c r="BS71" s="438" t="str">
        <f>IF(AND(Tabela24[[#This Row],[vp2]]*Tabela24[[#This Row],[distrib. direc.]]&lt;1700,Tabela24[[#This Row],[vp2]]&lt;3200),"OK!","FAIL")</f>
        <v>OK!</v>
      </c>
      <c r="BT71" s="23">
        <f>100*(1-EXP(-0.000879*MAX(Tabela24[[#This Row],[vp2]],Tabela24[[#This Row],[vp2'']])))</f>
        <v>49.495203033014292</v>
      </c>
      <c r="BU71" s="304" t="e">
        <v>#REF!</v>
      </c>
      <c r="BV71" s="304">
        <f>IF(TYPE(Tabela24[distrib. direc.])&lt;&gt;1,0,Tabela24[distrib. direc.])</f>
        <v>0.55000000000000004</v>
      </c>
      <c r="BW71" s="304">
        <f>IF(TYPE(Tabela24[vp2])&lt;&gt;1,0,Tabela24[vp2])</f>
        <v>777.13522727272721</v>
      </c>
      <c r="BX71" s="304">
        <f>IF(TYPE(Tabela24[% zonas s/ultra])&lt;&gt;1,0,Tabela24[% zonas s/ultra])</f>
        <v>0.19</v>
      </c>
      <c r="BY71" s="304" t="str">
        <f t="shared" si="6"/>
        <v>FDNP</v>
      </c>
      <c r="BZ71" s="31">
        <v>7.643569914772705</v>
      </c>
      <c r="CA71" s="305">
        <f>Tabela24[BPTSF]+Tabela24[fd/np'']</f>
        <v>57.138772947786997</v>
      </c>
      <c r="CB71" s="424">
        <f>Tabela24[vp1]/3200</f>
        <v>0.25595099431818175</v>
      </c>
      <c r="CC71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71" s="332">
        <f>VLOOKUP(Tabela24[faixa (m)],'HCM2000'!$B$541:$C$547,2,TRUE)</f>
        <v>1</v>
      </c>
      <c r="CE71" s="332">
        <f>IF(Tabela24[acost (m)]&gt;0,1.8,1.2)</f>
        <v>1.8</v>
      </c>
      <c r="CF71" s="332">
        <f>IF(Tabela24[Separador]=$CB$6,$CD$6,IF(Tabela24[Separador]=$CB$7,$CD$7,$CD$8))</f>
        <v>0</v>
      </c>
      <c r="CG71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71" s="332">
        <f>IF(Tabela24[Separador]="Sinalização horizontal",'HCM2000'!$C$590,'HCM2000'!$C$591)</f>
        <v>2.6</v>
      </c>
      <c r="CI71" s="332">
        <f>MIN((2/3)*Tabela24[[#This Row],[acessos/km]],16)</f>
        <v>1.3333333333333333</v>
      </c>
      <c r="CJ71" s="332">
        <f>IF(Tabela24[fLC]="Pista simples","-",Tabela24[BFFS]-Tabela24[fLW]-Tabela24[fLC]-Tabela24[fM]-Tabela24[fA2])</f>
        <v>80.966666666666683</v>
      </c>
      <c r="CK71" s="332">
        <f>IF(Tabela24[plano/ondulado]="Montanhoso",Tabela24[Para PT&lt;],VLOOKUP(Tabela24[plano/ondulado],'HCM2000'!$B$606:$C$608,2,FALSE))</f>
        <v>1.5</v>
      </c>
      <c r="CL71" s="332">
        <f>IF(Tabela24[[#This Row],[plano/ondulado]]="Montanhoso",Tabela24[[#This Row],[Para PT&lt;]],VLOOKUP(Tabela24[[#This Row],[plano/ondulado]],'HCM2000'!$E$606:$F$608,2,FALSE))</f>
        <v>1.2</v>
      </c>
      <c r="CM71" s="433">
        <f>1/(1+(Tabela24[Pt]*(Tabela24[Et2]-1))+(Tabela24[PRv]*(Tabela24[Er2]-1)))</f>
        <v>0.77459333849728895</v>
      </c>
      <c r="CN71" s="329">
        <f>K71+IF(Tabela24[[#This Row],[Num. Faixas Marg.]]="-",0,Tabela24[[#This Row],[Num. Faixas Marg.]])</f>
        <v>4.5999999999999996</v>
      </c>
      <c r="CO71" s="331">
        <f>Tabela24[[#This Row],[Vzão]]/(Tabela24[[#This Row],[PHF]]*Tabela24[[#This Row],[N]]*Tabela24[[#This Row],[fHV]])</f>
        <v>113.48872282608697</v>
      </c>
      <c r="CP71" s="332">
        <f>IF(Tabela24[fLC]="Pista simples","-",Tabela24[vp3]/Tabela24[S])</f>
        <v>1.4016721633522471</v>
      </c>
      <c r="CQ71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71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71" s="308" t="str">
        <f>IF(Tabela24[LOS_vp3]="F","F",VLOOKUP(Tabela24[LOS_vp3],'HCM2000'!$R$655:$S$659,2))</f>
        <v>F</v>
      </c>
      <c r="CT71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71" s="425" t="str">
        <f>IF(Tabela24[[#This Row],[LOS_vp3]]="F","F",IF(Tabela24[[#This Row],[fLC]]="Pista simples","-",VLOOKUP(Tabela24[[#This Row],[LOS_D3]],'HCM2000'!$R$655:$S$659,2)))</f>
        <v>F</v>
      </c>
      <c r="CV71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71" s="381"/>
      <c r="CX71" s="381"/>
      <c r="CY71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71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71" s="22">
        <f>ABS(INDEX('HCM2000'!$E$611:$M$611,1,MATCH(Tabela24[Pt]*100,'HCM2000'!$E$611:$M$611,1))-Tabela24[Pt]*100)</f>
        <v>31.999999999999993</v>
      </c>
      <c r="DB71" s="22" t="e">
        <f>INDEX('HCM2000'!$E$611:$M$611,1,MATCH(Tabela24[[#This Row],[Pt]]*100,'HCM2000'!$E$611:$M$611,1)+1)-Tabela24[[#This Row],[Pt]]*100</f>
        <v>#REF!</v>
      </c>
      <c r="DC71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71" s="440"/>
      <c r="DE71" s="423" t="e">
        <f>1/(1+(Tabela24[Pt]*(Tabela24[ETsu]-1))+(Tabela24[PRv]*(Tabela24[ERsu]-1)))</f>
        <v>#N/A</v>
      </c>
      <c r="DF71" s="438" t="e">
        <f>Tabela24[Vzão]/(Tabela24[PHF]*Tabela24[N]*Tabela24[fHVsu])</f>
        <v>#N/A</v>
      </c>
      <c r="DG71" s="332" t="e">
        <f>IF(Tabela24[fLC]="Pista simples","-",Tabela24[vpsu]/Tabela24[S])</f>
        <v>#N/A</v>
      </c>
      <c r="DH71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71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71" s="425" t="str">
        <f>IF(Tabela24[[#This Row],[LOS_vp3]]="F","F",VLOOKUP(Tabela24[[#This Row],[LOS_vp3]],'HCM2000'!$R$655:$S$659,2))</f>
        <v>F</v>
      </c>
      <c r="DK71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71" s="425" t="str">
        <f>IF(Tabela24[[#This Row],[LOS_vp3]]="F","F",IF(Tabela24[[#This Row],[fLC]]="Pista simples","-",VLOOKUP(Tabela24[[#This Row],[LOS_D3]],'HCM2000'!$R$655:$S$659,2)))</f>
        <v>F</v>
      </c>
      <c r="DM71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71" s="416"/>
      <c r="DO71" s="22">
        <f>Tabela24[[#This Row],[ATS]]</f>
        <v>73.674808939393941</v>
      </c>
      <c r="DP71" s="416">
        <v>69.8</v>
      </c>
      <c r="DQ71" s="22">
        <f t="shared" si="11"/>
        <v>3.8748089393939438</v>
      </c>
      <c r="DR71" s="22">
        <f>Tabela24[[#This Row],[PTSF]]</f>
        <v>57.138772947786997</v>
      </c>
      <c r="DS71" s="416">
        <v>65</v>
      </c>
      <c r="DT71" s="22">
        <f t="shared" si="12"/>
        <v>7.8612270522130032</v>
      </c>
      <c r="DU71" s="22"/>
      <c r="DV71" s="22">
        <v>73.674808939393941</v>
      </c>
      <c r="DW71" s="416">
        <v>69.8</v>
      </c>
      <c r="DX71" s="22">
        <v>3.8748089393939438</v>
      </c>
      <c r="DY71" s="22">
        <v>70.365832199509413</v>
      </c>
      <c r="DZ71" s="416">
        <v>65</v>
      </c>
      <c r="EA71" s="22">
        <v>7.8612270522130032</v>
      </c>
      <c r="EB71" s="416"/>
      <c r="EC71" s="416"/>
      <c r="ED71" s="416"/>
      <c r="EE71" s="416"/>
      <c r="EF71" s="416"/>
      <c r="EG71" s="416"/>
      <c r="EH71" s="416"/>
      <c r="EI71" s="416"/>
      <c r="EJ71" s="416"/>
      <c r="EK71" s="416"/>
      <c r="EL71" s="416"/>
      <c r="EM71" s="416"/>
      <c r="EN71" s="416"/>
      <c r="EO71" s="416"/>
      <c r="EP71" s="416"/>
      <c r="EQ71" s="416"/>
      <c r="ER71" s="416"/>
      <c r="ES71" s="416"/>
      <c r="ET71" s="416"/>
      <c r="EU71" s="416"/>
      <c r="EV71" s="416"/>
      <c r="EW71" s="416"/>
      <c r="EX71" s="416"/>
      <c r="EY71" s="416"/>
      <c r="EZ71" s="416"/>
      <c r="FA71" s="416"/>
      <c r="FB71" s="416"/>
      <c r="FC71" s="416"/>
      <c r="FD71" s="416"/>
      <c r="FE71" s="416"/>
      <c r="FF71" s="416"/>
      <c r="FG71" s="416"/>
      <c r="FH71" s="416"/>
      <c r="FI71" s="416"/>
      <c r="FJ71" s="416"/>
      <c r="FK71" s="416"/>
      <c r="FL71" s="416"/>
      <c r="FM71" s="416"/>
      <c r="FR71" s="3"/>
      <c r="FS71" s="3"/>
      <c r="FV71" s="58"/>
      <c r="FW71" s="58"/>
    </row>
    <row r="72" spans="2:179">
      <c r="B72" s="386">
        <v>17</v>
      </c>
      <c r="C72" s="394"/>
      <c r="D72" s="395"/>
      <c r="E72" s="385">
        <v>24201</v>
      </c>
      <c r="F72" s="385">
        <v>24501</v>
      </c>
      <c r="G72" s="390">
        <v>300</v>
      </c>
      <c r="H72" s="386" t="s">
        <v>263</v>
      </c>
      <c r="I72" s="386" t="s">
        <v>379</v>
      </c>
      <c r="J72" s="390">
        <v>2</v>
      </c>
      <c r="K72" s="386">
        <v>4.5999999999999996</v>
      </c>
      <c r="L72" s="386" t="s">
        <v>143</v>
      </c>
      <c r="M72" s="386">
        <v>4.2</v>
      </c>
      <c r="N72" s="386">
        <v>1</v>
      </c>
      <c r="O72" s="396">
        <v>1</v>
      </c>
      <c r="P72" s="386" t="s">
        <v>366</v>
      </c>
      <c r="Q72" s="397" t="s">
        <v>144</v>
      </c>
      <c r="R72" s="419" t="s">
        <v>73</v>
      </c>
      <c r="S72" s="310">
        <v>62</v>
      </c>
      <c r="T72" s="420"/>
      <c r="U72" s="279">
        <v>24</v>
      </c>
      <c r="V72" s="323">
        <v>6473.9966140621727</v>
      </c>
      <c r="W72" s="323">
        <v>2824.5698392986178</v>
      </c>
      <c r="X72" s="420"/>
      <c r="Y72" s="398">
        <f t="shared" si="15"/>
        <v>1</v>
      </c>
      <c r="Z72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72" s="182" t="s">
        <v>644</v>
      </c>
      <c r="AB72" s="391" t="s">
        <v>654</v>
      </c>
      <c r="AC72" s="31">
        <v>3.5</v>
      </c>
      <c r="AD72" s="31">
        <v>2.5</v>
      </c>
      <c r="AE72" s="421"/>
      <c r="AF72" s="421"/>
      <c r="AG72" s="421">
        <v>0</v>
      </c>
      <c r="AH72" s="441">
        <v>0.51</v>
      </c>
      <c r="AI72" s="25">
        <v>0.03</v>
      </c>
      <c r="AJ72" s="435">
        <v>8.7999999999999995E-2</v>
      </c>
      <c r="AK72" s="330">
        <v>472</v>
      </c>
      <c r="AL72" s="263">
        <v>0.55000000000000004</v>
      </c>
      <c r="AM72" s="414">
        <v>259.60000000000002</v>
      </c>
      <c r="AN72" s="417">
        <v>3</v>
      </c>
      <c r="AO72" s="467" t="s">
        <v>73</v>
      </c>
      <c r="AP72" s="439">
        <v>88</v>
      </c>
      <c r="AQ72" s="442">
        <v>0.46</v>
      </c>
      <c r="AR72" s="422">
        <v>0.88</v>
      </c>
      <c r="AS72" s="316"/>
      <c r="AT72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72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72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72" s="23">
        <f>1/(1+(Tabela24[[#This Row],[Pt]])*(Tabela24[[#This Row],[Et]]-1)+(Tabela24[[#This Row],[PRv]])*(Tabela24[[#This Row],[Er]]-1))</f>
        <v>0.73691967575534267</v>
      </c>
      <c r="AX72" s="423">
        <f>Tabela24[veic/h]/Tabela24[PHF]</f>
        <v>536.36363636363637</v>
      </c>
      <c r="AY72" s="423">
        <v>591.07272727272721</v>
      </c>
      <c r="AZ72" s="21">
        <f>Tabela24[veic/h]/(Tabela24[PHF]*Tabela24[fg ats]*Tabela24[fhv ats])</f>
        <v>727.84545454545446</v>
      </c>
      <c r="BA72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72" s="322" t="str">
        <f>IF(AND(Tabela24[[#This Row],[vp1]]*Tabela24[[#This Row],[distrib. direc.]]&lt;1700,Tabela24[[#This Row],[vp1]]&lt;3200),"OK!","FAIL")</f>
        <v>OK!</v>
      </c>
      <c r="BC72" s="23">
        <f>INDEX('HCM2000'!$L$68:$AF$83,MATCH(Tabela24[[#This Row],[faixa (m)]],'HCM2000'!$K$68:$K$83),MATCH(Tabela24[[#This Row],[acost (m)]],'HCM2000'!$L$67:$AF$67))</f>
        <v>0.7</v>
      </c>
      <c r="BD72" s="23">
        <f>MIN(16,(2/3)*Tabela24[[#This Row],[acessos/km]])</f>
        <v>2</v>
      </c>
      <c r="BE72" s="22">
        <f>Tabela24[BFFS]-Tabela24[fLS]-Tabela24[fA]</f>
        <v>85.3</v>
      </c>
      <c r="BF72" s="23" t="e">
        <v>#REF!</v>
      </c>
      <c r="BG72" s="463">
        <f>IFERROR(Tabela24[[#This Row],[vp1]],0)</f>
        <v>727.84545454545446</v>
      </c>
      <c r="BH72" s="463">
        <f>IFERROR(Tabela24[[#This Row],[% zonas s/ultra]],0)</f>
        <v>0.46</v>
      </c>
      <c r="BI72" s="23" t="str">
        <f t="shared" si="5"/>
        <v>FNP</v>
      </c>
      <c r="BJ72" s="23">
        <v>3.6250104545454436</v>
      </c>
      <c r="BK72" s="43">
        <f>Tabela24[FFS]-0.0125*MAX(Tabela24[[#This Row],[vp1]],Tabela24[[#This Row],[vp1'']])-Tabela24[fnp'']</f>
        <v>72.576921363636373</v>
      </c>
      <c r="BL72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72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72" s="23">
        <v>1</v>
      </c>
      <c r="BO72" s="23">
        <f>1/(1+Tabela24[[#This Row],[Pt]]*(Tabela24[[#This Row],[Et time]]-1)+Tabela24[[#This Row],[PRv]]*(Tabela24[[#This Row],[Er time]]-1))</f>
        <v>0.95147478591817303</v>
      </c>
      <c r="BP72" s="23">
        <f>Tabela24[veic/h]/Tabela24[PHF]</f>
        <v>536.36363636363637</v>
      </c>
      <c r="BQ72" s="23">
        <v>563.71818181818196</v>
      </c>
      <c r="BR72" s="438">
        <f>Tabela24[veic/h]/(Tabela24[PHF]*Tabela24[fg time]*Tabela24[fhv follow])</f>
        <v>563.71818181818196</v>
      </c>
      <c r="BS72" s="438" t="str">
        <f>IF(AND(Tabela24[[#This Row],[vp2]]*Tabela24[[#This Row],[distrib. direc.]]&lt;1700,Tabela24[[#This Row],[vp2]]&lt;3200),"OK!","FAIL")</f>
        <v>OK!</v>
      </c>
      <c r="BT72" s="23">
        <f>100*(1-EXP(-0.000879*MAX(Tabela24[[#This Row],[vp2]],Tabela24[[#This Row],[vp2'']])))</f>
        <v>39.073884778465548</v>
      </c>
      <c r="BU72" s="304" t="e">
        <v>#REF!</v>
      </c>
      <c r="BV72" s="304">
        <f>IF(TYPE(Tabela24[distrib. direc.])&lt;&gt;1,0,Tabela24[distrib. direc.])</f>
        <v>0.55000000000000004</v>
      </c>
      <c r="BW72" s="304">
        <f>IF(TYPE(Tabela24[vp2])&lt;&gt;1,0,Tabela24[vp2])</f>
        <v>563.71818181818196</v>
      </c>
      <c r="BX72" s="304">
        <f>IF(TYPE(Tabela24[% zonas s/ultra])&lt;&gt;1,0,Tabela24[% zonas s/ultra])</f>
        <v>0.46</v>
      </c>
      <c r="BY72" s="304" t="str">
        <f t="shared" si="6"/>
        <v>FDNP</v>
      </c>
      <c r="BZ72" s="31">
        <v>16.534947272727084</v>
      </c>
      <c r="CA72" s="305">
        <f>Tabela24[BPTSF]+Tabela24[fd/np'']</f>
        <v>55.608832051192636</v>
      </c>
      <c r="CB72" s="424">
        <f>Tabela24[vp1]/3200</f>
        <v>0.22745170454545452</v>
      </c>
      <c r="CC72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72" s="332">
        <f>VLOOKUP(Tabela24[faixa (m)],'HCM2000'!$B$541:$C$547,2,TRUE)</f>
        <v>1</v>
      </c>
      <c r="CE72" s="332">
        <f>IF(Tabela24[acost (m)]&gt;0,1.8,1.2)</f>
        <v>1.8</v>
      </c>
      <c r="CF72" s="332">
        <f>IF(Tabela24[Separador]=$CB$6,$CD$6,IF(Tabela24[Separador]=$CB$7,$CD$7,$CD$8))</f>
        <v>0</v>
      </c>
      <c r="CG72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72" s="332">
        <f>IF(Tabela24[Separador]="Sinalização horizontal",'HCM2000'!$C$590,'HCM2000'!$C$591)</f>
        <v>2.6</v>
      </c>
      <c r="CI72" s="332">
        <f>MIN((2/3)*Tabela24[[#This Row],[acessos/km]],16)</f>
        <v>2</v>
      </c>
      <c r="CJ72" s="332">
        <f>IF(Tabela24[fLC]="Pista simples","-",Tabela24[BFFS]-Tabela24[fLW]-Tabela24[fLC]-Tabela24[fM]-Tabela24[fA2])</f>
        <v>80.300000000000011</v>
      </c>
      <c r="CK72" s="332">
        <f>IF(Tabela24[plano/ondulado]="Montanhoso",Tabela24[Para PT&lt;],VLOOKUP(Tabela24[plano/ondulado],'HCM2000'!$B$606:$C$608,2,FALSE))</f>
        <v>1.5</v>
      </c>
      <c r="CL72" s="332">
        <f>IF(Tabela24[[#This Row],[plano/ondulado]]="Montanhoso",Tabela24[[#This Row],[Para PT&lt;]],VLOOKUP(Tabela24[[#This Row],[plano/ondulado]],'HCM2000'!$E$606:$F$608,2,FALSE))</f>
        <v>1.2</v>
      </c>
      <c r="CM72" s="433">
        <f>1/(1+(Tabela24[Pt]*(Tabela24[Et2]-1))+(Tabela24[PRv]*(Tabela24[Er2]-1)))</f>
        <v>0.79302141157811268</v>
      </c>
      <c r="CN72" s="329">
        <f>K72+IF(Tabela24[[#This Row],[Num. Faixas Marg.]]="-",0,Tabela24[[#This Row],[Num. Faixas Marg.]])</f>
        <v>4.5999999999999996</v>
      </c>
      <c r="CO72" s="331">
        <f>Tabela24[[#This Row],[Vzão]]/(Tabela24[[#This Row],[PHF]]*Tabela24[[#This Row],[N]]*Tabela24[[#This Row],[fHV]])</f>
        <v>80.868478260869566</v>
      </c>
      <c r="CP72" s="332">
        <f>IF(Tabela24[fLC]="Pista simples","-",Tabela24[vp3]/Tabela24[S])</f>
        <v>1.0070794303968811</v>
      </c>
      <c r="CQ72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72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72" s="308" t="str">
        <f>IF(Tabela24[LOS_vp3]="F","F",VLOOKUP(Tabela24[LOS_vp3],'HCM2000'!$R$655:$S$659,2))</f>
        <v>F</v>
      </c>
      <c r="CT72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72" s="425" t="str">
        <f>IF(Tabela24[[#This Row],[LOS_vp3]]="F","F",IF(Tabela24[[#This Row],[fLC]]="Pista simples","-",VLOOKUP(Tabela24[[#This Row],[LOS_D3]],'HCM2000'!$R$655:$S$659,2)))</f>
        <v>F</v>
      </c>
      <c r="CV72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72" s="381"/>
      <c r="CX72" s="381"/>
      <c r="CY72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72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72" s="22">
        <f>ABS(INDEX('HCM2000'!$E$611:$M$611,1,MATCH(Tabela24[Pt]*100,'HCM2000'!$E$611:$M$611,1))-Tabela24[Pt]*100)</f>
        <v>26</v>
      </c>
      <c r="DB72" s="22" t="e">
        <f>INDEX('HCM2000'!$E$611:$M$611,1,MATCH(Tabela24[[#This Row],[Pt]]*100,'HCM2000'!$E$611:$M$611,1)+1)-Tabela24[[#This Row],[Pt]]*100</f>
        <v>#REF!</v>
      </c>
      <c r="DC72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72" s="440"/>
      <c r="DE72" s="423" t="e">
        <f>1/(1+(Tabela24[Pt]*(Tabela24[ETsu]-1))+(Tabela24[PRv]*(Tabela24[ERsu]-1)))</f>
        <v>#N/A</v>
      </c>
      <c r="DF72" s="438" t="e">
        <f>Tabela24[Vzão]/(Tabela24[PHF]*Tabela24[N]*Tabela24[fHVsu])</f>
        <v>#N/A</v>
      </c>
      <c r="DG72" s="332" t="e">
        <f>IF(Tabela24[fLC]="Pista simples","-",Tabela24[vpsu]/Tabela24[S])</f>
        <v>#N/A</v>
      </c>
      <c r="DH72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72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72" s="425" t="str">
        <f>IF(Tabela24[[#This Row],[LOS_vp3]]="F","F",VLOOKUP(Tabela24[[#This Row],[LOS_vp3]],'HCM2000'!$R$655:$S$659,2))</f>
        <v>F</v>
      </c>
      <c r="DK72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72" s="425" t="str">
        <f>IF(Tabela24[[#This Row],[LOS_vp3]]="F","F",IF(Tabela24[[#This Row],[fLC]]="Pista simples","-",VLOOKUP(Tabela24[[#This Row],[LOS_D3]],'HCM2000'!$R$655:$S$659,2)))</f>
        <v>F</v>
      </c>
      <c r="DM72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72" s="416"/>
      <c r="DO72" s="22">
        <f>Tabela24[[#This Row],[ATS]]</f>
        <v>72.576921363636373</v>
      </c>
      <c r="DP72" s="416">
        <v>69.900000000000006</v>
      </c>
      <c r="DQ72" s="22">
        <f t="shared" si="11"/>
        <v>2.6769213636363673</v>
      </c>
      <c r="DR72" s="22">
        <f>Tabela24[[#This Row],[PTSF]]</f>
        <v>55.608832051192636</v>
      </c>
      <c r="DS72" s="416">
        <v>62.6</v>
      </c>
      <c r="DT72" s="22">
        <f t="shared" si="12"/>
        <v>6.9911679488073659</v>
      </c>
      <c r="DU72" s="22"/>
      <c r="DV72" s="22">
        <v>72.576921363636373</v>
      </c>
      <c r="DW72" s="416">
        <v>69.900000000000006</v>
      </c>
      <c r="DX72" s="22">
        <v>2.6769213636363673</v>
      </c>
      <c r="DY72" s="22">
        <v>64.966220404463598</v>
      </c>
      <c r="DZ72" s="416">
        <v>62.6</v>
      </c>
      <c r="EA72" s="22">
        <v>6.9911679488073659</v>
      </c>
      <c r="EB72" s="416"/>
      <c r="EC72" s="416"/>
      <c r="ED72" s="416"/>
      <c r="EE72" s="416"/>
      <c r="EF72" s="416"/>
      <c r="EG72" s="416"/>
      <c r="EH72" s="416"/>
      <c r="EI72" s="416"/>
      <c r="EJ72" s="416"/>
      <c r="EK72" s="416"/>
      <c r="EL72" s="416"/>
      <c r="EM72" s="416"/>
      <c r="EN72" s="416"/>
      <c r="EO72" s="416"/>
      <c r="EP72" s="416"/>
      <c r="EQ72" s="416"/>
      <c r="ER72" s="416"/>
      <c r="ES72" s="416"/>
      <c r="ET72" s="416"/>
      <c r="EU72" s="416"/>
      <c r="EV72" s="416"/>
      <c r="EW72" s="416"/>
      <c r="EX72" s="416"/>
      <c r="EY72" s="416"/>
      <c r="EZ72" s="416"/>
      <c r="FA72" s="416"/>
      <c r="FB72" s="416"/>
      <c r="FC72" s="416"/>
      <c r="FD72" s="416"/>
      <c r="FE72" s="416"/>
      <c r="FF72" s="416"/>
      <c r="FG72" s="416"/>
      <c r="FH72" s="416"/>
      <c r="FI72" s="416"/>
      <c r="FJ72" s="416"/>
      <c r="FK72" s="416"/>
      <c r="FL72" s="416"/>
      <c r="FM72" s="416"/>
      <c r="FR72" s="3"/>
      <c r="FS72" s="3"/>
      <c r="FV72" s="58"/>
      <c r="FW72" s="58"/>
    </row>
    <row r="73" spans="2:179">
      <c r="B73" s="386" t="s">
        <v>645</v>
      </c>
      <c r="C73" s="394"/>
      <c r="D73" s="395"/>
      <c r="E73" s="385">
        <v>24201</v>
      </c>
      <c r="F73" s="385">
        <v>24501</v>
      </c>
      <c r="G73" s="390">
        <v>300</v>
      </c>
      <c r="H73" s="386" t="s">
        <v>263</v>
      </c>
      <c r="I73" s="386" t="s">
        <v>379</v>
      </c>
      <c r="J73" s="390">
        <v>2</v>
      </c>
      <c r="K73" s="386">
        <v>4.5999999999999996</v>
      </c>
      <c r="L73" s="386" t="s">
        <v>143</v>
      </c>
      <c r="M73" s="386">
        <v>4.2</v>
      </c>
      <c r="N73" s="386">
        <v>1</v>
      </c>
      <c r="O73" s="396">
        <v>1</v>
      </c>
      <c r="P73" s="386" t="s">
        <v>366</v>
      </c>
      <c r="Q73" s="397" t="s">
        <v>144</v>
      </c>
      <c r="R73" s="419" t="s">
        <v>73</v>
      </c>
      <c r="S73" s="310">
        <v>63</v>
      </c>
      <c r="T73" s="420"/>
      <c r="U73" s="279">
        <v>24</v>
      </c>
      <c r="V73" s="323">
        <v>6473.9966140621727</v>
      </c>
      <c r="W73" s="323">
        <v>2824.5698392986178</v>
      </c>
      <c r="X73" s="420"/>
      <c r="Y73" s="398">
        <f t="shared" si="15"/>
        <v>1</v>
      </c>
      <c r="Z73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73" s="182" t="s">
        <v>644</v>
      </c>
      <c r="AB73" s="391" t="s">
        <v>654</v>
      </c>
      <c r="AC73" s="31" t="s">
        <v>645</v>
      </c>
      <c r="AD73" s="31" t="s">
        <v>645</v>
      </c>
      <c r="AE73" s="421"/>
      <c r="AF73" s="421"/>
      <c r="AG73" s="421">
        <v>0</v>
      </c>
      <c r="AH73" s="441" t="e">
        <v>#VALUE!</v>
      </c>
      <c r="AI73" s="25" t="e">
        <v>#VALUE!</v>
      </c>
      <c r="AJ73" s="435">
        <v>8.7999999999999995E-2</v>
      </c>
      <c r="AK73" s="330" t="s">
        <v>645</v>
      </c>
      <c r="AL73" s="263">
        <v>0.55000000000000004</v>
      </c>
      <c r="AM73" s="414" t="e">
        <v>#VALUE!</v>
      </c>
      <c r="AN73" s="417" t="s">
        <v>645</v>
      </c>
      <c r="AO73" s="467" t="s">
        <v>73</v>
      </c>
      <c r="AP73" s="439" t="s">
        <v>645</v>
      </c>
      <c r="AQ73" s="442" t="e">
        <v>#VALUE!</v>
      </c>
      <c r="AR73" s="422" t="s">
        <v>645</v>
      </c>
      <c r="AS73" s="316"/>
      <c r="AT73" s="412" t="e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#VALUE!</v>
      </c>
      <c r="AU73" s="23" t="e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#VALUE!</v>
      </c>
      <c r="AV73" s="23" t="e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#VALUE!</v>
      </c>
      <c r="AW73" s="23" t="e">
        <f>1/(1+(Tabela24[[#This Row],[Pt]])*(Tabela24[[#This Row],[Et]]-1)+(Tabela24[[#This Row],[PRv]])*(Tabela24[[#This Row],[Er]]-1))</f>
        <v>#VALUE!</v>
      </c>
      <c r="AX73" s="423" t="e">
        <f>Tabela24[veic/h]/Tabela24[PHF]</f>
        <v>#VALUE!</v>
      </c>
      <c r="AY73" s="423" t="e">
        <v>#VALUE!</v>
      </c>
      <c r="AZ73" s="21" t="e">
        <f>Tabela24[veic/h]/(Tabela24[PHF]*Tabela24[fg ats]*Tabela24[fhv ats])</f>
        <v>#VALUE!</v>
      </c>
      <c r="BA73" s="322" t="e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#VALUE!</v>
      </c>
      <c r="BB73" s="322" t="e">
        <f>IF(AND(Tabela24[[#This Row],[vp1]]*Tabela24[[#This Row],[distrib. direc.]]&lt;1700,Tabela24[[#This Row],[vp1]]&lt;3200),"OK!","FAIL")</f>
        <v>#VALUE!</v>
      </c>
      <c r="BC73" s="23" t="e">
        <f>INDEX('HCM2000'!$L$68:$AF$83,MATCH(Tabela24[[#This Row],[faixa (m)]],'HCM2000'!$K$68:$K$83),MATCH(Tabela24[[#This Row],[acost (m)]],'HCM2000'!$L$67:$AF$67))</f>
        <v>#N/A</v>
      </c>
      <c r="BD73" s="23" t="e">
        <f>MIN(16,(2/3)*Tabela24[[#This Row],[acessos/km]])</f>
        <v>#VALUE!</v>
      </c>
      <c r="BE73" s="22" t="e">
        <f>Tabela24[BFFS]-Tabela24[fLS]-Tabela24[fA]</f>
        <v>#VALUE!</v>
      </c>
      <c r="BF73" s="23" t="e">
        <v>#REF!</v>
      </c>
      <c r="BG73" s="463">
        <f>IFERROR(Tabela24[[#This Row],[vp1]],0)</f>
        <v>0</v>
      </c>
      <c r="BH73" s="463">
        <f>IFERROR(Tabela24[[#This Row],[% zonas s/ultra]],0)</f>
        <v>0</v>
      </c>
      <c r="BI73" s="23" t="str">
        <f t="shared" si="5"/>
        <v>FNP</v>
      </c>
      <c r="BJ73" s="23">
        <v>0</v>
      </c>
      <c r="BK73" s="43" t="e">
        <f>Tabela24[FFS]-0.0125*MAX(Tabela24[[#This Row],[vp1]],Tabela24[[#This Row],[vp1'']])-Tabela24[fnp'']</f>
        <v>#VALUE!</v>
      </c>
      <c r="BL73" s="412" t="e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#VALUE!</v>
      </c>
      <c r="BM73" s="23" t="e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#VALUE!</v>
      </c>
      <c r="BN73" s="23">
        <v>1</v>
      </c>
      <c r="BO73" s="23" t="e">
        <f>1/(1+Tabela24[[#This Row],[Pt]]*(Tabela24[[#This Row],[Et time]]-1)+Tabela24[[#This Row],[PRv]]*(Tabela24[[#This Row],[Er time]]-1))</f>
        <v>#VALUE!</v>
      </c>
      <c r="BP73" s="23" t="e">
        <f>Tabela24[veic/h]/Tabela24[PHF]</f>
        <v>#VALUE!</v>
      </c>
      <c r="BQ73" s="23" t="e">
        <v>#VALUE!</v>
      </c>
      <c r="BR73" s="438" t="e">
        <f>Tabela24[veic/h]/(Tabela24[PHF]*Tabela24[fg time]*Tabela24[fhv follow])</f>
        <v>#VALUE!</v>
      </c>
      <c r="BS73" s="438" t="e">
        <f>IF(AND(Tabela24[[#This Row],[vp2]]*Tabela24[[#This Row],[distrib. direc.]]&lt;1700,Tabela24[[#This Row],[vp2]]&lt;3200),"OK!","FAIL")</f>
        <v>#VALUE!</v>
      </c>
      <c r="BT73" s="23" t="e">
        <f>100*(1-EXP(-0.000879*MAX(Tabela24[[#This Row],[vp2]],Tabela24[[#This Row],[vp2'']])))</f>
        <v>#VALUE!</v>
      </c>
      <c r="BU73" s="304" t="e">
        <v>#REF!</v>
      </c>
      <c r="BV73" s="304">
        <f>IF(TYPE(Tabela24[distrib. direc.])&lt;&gt;1,0,Tabela24[distrib. direc.])</f>
        <v>0.55000000000000004</v>
      </c>
      <c r="BW73" s="304">
        <f>IF(TYPE(Tabela24[vp2])&lt;&gt;1,0,Tabela24[vp2])</f>
        <v>0</v>
      </c>
      <c r="BX73" s="304">
        <f>IF(TYPE(Tabela24[% zonas s/ultra])&lt;&gt;1,0,Tabela24[% zonas s/ultra])</f>
        <v>0</v>
      </c>
      <c r="BY73" s="304" t="str">
        <f t="shared" si="6"/>
        <v>FDNP</v>
      </c>
      <c r="BZ73" s="31">
        <v>1.6000000000000014</v>
      </c>
      <c r="CA73" s="305" t="e">
        <f>Tabela24[BPTSF]+Tabela24[fd/np'']</f>
        <v>#VALUE!</v>
      </c>
      <c r="CB73" s="424" t="e">
        <f>Tabela24[vp1]/3200</f>
        <v>#VALUE!</v>
      </c>
      <c r="CC73" s="280" t="e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#VALUE!</v>
      </c>
      <c r="CD73" s="332" t="e">
        <f>VLOOKUP(Tabela24[faixa (m)],'HCM2000'!$B$541:$C$547,2,TRUE)</f>
        <v>#N/A</v>
      </c>
      <c r="CE73" s="332">
        <f>IF(Tabela24[acost (m)]&gt;0,1.8,1.2)</f>
        <v>1.8</v>
      </c>
      <c r="CF73" s="332">
        <f>IF(Tabela24[Separador]=$CB$6,$CD$6,IF(Tabela24[Separador]=$CB$7,$CD$7,$CD$8))</f>
        <v>0</v>
      </c>
      <c r="CG73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73" s="332">
        <f>IF(Tabela24[Separador]="Sinalização horizontal",'HCM2000'!$C$590,'HCM2000'!$C$591)</f>
        <v>2.6</v>
      </c>
      <c r="CI73" s="332" t="e">
        <f>MIN((2/3)*Tabela24[[#This Row],[acessos/km]],16)</f>
        <v>#VALUE!</v>
      </c>
      <c r="CJ73" s="332" t="e">
        <f>IF(Tabela24[fLC]="Pista simples","-",Tabela24[BFFS]-Tabela24[fLW]-Tabela24[fLC]-Tabela24[fM]-Tabela24[fA2])</f>
        <v>#VALUE!</v>
      </c>
      <c r="CK73" s="332">
        <f>IF(Tabela24[plano/ondulado]="Montanhoso",Tabela24[Para PT&lt;],VLOOKUP(Tabela24[plano/ondulado],'HCM2000'!$B$606:$C$608,2,FALSE))</f>
        <v>1.5</v>
      </c>
      <c r="CL73" s="332">
        <f>IF(Tabela24[[#This Row],[plano/ondulado]]="Montanhoso",Tabela24[[#This Row],[Para PT&lt;]],VLOOKUP(Tabela24[[#This Row],[plano/ondulado]],'HCM2000'!$E$606:$F$608,2,FALSE))</f>
        <v>1.2</v>
      </c>
      <c r="CM73" s="433" t="e">
        <f>1/(1+(Tabela24[Pt]*(Tabela24[Et2]-1))+(Tabela24[PRv]*(Tabela24[Er2]-1)))</f>
        <v>#VALUE!</v>
      </c>
      <c r="CN73" s="329">
        <f>K73+IF(Tabela24[[#This Row],[Num. Faixas Marg.]]="-",0,Tabela24[[#This Row],[Num. Faixas Marg.]])</f>
        <v>4.5999999999999996</v>
      </c>
      <c r="CO73" s="331" t="e">
        <f>Tabela24[[#This Row],[Vzão]]/(Tabela24[[#This Row],[PHF]]*Tabela24[[#This Row],[N]]*Tabela24[[#This Row],[fHV]])</f>
        <v>#VALUE!</v>
      </c>
      <c r="CP73" s="332" t="e">
        <f>IF(Tabela24[fLC]="Pista simples","-",Tabela24[vp3]/Tabela24[S])</f>
        <v>#VALUE!</v>
      </c>
      <c r="CQ73" s="332" t="e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#VALUE!</v>
      </c>
      <c r="CR73" s="329" t="e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#VALUE!</v>
      </c>
      <c r="CS73" s="308" t="e">
        <f>IF(Tabela24[LOS_vp3]="F","F",VLOOKUP(Tabela24[LOS_vp3],'HCM2000'!$R$655:$S$659,2))</f>
        <v>#VALUE!</v>
      </c>
      <c r="CT73" s="329" t="e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#VALUE!</v>
      </c>
      <c r="CU73" s="425" t="e">
        <f>IF(Tabela24[[#This Row],[LOS_vp3]]="F","F",IF(Tabela24[[#This Row],[fLC]]="Pista simples","-",VLOOKUP(Tabela24[[#This Row],[LOS_D3]],'HCM2000'!$R$655:$S$659,2)))</f>
        <v>#VALUE!</v>
      </c>
      <c r="CV73" s="280" t="e">
        <f>IF(OR(Tabela24[[#This Row],[LOS_vp3]]="F",Tabela24[[#This Row],[LOS_D3]]="F"),"F",IF(Tabela24[[#This Row],[Pista]]="Pista Simples","-",VLOOKUP(MINA(Tabela24[LOS_vp],Tabela24[LOS_D]),'HCM2000'!$R$655:$S$659,2)))</f>
        <v>#VALUE!</v>
      </c>
      <c r="CW73" s="381"/>
      <c r="CX73" s="381"/>
      <c r="CY73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73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73" s="22" t="e">
        <f>ABS(INDEX('HCM2000'!$E$611:$M$611,1,MATCH(Tabela24[Pt]*100,'HCM2000'!$E$611:$M$611,1))-Tabela24[Pt]*100)</f>
        <v>#VALUE!</v>
      </c>
      <c r="DB73" s="22" t="e">
        <f>INDEX('HCM2000'!$E$611:$M$611,1,MATCH(Tabela24[[#This Row],[Pt]]*100,'HCM2000'!$E$611:$M$611,1)+1)-Tabela24[[#This Row],[Pt]]*100</f>
        <v>#VALUE!</v>
      </c>
      <c r="DC73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73" s="440"/>
      <c r="DE73" s="423" t="e">
        <f>1/(1+(Tabela24[Pt]*(Tabela24[ETsu]-1))+(Tabela24[PRv]*(Tabela24[ERsu]-1)))</f>
        <v>#VALUE!</v>
      </c>
      <c r="DF73" s="438" t="e">
        <f>Tabela24[Vzão]/(Tabela24[PHF]*Tabela24[N]*Tabela24[fHVsu])</f>
        <v>#VALUE!</v>
      </c>
      <c r="DG73" s="332" t="e">
        <f>IF(Tabela24[fLC]="Pista simples","-",Tabela24[vpsu]/Tabela24[S])</f>
        <v>#VALUE!</v>
      </c>
      <c r="DH73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#VALUE!</v>
      </c>
      <c r="DI73" s="426" t="e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#VALUE!</v>
      </c>
      <c r="DJ73" s="425" t="e">
        <f>IF(Tabela24[[#This Row],[LOS_vp3]]="F","F",VLOOKUP(Tabela24[[#This Row],[LOS_vp3]],'HCM2000'!$R$655:$S$659,2))</f>
        <v>#VALUE!</v>
      </c>
      <c r="DK73" s="426" t="e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#VALUE!</v>
      </c>
      <c r="DL73" s="425" t="e">
        <f>IF(Tabela24[[#This Row],[LOS_vp3]]="F","F",IF(Tabela24[[#This Row],[fLC]]="Pista simples","-",VLOOKUP(Tabela24[[#This Row],[LOS_D3]],'HCM2000'!$R$655:$S$659,2)))</f>
        <v>#VALUE!</v>
      </c>
      <c r="DM73" s="416" t="e">
        <f>IF(OR(Tabela24[[#This Row],[LOS_vp3]]="F",Tabela24[[#This Row],[LOS_D3]]="F"),"F",IF(Tabela24[[#This Row],[Pista]]="Pista Simples","-",VLOOKUP(MINA(Tabela24[LOS_vp3],Tabela24[LOS_D3]),'HCM2000'!$R$655:$S$659,2)))</f>
        <v>#VALUE!</v>
      </c>
      <c r="DN73" s="416"/>
      <c r="DO73" s="22" t="e">
        <f>Tabela24[[#This Row],[ATS]]</f>
        <v>#VALUE!</v>
      </c>
      <c r="DP73" s="416" t="s">
        <v>645</v>
      </c>
      <c r="DQ73" s="22" t="e">
        <f t="shared" si="11"/>
        <v>#VALUE!</v>
      </c>
      <c r="DR73" s="22" t="e">
        <f>Tabela24[[#This Row],[PTSF]]</f>
        <v>#VALUE!</v>
      </c>
      <c r="DS73" s="416" t="s">
        <v>645</v>
      </c>
      <c r="DT73" s="22" t="e">
        <f t="shared" si="12"/>
        <v>#VALUE!</v>
      </c>
      <c r="DU73" s="22"/>
      <c r="DV73" s="22" t="e">
        <v>#VALUE!</v>
      </c>
      <c r="DW73" s="416" t="s">
        <v>645</v>
      </c>
      <c r="DX73" s="22" t="e">
        <v>#VALUE!</v>
      </c>
      <c r="DY73" s="22" t="e">
        <v>#VALUE!</v>
      </c>
      <c r="DZ73" s="416" t="s">
        <v>645</v>
      </c>
      <c r="EA73" s="22" t="e">
        <v>#VALUE!</v>
      </c>
      <c r="EB73" s="416"/>
      <c r="EC73" s="416"/>
      <c r="ED73" s="416"/>
      <c r="EE73" s="416"/>
      <c r="EF73" s="416"/>
      <c r="EG73" s="416"/>
      <c r="EH73" s="416"/>
      <c r="EI73" s="416"/>
      <c r="EJ73" s="416"/>
      <c r="EK73" s="416"/>
      <c r="EL73" s="416"/>
      <c r="EM73" s="416"/>
      <c r="EN73" s="416"/>
      <c r="EO73" s="416"/>
      <c r="EP73" s="416"/>
      <c r="EQ73" s="416"/>
      <c r="ER73" s="416"/>
      <c r="ES73" s="416"/>
      <c r="ET73" s="416"/>
      <c r="EU73" s="416"/>
      <c r="EV73" s="416"/>
      <c r="EW73" s="416"/>
      <c r="EX73" s="416"/>
      <c r="EY73" s="416"/>
      <c r="EZ73" s="416"/>
      <c r="FA73" s="416"/>
      <c r="FB73" s="416"/>
      <c r="FC73" s="416"/>
      <c r="FD73" s="416"/>
      <c r="FE73" s="416"/>
      <c r="FF73" s="416"/>
      <c r="FG73" s="416"/>
      <c r="FH73" s="416"/>
      <c r="FI73" s="416"/>
      <c r="FJ73" s="416"/>
      <c r="FK73" s="416"/>
      <c r="FL73" s="416"/>
      <c r="FM73" s="416"/>
      <c r="FR73" s="3"/>
      <c r="FS73" s="3"/>
      <c r="FV73" s="58"/>
      <c r="FW73" s="58"/>
    </row>
    <row r="74" spans="2:179">
      <c r="B74" s="386">
        <v>20</v>
      </c>
      <c r="C74" s="394"/>
      <c r="D74" s="395"/>
      <c r="E74" s="385">
        <v>24201</v>
      </c>
      <c r="F74" s="385">
        <v>24501</v>
      </c>
      <c r="G74" s="390">
        <v>300</v>
      </c>
      <c r="H74" s="386" t="s">
        <v>263</v>
      </c>
      <c r="I74" s="386" t="s">
        <v>379</v>
      </c>
      <c r="J74" s="390">
        <v>2</v>
      </c>
      <c r="K74" s="386">
        <v>4.5999999999999996</v>
      </c>
      <c r="L74" s="386" t="s">
        <v>143</v>
      </c>
      <c r="M74" s="386">
        <v>4.2</v>
      </c>
      <c r="N74" s="386">
        <v>1</v>
      </c>
      <c r="O74" s="396">
        <v>1</v>
      </c>
      <c r="P74" s="386" t="s">
        <v>366</v>
      </c>
      <c r="Q74" s="397" t="s">
        <v>144</v>
      </c>
      <c r="R74" s="419" t="s">
        <v>73</v>
      </c>
      <c r="S74" s="310">
        <v>64</v>
      </c>
      <c r="T74" s="420"/>
      <c r="U74" s="279">
        <v>24</v>
      </c>
      <c r="V74" s="323">
        <v>6473.9966140621727</v>
      </c>
      <c r="W74" s="323">
        <v>2824.5698392986178</v>
      </c>
      <c r="X74" s="420"/>
      <c r="Y74" s="398">
        <f t="shared" si="15"/>
        <v>1</v>
      </c>
      <c r="Z74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74" s="182" t="s">
        <v>644</v>
      </c>
      <c r="AB74" s="391" t="s">
        <v>654</v>
      </c>
      <c r="AC74" s="31">
        <v>3.5</v>
      </c>
      <c r="AD74" s="31">
        <v>2.5</v>
      </c>
      <c r="AE74" s="421"/>
      <c r="AF74" s="421"/>
      <c r="AG74" s="421">
        <v>0</v>
      </c>
      <c r="AH74" s="441">
        <v>0.4</v>
      </c>
      <c r="AI74" s="25">
        <v>0.03</v>
      </c>
      <c r="AJ74" s="435">
        <v>8.7999999999999995E-2</v>
      </c>
      <c r="AK74" s="330">
        <v>663</v>
      </c>
      <c r="AL74" s="263">
        <v>0.55000000000000004</v>
      </c>
      <c r="AM74" s="414">
        <v>364.65000000000003</v>
      </c>
      <c r="AN74" s="417">
        <v>3</v>
      </c>
      <c r="AO74" s="467" t="s">
        <v>73</v>
      </c>
      <c r="AP74" s="439">
        <v>88</v>
      </c>
      <c r="AQ74" s="442">
        <v>0.26</v>
      </c>
      <c r="AR74" s="422">
        <v>0.88</v>
      </c>
      <c r="AS74" s="316"/>
      <c r="AT74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74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74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74" s="23">
        <f>1/(1+(Tabela24[[#This Row],[Pt]])*(Tabela24[[#This Row],[Et]]-1)+(Tabela24[[#This Row],[PRv]])*(Tabela24[[#This Row],[Er]]-1))</f>
        <v>0.92592592592592582</v>
      </c>
      <c r="AX74" s="423">
        <f>Tabela24[veic/h]/Tabela24[PHF]</f>
        <v>753.40909090909088</v>
      </c>
      <c r="AY74" s="423">
        <v>813.68181818181824</v>
      </c>
      <c r="AZ74" s="21">
        <f>Tabela24[veic/h]/(Tabela24[PHF]*Tabela24[fg ats]*Tabela24[fhv ats])</f>
        <v>813.68181818181824</v>
      </c>
      <c r="BA74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74" s="322" t="str">
        <f>IF(AND(Tabela24[[#This Row],[vp1]]*Tabela24[[#This Row],[distrib. direc.]]&lt;1700,Tabela24[[#This Row],[vp1]]&lt;3200),"OK!","FAIL")</f>
        <v>OK!</v>
      </c>
      <c r="BC74" s="23">
        <f>INDEX('HCM2000'!$L$68:$AF$83,MATCH(Tabela24[[#This Row],[faixa (m)]],'HCM2000'!$K$68:$K$83),MATCH(Tabela24[[#This Row],[acost (m)]],'HCM2000'!$L$67:$AF$67))</f>
        <v>0.7</v>
      </c>
      <c r="BD74" s="23">
        <f>MIN(16,(2/3)*Tabela24[[#This Row],[acessos/km]])</f>
        <v>2</v>
      </c>
      <c r="BE74" s="22">
        <f>Tabela24[BFFS]-Tabela24[fLS]-Tabela24[fA]</f>
        <v>85.3</v>
      </c>
      <c r="BF74" s="23" t="e">
        <v>#REF!</v>
      </c>
      <c r="BG74" s="463">
        <f>IFERROR(Tabela24[[#This Row],[vp1]],0)</f>
        <v>813.68181818181824</v>
      </c>
      <c r="BH74" s="463">
        <f>IFERROR(Tabela24[[#This Row],[% zonas s/ultra]],0)</f>
        <v>0.26</v>
      </c>
      <c r="BI74" s="23" t="str">
        <f t="shared" si="5"/>
        <v>FNP</v>
      </c>
      <c r="BJ74" s="23">
        <v>2.4385318181818159</v>
      </c>
      <c r="BK74" s="43">
        <f>Tabela24[FFS]-0.0125*MAX(Tabela24[[#This Row],[vp1]],Tabela24[[#This Row],[vp1'']])-Tabela24[fnp'']</f>
        <v>72.690445454545454</v>
      </c>
      <c r="BL74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74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74" s="23">
        <v>1</v>
      </c>
      <c r="BO74" s="23">
        <f>1/(1+Tabela24[[#This Row],[Pt]]*(Tabela24[[#This Row],[Et time]]-1)+Tabela24[[#This Row],[PRv]]*(Tabela24[[#This Row],[Er time]]-1))</f>
        <v>0.96153846153846145</v>
      </c>
      <c r="BP74" s="23">
        <f>Tabela24[veic/h]/Tabela24[PHF]</f>
        <v>753.40909090909088</v>
      </c>
      <c r="BQ74" s="23">
        <v>783.54545454545462</v>
      </c>
      <c r="BR74" s="438">
        <f>Tabela24[veic/h]/(Tabela24[PHF]*Tabela24[fg time]*Tabela24[fhv follow])</f>
        <v>783.54545454545462</v>
      </c>
      <c r="BS74" s="438" t="str">
        <f>IF(AND(Tabela24[[#This Row],[vp2]]*Tabela24[[#This Row],[distrib. direc.]]&lt;1700,Tabela24[[#This Row],[vp2]]&lt;3200),"OK!","FAIL")</f>
        <v>OK!</v>
      </c>
      <c r="BT74" s="23">
        <f>100*(1-EXP(-0.000879*MAX(Tabela24[[#This Row],[vp2]],Tabela24[[#This Row],[vp2'']])))</f>
        <v>49.778976620816174</v>
      </c>
      <c r="BU74" s="304" t="e">
        <v>#REF!</v>
      </c>
      <c r="BV74" s="304">
        <f>IF(TYPE(Tabela24[distrib. direc.])&lt;&gt;1,0,Tabela24[distrib. direc.])</f>
        <v>0.55000000000000004</v>
      </c>
      <c r="BW74" s="304">
        <f>IF(TYPE(Tabela24[vp2])&lt;&gt;1,0,Tabela24[vp2])</f>
        <v>783.54545454545462</v>
      </c>
      <c r="BX74" s="304">
        <f>IF(TYPE(Tabela24[% zonas s/ultra])&lt;&gt;1,0,Tabela24[% zonas s/ultra])</f>
        <v>0.26</v>
      </c>
      <c r="BY74" s="304" t="str">
        <f t="shared" si="6"/>
        <v>FDNP</v>
      </c>
      <c r="BZ74" s="31">
        <v>8.7555454545453095</v>
      </c>
      <c r="CA74" s="305">
        <f>Tabela24[BPTSF]+Tabela24[fd/np'']</f>
        <v>58.53452207536148</v>
      </c>
      <c r="CB74" s="424">
        <f>Tabela24[vp1]/3200</f>
        <v>0.25427556818181818</v>
      </c>
      <c r="CC74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74" s="332">
        <f>VLOOKUP(Tabela24[faixa (m)],'HCM2000'!$B$541:$C$547,2,TRUE)</f>
        <v>1</v>
      </c>
      <c r="CE74" s="332">
        <f>IF(Tabela24[acost (m)]&gt;0,1.8,1.2)</f>
        <v>1.8</v>
      </c>
      <c r="CF74" s="332">
        <f>IF(Tabela24[Separador]=$CB$6,$CD$6,IF(Tabela24[Separador]=$CB$7,$CD$7,$CD$8))</f>
        <v>0</v>
      </c>
      <c r="CG74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74" s="332">
        <f>IF(Tabela24[Separador]="Sinalização horizontal",'HCM2000'!$C$590,'HCM2000'!$C$591)</f>
        <v>2.6</v>
      </c>
      <c r="CI74" s="332">
        <f>MIN((2/3)*Tabela24[[#This Row],[acessos/km]],16)</f>
        <v>2</v>
      </c>
      <c r="CJ74" s="332">
        <f>IF(Tabela24[fLC]="Pista simples","-",Tabela24[BFFS]-Tabela24[fLW]-Tabela24[fLC]-Tabela24[fM]-Tabela24[fA2])</f>
        <v>80.300000000000011</v>
      </c>
      <c r="CK74" s="332">
        <f>IF(Tabela24[plano/ondulado]="Montanhoso",Tabela24[Para PT&lt;],VLOOKUP(Tabela24[plano/ondulado],'HCM2000'!$B$606:$C$608,2,FALSE))</f>
        <v>1.5</v>
      </c>
      <c r="CL74" s="332">
        <f>IF(Tabela24[[#This Row],[plano/ondulado]]="Montanhoso",Tabela24[[#This Row],[Para PT&lt;]],VLOOKUP(Tabela24[[#This Row],[plano/ondulado]],'HCM2000'!$E$606:$F$608,2,FALSE))</f>
        <v>1.2</v>
      </c>
      <c r="CM74" s="433">
        <f>1/(1+(Tabela24[Pt]*(Tabela24[Et2]-1))+(Tabela24[PRv]*(Tabela24[Er2]-1)))</f>
        <v>0.82918739635157546</v>
      </c>
      <c r="CN74" s="329">
        <f>K74+IF(Tabela24[[#This Row],[Num. Faixas Marg.]]="-",0,Tabela24[[#This Row],[Num. Faixas Marg.]])</f>
        <v>4.5999999999999996</v>
      </c>
      <c r="CO74" s="331">
        <f>Tabela24[[#This Row],[Vzão]]/(Tabela24[[#This Row],[PHF]]*Tabela24[[#This Row],[N]]*Tabela24[[#This Row],[fHV]])</f>
        <v>108.63831521739132</v>
      </c>
      <c r="CP74" s="332">
        <f>IF(Tabela24[fLC]="Pista simples","-",Tabela24[vp3]/Tabela24[S])</f>
        <v>1.3529055444257947</v>
      </c>
      <c r="CQ74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74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74" s="308" t="str">
        <f>IF(Tabela24[LOS_vp3]="F","F",VLOOKUP(Tabela24[LOS_vp3],'HCM2000'!$R$655:$S$659,2))</f>
        <v>F</v>
      </c>
      <c r="CT74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74" s="425" t="str">
        <f>IF(Tabela24[[#This Row],[LOS_vp3]]="F","F",IF(Tabela24[[#This Row],[fLC]]="Pista simples","-",VLOOKUP(Tabela24[[#This Row],[LOS_D3]],'HCM2000'!$R$655:$S$659,2)))</f>
        <v>F</v>
      </c>
      <c r="CV74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74" s="381"/>
      <c r="CX74" s="381"/>
      <c r="CY74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74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74" s="22">
        <f>ABS(INDEX('HCM2000'!$E$611:$M$611,1,MATCH(Tabela24[Pt]*100,'HCM2000'!$E$611:$M$611,1))-Tabela24[Pt]*100)</f>
        <v>15</v>
      </c>
      <c r="DB74" s="22" t="e">
        <f>INDEX('HCM2000'!$E$611:$M$611,1,MATCH(Tabela24[[#This Row],[Pt]]*100,'HCM2000'!$E$611:$M$611,1)+1)-Tabela24[[#This Row],[Pt]]*100</f>
        <v>#REF!</v>
      </c>
      <c r="DC74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74" s="440"/>
      <c r="DE74" s="423" t="e">
        <f>1/(1+(Tabela24[Pt]*(Tabela24[ETsu]-1))+(Tabela24[PRv]*(Tabela24[ERsu]-1)))</f>
        <v>#N/A</v>
      </c>
      <c r="DF74" s="438" t="e">
        <f>Tabela24[Vzão]/(Tabela24[PHF]*Tabela24[N]*Tabela24[fHVsu])</f>
        <v>#N/A</v>
      </c>
      <c r="DG74" s="332" t="e">
        <f>IF(Tabela24[fLC]="Pista simples","-",Tabela24[vpsu]/Tabela24[S])</f>
        <v>#N/A</v>
      </c>
      <c r="DH74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74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74" s="425" t="str">
        <f>IF(Tabela24[[#This Row],[LOS_vp3]]="F","F",VLOOKUP(Tabela24[[#This Row],[LOS_vp3]],'HCM2000'!$R$655:$S$659,2))</f>
        <v>F</v>
      </c>
      <c r="DK74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74" s="425" t="str">
        <f>IF(Tabela24[[#This Row],[LOS_vp3]]="F","F",IF(Tabela24[[#This Row],[fLC]]="Pista simples","-",VLOOKUP(Tabela24[[#This Row],[LOS_D3]],'HCM2000'!$R$655:$S$659,2)))</f>
        <v>F</v>
      </c>
      <c r="DM74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74" s="416"/>
      <c r="DO74" s="22">
        <f>Tabela24[[#This Row],[ATS]]</f>
        <v>72.690445454545454</v>
      </c>
      <c r="DP74" s="416">
        <v>69.8</v>
      </c>
      <c r="DQ74" s="22">
        <f t="shared" si="11"/>
        <v>2.890445454545457</v>
      </c>
      <c r="DR74" s="22">
        <f>Tabela24[[#This Row],[PTSF]]</f>
        <v>58.53452207536148</v>
      </c>
      <c r="DS74" s="416">
        <v>64.900000000000006</v>
      </c>
      <c r="DT74" s="22">
        <f t="shared" si="12"/>
        <v>6.365477924638526</v>
      </c>
      <c r="DU74" s="22"/>
      <c r="DV74" s="22">
        <v>72.690445454545454</v>
      </c>
      <c r="DW74" s="22">
        <v>69.8</v>
      </c>
      <c r="DX74" s="22">
        <v>2.890445454545457</v>
      </c>
      <c r="DY74" s="22">
        <v>73.080835843749441</v>
      </c>
      <c r="DZ74" s="22">
        <v>64.900000000000006</v>
      </c>
      <c r="EA74" s="22">
        <v>6.365477924638526</v>
      </c>
      <c r="EB74" s="416"/>
      <c r="EC74" s="416"/>
      <c r="ED74" s="416"/>
      <c r="EE74" s="416"/>
      <c r="EF74" s="416"/>
      <c r="EG74" s="416"/>
      <c r="EH74" s="416"/>
      <c r="EI74" s="416"/>
      <c r="EJ74" s="416"/>
      <c r="EK74" s="416"/>
      <c r="EL74" s="416"/>
      <c r="EM74" s="416"/>
      <c r="EN74" s="416"/>
      <c r="EO74" s="416"/>
      <c r="EP74" s="416"/>
      <c r="EQ74" s="416"/>
      <c r="ER74" s="416"/>
      <c r="ES74" s="416"/>
      <c r="ET74" s="416"/>
      <c r="EU74" s="416"/>
      <c r="EV74" s="416"/>
      <c r="EW74" s="416"/>
      <c r="EX74" s="416"/>
      <c r="EY74" s="416"/>
      <c r="EZ74" s="416"/>
      <c r="FA74" s="416"/>
      <c r="FB74" s="416"/>
      <c r="FC74" s="416"/>
      <c r="FD74" s="416"/>
      <c r="FE74" s="416"/>
      <c r="FF74" s="416"/>
      <c r="FG74" s="416"/>
      <c r="FH74" s="416"/>
      <c r="FI74" s="416"/>
      <c r="FJ74" s="416"/>
      <c r="FK74" s="416"/>
      <c r="FL74" s="416"/>
      <c r="FM74" s="416"/>
      <c r="FR74" s="3"/>
      <c r="FS74" s="3"/>
      <c r="FV74" s="58"/>
      <c r="FW74" s="58"/>
    </row>
    <row r="75" spans="2:179">
      <c r="B75" s="386" t="s">
        <v>645</v>
      </c>
      <c r="C75" s="394"/>
      <c r="D75" s="395"/>
      <c r="E75" s="385">
        <v>24201</v>
      </c>
      <c r="F75" s="385">
        <v>24501</v>
      </c>
      <c r="G75" s="390">
        <v>300</v>
      </c>
      <c r="H75" s="386" t="s">
        <v>263</v>
      </c>
      <c r="I75" s="386" t="s">
        <v>379</v>
      </c>
      <c r="J75" s="390">
        <v>2</v>
      </c>
      <c r="K75" s="386">
        <v>4.5999999999999996</v>
      </c>
      <c r="L75" s="386" t="s">
        <v>143</v>
      </c>
      <c r="M75" s="386">
        <v>4.2</v>
      </c>
      <c r="N75" s="386">
        <v>1</v>
      </c>
      <c r="O75" s="396">
        <v>1</v>
      </c>
      <c r="P75" s="386" t="s">
        <v>366</v>
      </c>
      <c r="Q75" s="397" t="s">
        <v>144</v>
      </c>
      <c r="R75" s="419" t="s">
        <v>73</v>
      </c>
      <c r="S75" s="310">
        <v>65</v>
      </c>
      <c r="T75" s="420"/>
      <c r="U75" s="279">
        <v>24</v>
      </c>
      <c r="V75" s="323">
        <v>6473.9966140621727</v>
      </c>
      <c r="W75" s="323">
        <v>2824.5698392986178</v>
      </c>
      <c r="X75" s="420"/>
      <c r="Y75" s="398">
        <f t="shared" si="15"/>
        <v>1</v>
      </c>
      <c r="Z75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75" s="182" t="s">
        <v>644</v>
      </c>
      <c r="AB75" s="391" t="s">
        <v>654</v>
      </c>
      <c r="AC75" s="31" t="s">
        <v>645</v>
      </c>
      <c r="AD75" s="31" t="s">
        <v>645</v>
      </c>
      <c r="AE75" s="421"/>
      <c r="AF75" s="421"/>
      <c r="AG75" s="421">
        <v>0</v>
      </c>
      <c r="AH75" s="441" t="e">
        <v>#VALUE!</v>
      </c>
      <c r="AI75" s="25" t="e">
        <v>#VALUE!</v>
      </c>
      <c r="AJ75" s="435">
        <v>8.7999999999999995E-2</v>
      </c>
      <c r="AK75" s="330" t="s">
        <v>645</v>
      </c>
      <c r="AL75" s="263">
        <v>0.55000000000000004</v>
      </c>
      <c r="AM75" s="414" t="e">
        <v>#VALUE!</v>
      </c>
      <c r="AN75" s="417" t="s">
        <v>645</v>
      </c>
      <c r="AO75" s="467" t="s">
        <v>73</v>
      </c>
      <c r="AP75" s="439" t="s">
        <v>645</v>
      </c>
      <c r="AQ75" s="442" t="e">
        <v>#VALUE!</v>
      </c>
      <c r="AR75" s="422" t="s">
        <v>645</v>
      </c>
      <c r="AS75" s="316"/>
      <c r="AT75" s="412" t="e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#VALUE!</v>
      </c>
      <c r="AU75" s="23" t="e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#VALUE!</v>
      </c>
      <c r="AV75" s="23" t="e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#VALUE!</v>
      </c>
      <c r="AW75" s="23" t="e">
        <f>1/(1+(Tabela24[[#This Row],[Pt]])*(Tabela24[[#This Row],[Et]]-1)+(Tabela24[[#This Row],[PRv]])*(Tabela24[[#This Row],[Er]]-1))</f>
        <v>#VALUE!</v>
      </c>
      <c r="AX75" s="423" t="e">
        <f>Tabela24[veic/h]/Tabela24[PHF]</f>
        <v>#VALUE!</v>
      </c>
      <c r="AY75" s="423" t="e">
        <v>#VALUE!</v>
      </c>
      <c r="AZ75" s="21" t="e">
        <f>Tabela24[veic/h]/(Tabela24[PHF]*Tabela24[fg ats]*Tabela24[fhv ats])</f>
        <v>#VALUE!</v>
      </c>
      <c r="BA75" s="322" t="e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#VALUE!</v>
      </c>
      <c r="BB75" s="322" t="e">
        <f>IF(AND(Tabela24[[#This Row],[vp1]]*Tabela24[[#This Row],[distrib. direc.]]&lt;1700,Tabela24[[#This Row],[vp1]]&lt;3200),"OK!","FAIL")</f>
        <v>#VALUE!</v>
      </c>
      <c r="BC75" s="23" t="e">
        <f>INDEX('HCM2000'!$L$68:$AF$83,MATCH(Tabela24[[#This Row],[faixa (m)]],'HCM2000'!$K$68:$K$83),MATCH(Tabela24[[#This Row],[acost (m)]],'HCM2000'!$L$67:$AF$67))</f>
        <v>#N/A</v>
      </c>
      <c r="BD75" s="23" t="e">
        <f>MIN(16,(2/3)*Tabela24[[#This Row],[acessos/km]])</f>
        <v>#VALUE!</v>
      </c>
      <c r="BE75" s="22" t="e">
        <f>Tabela24[BFFS]-Tabela24[fLS]-Tabela24[fA]</f>
        <v>#VALUE!</v>
      </c>
      <c r="BF75" s="23" t="e">
        <v>#REF!</v>
      </c>
      <c r="BG75" s="463">
        <f>IFERROR(Tabela24[[#This Row],[vp1]],0)</f>
        <v>0</v>
      </c>
      <c r="BH75" s="463">
        <f>IFERROR(Tabela24[[#This Row],[% zonas s/ultra]],0)</f>
        <v>0</v>
      </c>
      <c r="BI75" s="23" t="str">
        <f t="shared" si="5"/>
        <v>FNP</v>
      </c>
      <c r="BJ75" s="23">
        <v>0</v>
      </c>
      <c r="BK75" s="43" t="e">
        <f>Tabela24[FFS]-0.0125*MAX(Tabela24[[#This Row],[vp1]],Tabela24[[#This Row],[vp1'']])-Tabela24[fnp'']</f>
        <v>#VALUE!</v>
      </c>
      <c r="BL75" s="412" t="e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#VALUE!</v>
      </c>
      <c r="BM75" s="23" t="e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#VALUE!</v>
      </c>
      <c r="BN75" s="23">
        <v>1</v>
      </c>
      <c r="BO75" s="23" t="e">
        <f>1/(1+Tabela24[[#This Row],[Pt]]*(Tabela24[[#This Row],[Et time]]-1)+Tabela24[[#This Row],[PRv]]*(Tabela24[[#This Row],[Er time]]-1))</f>
        <v>#VALUE!</v>
      </c>
      <c r="BP75" s="23" t="e">
        <f>Tabela24[veic/h]/Tabela24[PHF]</f>
        <v>#VALUE!</v>
      </c>
      <c r="BQ75" s="23" t="e">
        <v>#VALUE!</v>
      </c>
      <c r="BR75" s="438" t="e">
        <f>Tabela24[veic/h]/(Tabela24[PHF]*Tabela24[fg time]*Tabela24[fhv follow])</f>
        <v>#VALUE!</v>
      </c>
      <c r="BS75" s="438" t="e">
        <f>IF(AND(Tabela24[[#This Row],[vp2]]*Tabela24[[#This Row],[distrib. direc.]]&lt;1700,Tabela24[[#This Row],[vp2]]&lt;3200),"OK!","FAIL")</f>
        <v>#VALUE!</v>
      </c>
      <c r="BT75" s="23" t="e">
        <f>100*(1-EXP(-0.000879*MAX(Tabela24[[#This Row],[vp2]],Tabela24[[#This Row],[vp2'']])))</f>
        <v>#VALUE!</v>
      </c>
      <c r="BU75" s="304" t="e">
        <v>#REF!</v>
      </c>
      <c r="BV75" s="304">
        <f>IF(TYPE(Tabela24[distrib. direc.])&lt;&gt;1,0,Tabela24[distrib. direc.])</f>
        <v>0.55000000000000004</v>
      </c>
      <c r="BW75" s="304">
        <f>IF(TYPE(Tabela24[vp2])&lt;&gt;1,0,Tabela24[vp2])</f>
        <v>0</v>
      </c>
      <c r="BX75" s="304">
        <f>IF(TYPE(Tabela24[% zonas s/ultra])&lt;&gt;1,0,Tabela24[% zonas s/ultra])</f>
        <v>0</v>
      </c>
      <c r="BY75" s="304" t="str">
        <f t="shared" si="6"/>
        <v>FDNP</v>
      </c>
      <c r="BZ75" s="31">
        <v>1.6000000000000014</v>
      </c>
      <c r="CA75" s="305" t="e">
        <f>Tabela24[BPTSF]+Tabela24[fd/np'']</f>
        <v>#VALUE!</v>
      </c>
      <c r="CB75" s="424" t="e">
        <f>Tabela24[vp1]/3200</f>
        <v>#VALUE!</v>
      </c>
      <c r="CC75" s="280" t="e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#VALUE!</v>
      </c>
      <c r="CD75" s="332" t="e">
        <f>VLOOKUP(Tabela24[faixa (m)],'HCM2000'!$B$541:$C$547,2,TRUE)</f>
        <v>#N/A</v>
      </c>
      <c r="CE75" s="332">
        <f>IF(Tabela24[acost (m)]&gt;0,1.8,1.2)</f>
        <v>1.8</v>
      </c>
      <c r="CF75" s="332">
        <f>IF(Tabela24[Separador]=$CB$6,$CD$6,IF(Tabela24[Separador]=$CB$7,$CD$7,$CD$8))</f>
        <v>0</v>
      </c>
      <c r="CG75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75" s="332">
        <f>IF(Tabela24[Separador]="Sinalização horizontal",'HCM2000'!$C$590,'HCM2000'!$C$591)</f>
        <v>2.6</v>
      </c>
      <c r="CI75" s="332" t="e">
        <f>MIN((2/3)*Tabela24[[#This Row],[acessos/km]],16)</f>
        <v>#VALUE!</v>
      </c>
      <c r="CJ75" s="332" t="e">
        <f>IF(Tabela24[fLC]="Pista simples","-",Tabela24[BFFS]-Tabela24[fLW]-Tabela24[fLC]-Tabela24[fM]-Tabela24[fA2])</f>
        <v>#VALUE!</v>
      </c>
      <c r="CK75" s="332">
        <f>IF(Tabela24[plano/ondulado]="Montanhoso",Tabela24[Para PT&lt;],VLOOKUP(Tabela24[plano/ondulado],'HCM2000'!$B$606:$C$608,2,FALSE))</f>
        <v>1.5</v>
      </c>
      <c r="CL75" s="332">
        <f>IF(Tabela24[[#This Row],[plano/ondulado]]="Montanhoso",Tabela24[[#This Row],[Para PT&lt;]],VLOOKUP(Tabela24[[#This Row],[plano/ondulado]],'HCM2000'!$E$606:$F$608,2,FALSE))</f>
        <v>1.2</v>
      </c>
      <c r="CM75" s="433" t="e">
        <f>1/(1+(Tabela24[Pt]*(Tabela24[Et2]-1))+(Tabela24[PRv]*(Tabela24[Er2]-1)))</f>
        <v>#VALUE!</v>
      </c>
      <c r="CN75" s="329">
        <f>K75+IF(Tabela24[[#This Row],[Num. Faixas Marg.]]="-",0,Tabela24[[#This Row],[Num. Faixas Marg.]])</f>
        <v>4.5999999999999996</v>
      </c>
      <c r="CO75" s="331" t="e">
        <f>Tabela24[[#This Row],[Vzão]]/(Tabela24[[#This Row],[PHF]]*Tabela24[[#This Row],[N]]*Tabela24[[#This Row],[fHV]])</f>
        <v>#VALUE!</v>
      </c>
      <c r="CP75" s="332" t="e">
        <f>IF(Tabela24[fLC]="Pista simples","-",Tabela24[vp3]/Tabela24[S])</f>
        <v>#VALUE!</v>
      </c>
      <c r="CQ75" s="332" t="e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#VALUE!</v>
      </c>
      <c r="CR75" s="329" t="e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#VALUE!</v>
      </c>
      <c r="CS75" s="308" t="e">
        <f>IF(Tabela24[LOS_vp3]="F","F",VLOOKUP(Tabela24[LOS_vp3],'HCM2000'!$R$655:$S$659,2))</f>
        <v>#VALUE!</v>
      </c>
      <c r="CT75" s="329" t="e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#VALUE!</v>
      </c>
      <c r="CU75" s="425" t="e">
        <f>IF(Tabela24[[#This Row],[LOS_vp3]]="F","F",IF(Tabela24[[#This Row],[fLC]]="Pista simples","-",VLOOKUP(Tabela24[[#This Row],[LOS_D3]],'HCM2000'!$R$655:$S$659,2)))</f>
        <v>#VALUE!</v>
      </c>
      <c r="CV75" s="280" t="e">
        <f>IF(OR(Tabela24[[#This Row],[LOS_vp3]]="F",Tabela24[[#This Row],[LOS_D3]]="F"),"F",IF(Tabela24[[#This Row],[Pista]]="Pista Simples","-",VLOOKUP(MINA(Tabela24[LOS_vp],Tabela24[LOS_D]),'HCM2000'!$R$655:$S$659,2)))</f>
        <v>#VALUE!</v>
      </c>
      <c r="CW75" s="381"/>
      <c r="CX75" s="381"/>
      <c r="CY75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75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75" s="22" t="e">
        <f>ABS(INDEX('HCM2000'!$E$611:$M$611,1,MATCH(Tabela24[Pt]*100,'HCM2000'!$E$611:$M$611,1))-Tabela24[Pt]*100)</f>
        <v>#VALUE!</v>
      </c>
      <c r="DB75" s="22" t="e">
        <f>INDEX('HCM2000'!$E$611:$M$611,1,MATCH(Tabela24[[#This Row],[Pt]]*100,'HCM2000'!$E$611:$M$611,1)+1)-Tabela24[[#This Row],[Pt]]*100</f>
        <v>#VALUE!</v>
      </c>
      <c r="DC75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75" s="440"/>
      <c r="DE75" s="423" t="e">
        <f>1/(1+(Tabela24[Pt]*(Tabela24[ETsu]-1))+(Tabela24[PRv]*(Tabela24[ERsu]-1)))</f>
        <v>#VALUE!</v>
      </c>
      <c r="DF75" s="438" t="e">
        <f>Tabela24[Vzão]/(Tabela24[PHF]*Tabela24[N]*Tabela24[fHVsu])</f>
        <v>#VALUE!</v>
      </c>
      <c r="DG75" s="332" t="e">
        <f>IF(Tabela24[fLC]="Pista simples","-",Tabela24[vpsu]/Tabela24[S])</f>
        <v>#VALUE!</v>
      </c>
      <c r="DH75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#VALUE!</v>
      </c>
      <c r="DI75" s="426" t="e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#VALUE!</v>
      </c>
      <c r="DJ75" s="425" t="e">
        <f>IF(Tabela24[[#This Row],[LOS_vp3]]="F","F",VLOOKUP(Tabela24[[#This Row],[LOS_vp3]],'HCM2000'!$R$655:$S$659,2))</f>
        <v>#VALUE!</v>
      </c>
      <c r="DK75" s="426" t="e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#VALUE!</v>
      </c>
      <c r="DL75" s="425" t="e">
        <f>IF(Tabela24[[#This Row],[LOS_vp3]]="F","F",IF(Tabela24[[#This Row],[fLC]]="Pista simples","-",VLOOKUP(Tabela24[[#This Row],[LOS_D3]],'HCM2000'!$R$655:$S$659,2)))</f>
        <v>#VALUE!</v>
      </c>
      <c r="DM75" s="416" t="e">
        <f>IF(OR(Tabela24[[#This Row],[LOS_vp3]]="F",Tabela24[[#This Row],[LOS_D3]]="F"),"F",IF(Tabela24[[#This Row],[Pista]]="Pista Simples","-",VLOOKUP(MINA(Tabela24[LOS_vp3],Tabela24[LOS_D3]),'HCM2000'!$R$655:$S$659,2)))</f>
        <v>#VALUE!</v>
      </c>
      <c r="DN75" s="416"/>
      <c r="DO75" s="22" t="e">
        <f>Tabela24[[#This Row],[ATS]]</f>
        <v>#VALUE!</v>
      </c>
      <c r="DP75" s="416" t="s">
        <v>645</v>
      </c>
      <c r="DQ75" s="22" t="e">
        <f t="shared" si="11"/>
        <v>#VALUE!</v>
      </c>
      <c r="DR75" s="22" t="e">
        <f>Tabela24[[#This Row],[PTSF]]</f>
        <v>#VALUE!</v>
      </c>
      <c r="DS75" s="416" t="s">
        <v>645</v>
      </c>
      <c r="DT75" s="22" t="e">
        <f t="shared" si="12"/>
        <v>#VALUE!</v>
      </c>
      <c r="DU75" s="22"/>
      <c r="DV75" s="22" t="e">
        <v>#VALUE!</v>
      </c>
      <c r="DW75" s="440" t="s">
        <v>645</v>
      </c>
      <c r="DX75" s="22" t="e">
        <v>#VALUE!</v>
      </c>
      <c r="DY75" s="22" t="e">
        <v>#VALUE!</v>
      </c>
      <c r="DZ75" s="440" t="s">
        <v>645</v>
      </c>
      <c r="EA75" s="22" t="e">
        <v>#VALUE!</v>
      </c>
      <c r="EB75" s="416"/>
      <c r="EC75" s="416"/>
      <c r="ED75" s="416"/>
      <c r="EE75" s="416"/>
      <c r="EF75" s="416"/>
      <c r="EG75" s="416"/>
      <c r="EH75" s="416"/>
      <c r="EI75" s="416"/>
      <c r="EJ75" s="416"/>
      <c r="EK75" s="416"/>
      <c r="EL75" s="416"/>
      <c r="EM75" s="416"/>
      <c r="EN75" s="416"/>
      <c r="EO75" s="416"/>
      <c r="EP75" s="416"/>
      <c r="EQ75" s="416"/>
      <c r="ER75" s="416"/>
      <c r="ES75" s="416"/>
      <c r="ET75" s="416"/>
      <c r="EU75" s="416"/>
      <c r="EV75" s="416"/>
      <c r="EW75" s="416"/>
      <c r="EX75" s="416"/>
      <c r="EY75" s="416"/>
      <c r="EZ75" s="416"/>
      <c r="FA75" s="416"/>
      <c r="FB75" s="416"/>
      <c r="FC75" s="416"/>
      <c r="FD75" s="416"/>
      <c r="FE75" s="416"/>
      <c r="FF75" s="416"/>
      <c r="FG75" s="416"/>
      <c r="FH75" s="416"/>
      <c r="FI75" s="416"/>
      <c r="FJ75" s="416"/>
      <c r="FK75" s="416"/>
      <c r="FL75" s="416"/>
      <c r="FM75" s="416"/>
      <c r="FR75" s="3"/>
      <c r="FS75" s="3"/>
      <c r="FV75" s="58"/>
      <c r="FW75" s="58"/>
    </row>
    <row r="76" spans="2:179">
      <c r="B76" s="386">
        <v>24</v>
      </c>
      <c r="C76" s="394"/>
      <c r="D76" s="395"/>
      <c r="E76" s="385">
        <v>24201</v>
      </c>
      <c r="F76" s="385">
        <v>24501</v>
      </c>
      <c r="G76" s="390">
        <v>300</v>
      </c>
      <c r="H76" s="386" t="s">
        <v>263</v>
      </c>
      <c r="I76" s="386" t="s">
        <v>379</v>
      </c>
      <c r="J76" s="390">
        <v>2</v>
      </c>
      <c r="K76" s="386">
        <v>4.5999999999999996</v>
      </c>
      <c r="L76" s="386" t="s">
        <v>143</v>
      </c>
      <c r="M76" s="386">
        <v>4.2</v>
      </c>
      <c r="N76" s="386">
        <v>1</v>
      </c>
      <c r="O76" s="396">
        <v>1</v>
      </c>
      <c r="P76" s="386" t="s">
        <v>366</v>
      </c>
      <c r="Q76" s="397" t="s">
        <v>144</v>
      </c>
      <c r="R76" s="419" t="s">
        <v>73</v>
      </c>
      <c r="S76" s="310">
        <v>66</v>
      </c>
      <c r="T76" s="420"/>
      <c r="U76" s="279">
        <v>24</v>
      </c>
      <c r="V76" s="323">
        <v>6473.9966140621727</v>
      </c>
      <c r="W76" s="323">
        <v>2824.5698392986178</v>
      </c>
      <c r="X76" s="420"/>
      <c r="Y76" s="398">
        <f t="shared" si="15"/>
        <v>1</v>
      </c>
      <c r="Z76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76" s="182" t="s">
        <v>644</v>
      </c>
      <c r="AB76" s="391" t="s">
        <v>654</v>
      </c>
      <c r="AC76" s="31">
        <v>3.5</v>
      </c>
      <c r="AD76" s="31">
        <v>2.5</v>
      </c>
      <c r="AE76" s="421"/>
      <c r="AF76" s="421"/>
      <c r="AG76" s="421">
        <v>0</v>
      </c>
      <c r="AH76" s="441">
        <v>0.37</v>
      </c>
      <c r="AI76" s="25">
        <v>0.03</v>
      </c>
      <c r="AJ76" s="435">
        <v>8.7999999999999995E-2</v>
      </c>
      <c r="AK76" s="330">
        <v>703</v>
      </c>
      <c r="AL76" s="263">
        <v>0.55000000000000004</v>
      </c>
      <c r="AM76" s="414">
        <v>386.65000000000003</v>
      </c>
      <c r="AN76" s="417">
        <v>3</v>
      </c>
      <c r="AO76" s="467" t="s">
        <v>73</v>
      </c>
      <c r="AP76" s="439">
        <v>88</v>
      </c>
      <c r="AQ76" s="442">
        <v>0.68</v>
      </c>
      <c r="AR76" s="422">
        <v>0.88</v>
      </c>
      <c r="AS76" s="316"/>
      <c r="AT76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76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76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76" s="23">
        <f>1/(1+(Tabela24[[#This Row],[Pt]])*(Tabela24[[#This Row],[Et]]-1)+(Tabela24[[#This Row],[PRv]])*(Tabela24[[#This Row],[Er]]-1))</f>
        <v>0.93109869646182486</v>
      </c>
      <c r="AX76" s="423">
        <f>Tabela24[veic/h]/Tabela24[PHF]</f>
        <v>798.86363636363637</v>
      </c>
      <c r="AY76" s="423">
        <v>857.97954545454559</v>
      </c>
      <c r="AZ76" s="21">
        <f>Tabela24[veic/h]/(Tabela24[PHF]*Tabela24[fg ats]*Tabela24[fhv ats])</f>
        <v>857.97954545454559</v>
      </c>
      <c r="BA76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76" s="322" t="str">
        <f>IF(AND(Tabela24[[#This Row],[vp1]]*Tabela24[[#This Row],[distrib. direc.]]&lt;1700,Tabela24[[#This Row],[vp1]]&lt;3200),"OK!","FAIL")</f>
        <v>OK!</v>
      </c>
      <c r="BC76" s="23">
        <f>INDEX('HCM2000'!$L$68:$AF$83,MATCH(Tabela24[[#This Row],[faixa (m)]],'HCM2000'!$K$68:$K$83),MATCH(Tabela24[[#This Row],[acost (m)]],'HCM2000'!$L$67:$AF$67))</f>
        <v>0.7</v>
      </c>
      <c r="BD76" s="23">
        <f>MIN(16,(2/3)*Tabela24[[#This Row],[acessos/km]])</f>
        <v>2</v>
      </c>
      <c r="BE76" s="22">
        <f>Tabela24[BFFS]-Tabela24[fLS]-Tabela24[fA]</f>
        <v>85.3</v>
      </c>
      <c r="BF76" s="23" t="e">
        <v>#REF!</v>
      </c>
      <c r="BG76" s="463">
        <f>IFERROR(Tabela24[[#This Row],[vp1]],0)</f>
        <v>857.97954545454559</v>
      </c>
      <c r="BH76" s="463">
        <f>IFERROR(Tabela24[[#This Row],[% zonas s/ultra]],0)</f>
        <v>0.68</v>
      </c>
      <c r="BI76" s="23" t="str">
        <f t="shared" si="5"/>
        <v>FNP</v>
      </c>
      <c r="BJ76" s="23">
        <v>3.8570715909090865</v>
      </c>
      <c r="BK76" s="43">
        <f>Tabela24[FFS]-0.0125*MAX(Tabela24[[#This Row],[vp1]],Tabela24[[#This Row],[vp1'']])-Tabela24[fnp'']</f>
        <v>70.718184090909091</v>
      </c>
      <c r="BL76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76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76" s="23">
        <v>1</v>
      </c>
      <c r="BO76" s="23">
        <f>1/(1+Tabela24[[#This Row],[Pt]]*(Tabela24[[#This Row],[Et time]]-1)+Tabela24[[#This Row],[PRv]]*(Tabela24[[#This Row],[Er time]]-1))</f>
        <v>0.96432015429122475</v>
      </c>
      <c r="BP76" s="23">
        <f>Tabela24[veic/h]/Tabela24[PHF]</f>
        <v>798.86363636363637</v>
      </c>
      <c r="BQ76" s="23">
        <v>828.42159090909092</v>
      </c>
      <c r="BR76" s="438">
        <f>Tabela24[veic/h]/(Tabela24[PHF]*Tabela24[fg time]*Tabela24[fhv follow])</f>
        <v>828.42159090909092</v>
      </c>
      <c r="BS76" s="438" t="str">
        <f>IF(AND(Tabela24[[#This Row],[vp2]]*Tabela24[[#This Row],[distrib. direc.]]&lt;1700,Tabela24[[#This Row],[vp2]]&lt;3200),"OK!","FAIL")</f>
        <v>OK!</v>
      </c>
      <c r="BT76" s="23">
        <f>100*(1-EXP(-0.000879*MAX(Tabela24[[#This Row],[vp2]],Tabela24[[#This Row],[vp2'']])))</f>
        <v>51.721438174617205</v>
      </c>
      <c r="BU76" s="304" t="e">
        <v>#REF!</v>
      </c>
      <c r="BV76" s="304">
        <f>IF(TYPE(Tabela24[distrib. direc.])&lt;&gt;1,0,Tabela24[distrib. direc.])</f>
        <v>0.55000000000000004</v>
      </c>
      <c r="BW76" s="304">
        <f>IF(TYPE(Tabela24[vp2])&lt;&gt;1,0,Tabela24[vp2])</f>
        <v>828.42159090909092</v>
      </c>
      <c r="BX76" s="304">
        <f>IF(TYPE(Tabela24[% zonas s/ultra])&lt;&gt;1,0,Tabela24[% zonas s/ultra])</f>
        <v>0.68</v>
      </c>
      <c r="BY76" s="304" t="str">
        <f t="shared" si="6"/>
        <v>FDNP</v>
      </c>
      <c r="BZ76" s="31">
        <v>12.995784090908948</v>
      </c>
      <c r="CA76" s="305">
        <f>Tabela24[BPTSF]+Tabela24[fd/np'']</f>
        <v>64.717222265526146</v>
      </c>
      <c r="CB76" s="424">
        <f>Tabela24[vp1]/3200</f>
        <v>0.26811860795454551</v>
      </c>
      <c r="CC76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76" s="332">
        <f>VLOOKUP(Tabela24[faixa (m)],'HCM2000'!$B$541:$C$547,2,TRUE)</f>
        <v>1</v>
      </c>
      <c r="CE76" s="332">
        <f>IF(Tabela24[acost (m)]&gt;0,1.8,1.2)</f>
        <v>1.8</v>
      </c>
      <c r="CF76" s="332">
        <f>IF(Tabela24[Separador]=$CB$6,$CD$6,IF(Tabela24[Separador]=$CB$7,$CD$7,$CD$8))</f>
        <v>0</v>
      </c>
      <c r="CG76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76" s="332">
        <f>IF(Tabela24[Separador]="Sinalização horizontal",'HCM2000'!$C$590,'HCM2000'!$C$591)</f>
        <v>2.6</v>
      </c>
      <c r="CI76" s="332">
        <f>MIN((2/3)*Tabela24[[#This Row],[acessos/km]],16)</f>
        <v>2</v>
      </c>
      <c r="CJ76" s="332">
        <f>IF(Tabela24[fLC]="Pista simples","-",Tabela24[BFFS]-Tabela24[fLW]-Tabela24[fLC]-Tabela24[fM]-Tabela24[fA2])</f>
        <v>80.300000000000011</v>
      </c>
      <c r="CK76" s="332">
        <f>IF(Tabela24[plano/ondulado]="Montanhoso",Tabela24[Para PT&lt;],VLOOKUP(Tabela24[plano/ondulado],'HCM2000'!$B$606:$C$608,2,FALSE))</f>
        <v>1.5</v>
      </c>
      <c r="CL76" s="332">
        <f>IF(Tabela24[[#This Row],[plano/ondulado]]="Montanhoso",Tabela24[[#This Row],[Para PT&lt;]],VLOOKUP(Tabela24[[#This Row],[plano/ondulado]],'HCM2000'!$E$606:$F$608,2,FALSE))</f>
        <v>1.2</v>
      </c>
      <c r="CM76" s="433">
        <f>1/(1+(Tabela24[Pt]*(Tabela24[Et2]-1))+(Tabela24[PRv]*(Tabela24[Er2]-1)))</f>
        <v>0.83963056255247692</v>
      </c>
      <c r="CN76" s="329">
        <f>K76+IF(Tabela24[[#This Row],[Num. Faixas Marg.]]="-",0,Tabela24[[#This Row],[Num. Faixas Marg.]])</f>
        <v>4.5999999999999996</v>
      </c>
      <c r="CO76" s="331">
        <f>Tabela24[[#This Row],[Vzão]]/(Tabela24[[#This Row],[PHF]]*Tabela24[[#This Row],[N]]*Tabela24[[#This Row],[fHV]])</f>
        <v>113.75991847826089</v>
      </c>
      <c r="CP76" s="332">
        <f>IF(Tabela24[fLC]="Pista simples","-",Tabela24[vp3]/Tabela24[S])</f>
        <v>1.4166864069521901</v>
      </c>
      <c r="CQ76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76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76" s="308" t="str">
        <f>IF(Tabela24[LOS_vp3]="F","F",VLOOKUP(Tabela24[LOS_vp3],'HCM2000'!$R$655:$S$659,2))</f>
        <v>F</v>
      </c>
      <c r="CT76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76" s="425" t="str">
        <f>IF(Tabela24[[#This Row],[LOS_vp3]]="F","F",IF(Tabela24[[#This Row],[fLC]]="Pista simples","-",VLOOKUP(Tabela24[[#This Row],[LOS_D3]],'HCM2000'!$R$655:$S$659,2)))</f>
        <v>F</v>
      </c>
      <c r="CV76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76" s="381"/>
      <c r="CX76" s="381"/>
      <c r="CY76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76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76" s="22">
        <f>ABS(INDEX('HCM2000'!$E$611:$M$611,1,MATCH(Tabela24[Pt]*100,'HCM2000'!$E$611:$M$611,1))-Tabela24[Pt]*100)</f>
        <v>12</v>
      </c>
      <c r="DB76" s="22" t="e">
        <f>INDEX('HCM2000'!$E$611:$M$611,1,MATCH(Tabela24[[#This Row],[Pt]]*100,'HCM2000'!$E$611:$M$611,1)+1)-Tabela24[[#This Row],[Pt]]*100</f>
        <v>#REF!</v>
      </c>
      <c r="DC76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76" s="440"/>
      <c r="DE76" s="423" t="e">
        <f>1/(1+(Tabela24[Pt]*(Tabela24[ETsu]-1))+(Tabela24[PRv]*(Tabela24[ERsu]-1)))</f>
        <v>#N/A</v>
      </c>
      <c r="DF76" s="438" t="e">
        <f>Tabela24[Vzão]/(Tabela24[PHF]*Tabela24[N]*Tabela24[fHVsu])</f>
        <v>#N/A</v>
      </c>
      <c r="DG76" s="332" t="e">
        <f>IF(Tabela24[fLC]="Pista simples","-",Tabela24[vpsu]/Tabela24[S])</f>
        <v>#N/A</v>
      </c>
      <c r="DH76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76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76" s="425" t="str">
        <f>IF(Tabela24[[#This Row],[LOS_vp3]]="F","F",VLOOKUP(Tabela24[[#This Row],[LOS_vp3]],'HCM2000'!$R$655:$S$659,2))</f>
        <v>F</v>
      </c>
      <c r="DK76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76" s="425" t="str">
        <f>IF(Tabela24[[#This Row],[LOS_vp3]]="F","F",IF(Tabela24[[#This Row],[fLC]]="Pista simples","-",VLOOKUP(Tabela24[[#This Row],[LOS_D3]],'HCM2000'!$R$655:$S$659,2)))</f>
        <v>F</v>
      </c>
      <c r="DM76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76" s="416"/>
      <c r="DO76" s="22">
        <f>Tabela24[[#This Row],[ATS]]</f>
        <v>70.718184090909091</v>
      </c>
      <c r="DP76" s="416">
        <v>70.7</v>
      </c>
      <c r="DQ76" s="22">
        <f t="shared" si="11"/>
        <v>1.8184090909088013E-2</v>
      </c>
      <c r="DR76" s="22">
        <f>Tabela24[[#This Row],[PTSF]]</f>
        <v>64.717222265526146</v>
      </c>
      <c r="DS76" s="416">
        <v>65.2</v>
      </c>
      <c r="DT76" s="22">
        <f t="shared" si="12"/>
        <v>0.48277773447385641</v>
      </c>
      <c r="DU76" s="22"/>
      <c r="DV76" s="22">
        <v>70.718184090909091</v>
      </c>
      <c r="DW76" s="416">
        <v>70.7</v>
      </c>
      <c r="DX76" s="22">
        <v>1.8184090909088013E-2</v>
      </c>
      <c r="DY76" s="22">
        <v>78.622250383998832</v>
      </c>
      <c r="DZ76" s="416">
        <v>65.2</v>
      </c>
      <c r="EA76" s="22">
        <v>0.48277773447385641</v>
      </c>
      <c r="EB76" s="416"/>
      <c r="EC76" s="416"/>
      <c r="ED76" s="416"/>
      <c r="EE76" s="416"/>
      <c r="EF76" s="416"/>
      <c r="EG76" s="416"/>
      <c r="EH76" s="416"/>
      <c r="EI76" s="416"/>
      <c r="EJ76" s="416"/>
      <c r="EK76" s="416"/>
      <c r="EL76" s="416"/>
      <c r="EM76" s="416"/>
      <c r="EN76" s="416"/>
      <c r="EO76" s="416"/>
      <c r="EP76" s="416"/>
      <c r="EQ76" s="416"/>
      <c r="ER76" s="416"/>
      <c r="ES76" s="416"/>
      <c r="ET76" s="416"/>
      <c r="EU76" s="416"/>
      <c r="EV76" s="416"/>
      <c r="EW76" s="416"/>
      <c r="EX76" s="416"/>
      <c r="EY76" s="416"/>
      <c r="EZ76" s="416"/>
      <c r="FA76" s="416"/>
      <c r="FB76" s="416"/>
      <c r="FC76" s="416"/>
      <c r="FD76" s="416"/>
      <c r="FE76" s="416"/>
      <c r="FF76" s="416"/>
      <c r="FG76" s="416"/>
      <c r="FH76" s="416"/>
      <c r="FI76" s="416"/>
      <c r="FJ76" s="416"/>
      <c r="FK76" s="416"/>
      <c r="FL76" s="416"/>
      <c r="FM76" s="416"/>
      <c r="FR76" s="3"/>
      <c r="FS76" s="3"/>
      <c r="FV76" s="58"/>
      <c r="FW76" s="58"/>
    </row>
    <row r="77" spans="2:179">
      <c r="B77" s="386" t="s">
        <v>645</v>
      </c>
      <c r="C77" s="394"/>
      <c r="D77" s="395"/>
      <c r="E77" s="385">
        <v>24201</v>
      </c>
      <c r="F77" s="385">
        <v>24501</v>
      </c>
      <c r="G77" s="390">
        <v>300</v>
      </c>
      <c r="H77" s="386" t="s">
        <v>263</v>
      </c>
      <c r="I77" s="386" t="s">
        <v>379</v>
      </c>
      <c r="J77" s="390">
        <v>2</v>
      </c>
      <c r="K77" s="386">
        <v>4.5999999999999996</v>
      </c>
      <c r="L77" s="386" t="s">
        <v>143</v>
      </c>
      <c r="M77" s="386">
        <v>4.2</v>
      </c>
      <c r="N77" s="386">
        <v>1</v>
      </c>
      <c r="O77" s="396">
        <v>1</v>
      </c>
      <c r="P77" s="386" t="s">
        <v>366</v>
      </c>
      <c r="Q77" s="397" t="s">
        <v>144</v>
      </c>
      <c r="R77" s="419" t="s">
        <v>73</v>
      </c>
      <c r="S77" s="310">
        <v>67</v>
      </c>
      <c r="T77" s="420"/>
      <c r="U77" s="279">
        <v>24</v>
      </c>
      <c r="V77" s="323">
        <v>6473.9966140621727</v>
      </c>
      <c r="W77" s="323">
        <v>2824.5698392986178</v>
      </c>
      <c r="X77" s="420"/>
      <c r="Y77" s="398">
        <f t="shared" si="15"/>
        <v>1</v>
      </c>
      <c r="Z77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77" s="182" t="s">
        <v>644</v>
      </c>
      <c r="AB77" s="391" t="s">
        <v>654</v>
      </c>
      <c r="AC77" s="31" t="s">
        <v>645</v>
      </c>
      <c r="AD77" s="31" t="s">
        <v>645</v>
      </c>
      <c r="AE77" s="421"/>
      <c r="AF77" s="421"/>
      <c r="AG77" s="421">
        <v>0</v>
      </c>
      <c r="AH77" s="441" t="e">
        <v>#VALUE!</v>
      </c>
      <c r="AI77" s="25" t="e">
        <v>#VALUE!</v>
      </c>
      <c r="AJ77" s="435">
        <v>8.7999999999999995E-2</v>
      </c>
      <c r="AK77" s="330" t="s">
        <v>645</v>
      </c>
      <c r="AL77" s="263">
        <v>0.55000000000000004</v>
      </c>
      <c r="AM77" s="414" t="e">
        <v>#VALUE!</v>
      </c>
      <c r="AN77" s="417" t="s">
        <v>645</v>
      </c>
      <c r="AO77" s="467" t="s">
        <v>73</v>
      </c>
      <c r="AP77" s="439" t="s">
        <v>645</v>
      </c>
      <c r="AQ77" s="442" t="e">
        <v>#VALUE!</v>
      </c>
      <c r="AR77" s="422" t="s">
        <v>645</v>
      </c>
      <c r="AS77" s="316"/>
      <c r="AT77" s="412" t="e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#VALUE!</v>
      </c>
      <c r="AU77" s="23" t="e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#VALUE!</v>
      </c>
      <c r="AV77" s="23" t="e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#VALUE!</v>
      </c>
      <c r="AW77" s="23" t="e">
        <f>1/(1+(Tabela24[[#This Row],[Pt]])*(Tabela24[[#This Row],[Et]]-1)+(Tabela24[[#This Row],[PRv]])*(Tabela24[[#This Row],[Er]]-1))</f>
        <v>#VALUE!</v>
      </c>
      <c r="AX77" s="423" t="e">
        <f>Tabela24[veic/h]/Tabela24[PHF]</f>
        <v>#VALUE!</v>
      </c>
      <c r="AY77" s="423" t="e">
        <v>#VALUE!</v>
      </c>
      <c r="AZ77" s="21" t="e">
        <f>Tabela24[veic/h]/(Tabela24[PHF]*Tabela24[fg ats]*Tabela24[fhv ats])</f>
        <v>#VALUE!</v>
      </c>
      <c r="BA77" s="322" t="e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#VALUE!</v>
      </c>
      <c r="BB77" s="322" t="e">
        <f>IF(AND(Tabela24[[#This Row],[vp1]]*Tabela24[[#This Row],[distrib. direc.]]&lt;1700,Tabela24[[#This Row],[vp1]]&lt;3200),"OK!","FAIL")</f>
        <v>#VALUE!</v>
      </c>
      <c r="BC77" s="23" t="e">
        <f>INDEX('HCM2000'!$L$68:$AF$83,MATCH(Tabela24[[#This Row],[faixa (m)]],'HCM2000'!$K$68:$K$83),MATCH(Tabela24[[#This Row],[acost (m)]],'HCM2000'!$L$67:$AF$67))</f>
        <v>#N/A</v>
      </c>
      <c r="BD77" s="23" t="e">
        <f>MIN(16,(2/3)*Tabela24[[#This Row],[acessos/km]])</f>
        <v>#VALUE!</v>
      </c>
      <c r="BE77" s="22" t="e">
        <f>Tabela24[BFFS]-Tabela24[fLS]-Tabela24[fA]</f>
        <v>#VALUE!</v>
      </c>
      <c r="BF77" s="23" t="e">
        <v>#REF!</v>
      </c>
      <c r="BG77" s="463">
        <f>IFERROR(Tabela24[[#This Row],[vp1]],0)</f>
        <v>0</v>
      </c>
      <c r="BH77" s="463">
        <f>IFERROR(Tabela24[[#This Row],[% zonas s/ultra]],0)</f>
        <v>0</v>
      </c>
      <c r="BI77" s="23" t="str">
        <f t="shared" si="5"/>
        <v>FNP</v>
      </c>
      <c r="BJ77" s="23">
        <v>0</v>
      </c>
      <c r="BK77" s="43" t="e">
        <f>Tabela24[FFS]-0.0125*MAX(Tabela24[[#This Row],[vp1]],Tabela24[[#This Row],[vp1'']])-Tabela24[fnp'']</f>
        <v>#VALUE!</v>
      </c>
      <c r="BL77" s="412" t="e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#VALUE!</v>
      </c>
      <c r="BM77" s="23" t="e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#VALUE!</v>
      </c>
      <c r="BN77" s="23">
        <v>1</v>
      </c>
      <c r="BO77" s="23" t="e">
        <f>1/(1+Tabela24[[#This Row],[Pt]]*(Tabela24[[#This Row],[Et time]]-1)+Tabela24[[#This Row],[PRv]]*(Tabela24[[#This Row],[Er time]]-1))</f>
        <v>#VALUE!</v>
      </c>
      <c r="BP77" s="23" t="e">
        <f>Tabela24[veic/h]/Tabela24[PHF]</f>
        <v>#VALUE!</v>
      </c>
      <c r="BQ77" s="23" t="e">
        <v>#VALUE!</v>
      </c>
      <c r="BR77" s="438" t="e">
        <f>Tabela24[veic/h]/(Tabela24[PHF]*Tabela24[fg time]*Tabela24[fhv follow])</f>
        <v>#VALUE!</v>
      </c>
      <c r="BS77" s="438" t="e">
        <f>IF(AND(Tabela24[[#This Row],[vp2]]*Tabela24[[#This Row],[distrib. direc.]]&lt;1700,Tabela24[[#This Row],[vp2]]&lt;3200),"OK!","FAIL")</f>
        <v>#VALUE!</v>
      </c>
      <c r="BT77" s="23" t="e">
        <f>100*(1-EXP(-0.000879*MAX(Tabela24[[#This Row],[vp2]],Tabela24[[#This Row],[vp2'']])))</f>
        <v>#VALUE!</v>
      </c>
      <c r="BU77" s="304" t="e">
        <v>#REF!</v>
      </c>
      <c r="BV77" s="304">
        <f>IF(TYPE(Tabela24[distrib. direc.])&lt;&gt;1,0,Tabela24[distrib. direc.])</f>
        <v>0.55000000000000004</v>
      </c>
      <c r="BW77" s="304">
        <f>IF(TYPE(Tabela24[vp2])&lt;&gt;1,0,Tabela24[vp2])</f>
        <v>0</v>
      </c>
      <c r="BX77" s="304">
        <f>IF(TYPE(Tabela24[% zonas s/ultra])&lt;&gt;1,0,Tabela24[% zonas s/ultra])</f>
        <v>0</v>
      </c>
      <c r="BY77" s="304" t="str">
        <f t="shared" si="6"/>
        <v>FDNP</v>
      </c>
      <c r="BZ77" s="31">
        <v>1.6000000000000014</v>
      </c>
      <c r="CA77" s="305" t="e">
        <f>Tabela24[BPTSF]+Tabela24[fd/np'']</f>
        <v>#VALUE!</v>
      </c>
      <c r="CB77" s="424" t="e">
        <f>Tabela24[vp1]/3200</f>
        <v>#VALUE!</v>
      </c>
      <c r="CC77" s="280" t="e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#VALUE!</v>
      </c>
      <c r="CD77" s="332" t="e">
        <f>VLOOKUP(Tabela24[faixa (m)],'HCM2000'!$B$541:$C$547,2,TRUE)</f>
        <v>#N/A</v>
      </c>
      <c r="CE77" s="332">
        <f>IF(Tabela24[acost (m)]&gt;0,1.8,1.2)</f>
        <v>1.8</v>
      </c>
      <c r="CF77" s="332">
        <f>IF(Tabela24[Separador]=$CB$6,$CD$6,IF(Tabela24[Separador]=$CB$7,$CD$7,$CD$8))</f>
        <v>0</v>
      </c>
      <c r="CG77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77" s="332">
        <f>IF(Tabela24[Separador]="Sinalização horizontal",'HCM2000'!$C$590,'HCM2000'!$C$591)</f>
        <v>2.6</v>
      </c>
      <c r="CI77" s="332" t="e">
        <f>MIN((2/3)*Tabela24[[#This Row],[acessos/km]],16)</f>
        <v>#VALUE!</v>
      </c>
      <c r="CJ77" s="332" t="e">
        <f>IF(Tabela24[fLC]="Pista simples","-",Tabela24[BFFS]-Tabela24[fLW]-Tabela24[fLC]-Tabela24[fM]-Tabela24[fA2])</f>
        <v>#VALUE!</v>
      </c>
      <c r="CK77" s="332">
        <f>IF(Tabela24[plano/ondulado]="Montanhoso",Tabela24[Para PT&lt;],VLOOKUP(Tabela24[plano/ondulado],'HCM2000'!$B$606:$C$608,2,FALSE))</f>
        <v>1.5</v>
      </c>
      <c r="CL77" s="332">
        <f>IF(Tabela24[[#This Row],[plano/ondulado]]="Montanhoso",Tabela24[[#This Row],[Para PT&lt;]],VLOOKUP(Tabela24[[#This Row],[plano/ondulado]],'HCM2000'!$E$606:$F$608,2,FALSE))</f>
        <v>1.2</v>
      </c>
      <c r="CM77" s="433" t="e">
        <f>1/(1+(Tabela24[Pt]*(Tabela24[Et2]-1))+(Tabela24[PRv]*(Tabela24[Er2]-1)))</f>
        <v>#VALUE!</v>
      </c>
      <c r="CN77" s="329">
        <f>K77+IF(Tabela24[[#This Row],[Num. Faixas Marg.]]="-",0,Tabela24[[#This Row],[Num. Faixas Marg.]])</f>
        <v>4.5999999999999996</v>
      </c>
      <c r="CO77" s="331" t="e">
        <f>Tabela24[[#This Row],[Vzão]]/(Tabela24[[#This Row],[PHF]]*Tabela24[[#This Row],[N]]*Tabela24[[#This Row],[fHV]])</f>
        <v>#VALUE!</v>
      </c>
      <c r="CP77" s="332" t="e">
        <f>IF(Tabela24[fLC]="Pista simples","-",Tabela24[vp3]/Tabela24[S])</f>
        <v>#VALUE!</v>
      </c>
      <c r="CQ77" s="332" t="e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#VALUE!</v>
      </c>
      <c r="CR77" s="329" t="e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#VALUE!</v>
      </c>
      <c r="CS77" s="308" t="e">
        <f>IF(Tabela24[LOS_vp3]="F","F",VLOOKUP(Tabela24[LOS_vp3],'HCM2000'!$R$655:$S$659,2))</f>
        <v>#VALUE!</v>
      </c>
      <c r="CT77" s="329" t="e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#VALUE!</v>
      </c>
      <c r="CU77" s="425" t="e">
        <f>IF(Tabela24[[#This Row],[LOS_vp3]]="F","F",IF(Tabela24[[#This Row],[fLC]]="Pista simples","-",VLOOKUP(Tabela24[[#This Row],[LOS_D3]],'HCM2000'!$R$655:$S$659,2)))</f>
        <v>#VALUE!</v>
      </c>
      <c r="CV77" s="280" t="e">
        <f>IF(OR(Tabela24[[#This Row],[LOS_vp3]]="F",Tabela24[[#This Row],[LOS_D3]]="F"),"F",IF(Tabela24[[#This Row],[Pista]]="Pista Simples","-",VLOOKUP(MINA(Tabela24[LOS_vp],Tabela24[LOS_D]),'HCM2000'!$R$655:$S$659,2)))</f>
        <v>#VALUE!</v>
      </c>
      <c r="CW77" s="381"/>
      <c r="CX77" s="381"/>
      <c r="CY77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77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77" s="22" t="e">
        <f>ABS(INDEX('HCM2000'!$E$611:$M$611,1,MATCH(Tabela24[Pt]*100,'HCM2000'!$E$611:$M$611,1))-Tabela24[Pt]*100)</f>
        <v>#VALUE!</v>
      </c>
      <c r="DB77" s="22" t="e">
        <f>INDEX('HCM2000'!$E$611:$M$611,1,MATCH(Tabela24[[#This Row],[Pt]]*100,'HCM2000'!$E$611:$M$611,1)+1)-Tabela24[[#This Row],[Pt]]*100</f>
        <v>#VALUE!</v>
      </c>
      <c r="DC77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77" s="440"/>
      <c r="DE77" s="423" t="e">
        <f>1/(1+(Tabela24[Pt]*(Tabela24[ETsu]-1))+(Tabela24[PRv]*(Tabela24[ERsu]-1)))</f>
        <v>#VALUE!</v>
      </c>
      <c r="DF77" s="438" t="e">
        <f>Tabela24[Vzão]/(Tabela24[PHF]*Tabela24[N]*Tabela24[fHVsu])</f>
        <v>#VALUE!</v>
      </c>
      <c r="DG77" s="332" t="e">
        <f>IF(Tabela24[fLC]="Pista simples","-",Tabela24[vpsu]/Tabela24[S])</f>
        <v>#VALUE!</v>
      </c>
      <c r="DH77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#VALUE!</v>
      </c>
      <c r="DI77" s="426" t="e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#VALUE!</v>
      </c>
      <c r="DJ77" s="425" t="e">
        <f>IF(Tabela24[[#This Row],[LOS_vp3]]="F","F",VLOOKUP(Tabela24[[#This Row],[LOS_vp3]],'HCM2000'!$R$655:$S$659,2))</f>
        <v>#VALUE!</v>
      </c>
      <c r="DK77" s="426" t="e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#VALUE!</v>
      </c>
      <c r="DL77" s="425" t="e">
        <f>IF(Tabela24[[#This Row],[LOS_vp3]]="F","F",IF(Tabela24[[#This Row],[fLC]]="Pista simples","-",VLOOKUP(Tabela24[[#This Row],[LOS_D3]],'HCM2000'!$R$655:$S$659,2)))</f>
        <v>#VALUE!</v>
      </c>
      <c r="DM77" s="416" t="e">
        <f>IF(OR(Tabela24[[#This Row],[LOS_vp3]]="F",Tabela24[[#This Row],[LOS_D3]]="F"),"F",IF(Tabela24[[#This Row],[Pista]]="Pista Simples","-",VLOOKUP(MINA(Tabela24[LOS_vp3],Tabela24[LOS_D3]),'HCM2000'!$R$655:$S$659,2)))</f>
        <v>#VALUE!</v>
      </c>
      <c r="DN77" s="416"/>
      <c r="DO77" s="22" t="e">
        <f>Tabela24[[#This Row],[ATS]]</f>
        <v>#VALUE!</v>
      </c>
      <c r="DP77" s="416" t="s">
        <v>645</v>
      </c>
      <c r="DQ77" s="22" t="e">
        <f t="shared" si="11"/>
        <v>#VALUE!</v>
      </c>
      <c r="DR77" s="22" t="e">
        <f>Tabela24[[#This Row],[PTSF]]</f>
        <v>#VALUE!</v>
      </c>
      <c r="DS77" s="416" t="s">
        <v>645</v>
      </c>
      <c r="DT77" s="22" t="e">
        <f t="shared" si="12"/>
        <v>#VALUE!</v>
      </c>
      <c r="DU77" s="22"/>
      <c r="DV77" s="22" t="e">
        <v>#VALUE!</v>
      </c>
      <c r="DW77" s="416" t="s">
        <v>645</v>
      </c>
      <c r="DX77" s="22" t="e">
        <v>#VALUE!</v>
      </c>
      <c r="DY77" s="22" t="e">
        <v>#VALUE!</v>
      </c>
      <c r="DZ77" s="416" t="s">
        <v>645</v>
      </c>
      <c r="EA77" s="22" t="e">
        <v>#VALUE!</v>
      </c>
      <c r="EB77" s="416"/>
      <c r="EC77" s="416"/>
      <c r="ED77" s="416"/>
      <c r="EE77" s="416"/>
      <c r="EF77" s="416"/>
      <c r="EG77" s="416"/>
      <c r="EH77" s="416"/>
      <c r="EI77" s="416"/>
      <c r="EJ77" s="416"/>
      <c r="EK77" s="416"/>
      <c r="EL77" s="416"/>
      <c r="EM77" s="416"/>
      <c r="EN77" s="416"/>
      <c r="EO77" s="416"/>
      <c r="EP77" s="416"/>
      <c r="EQ77" s="416"/>
      <c r="ER77" s="416"/>
      <c r="ES77" s="416"/>
      <c r="ET77" s="416"/>
      <c r="EU77" s="416"/>
      <c r="EV77" s="416"/>
      <c r="EW77" s="416"/>
      <c r="EX77" s="416"/>
      <c r="EY77" s="416"/>
      <c r="EZ77" s="416"/>
      <c r="FA77" s="416"/>
      <c r="FB77" s="416"/>
      <c r="FC77" s="416"/>
      <c r="FD77" s="416"/>
      <c r="FE77" s="416"/>
      <c r="FF77" s="416"/>
      <c r="FG77" s="416"/>
      <c r="FH77" s="416"/>
      <c r="FI77" s="416"/>
      <c r="FJ77" s="416"/>
      <c r="FK77" s="416"/>
      <c r="FL77" s="416"/>
      <c r="FM77" s="416"/>
      <c r="FR77" s="3"/>
      <c r="FS77" s="3"/>
      <c r="FV77" s="58"/>
      <c r="FW77" s="58"/>
    </row>
    <row r="78" spans="2:179">
      <c r="B78" s="386">
        <v>26</v>
      </c>
      <c r="C78" s="394"/>
      <c r="D78" s="395"/>
      <c r="E78" s="385">
        <v>24201</v>
      </c>
      <c r="F78" s="385">
        <v>24501</v>
      </c>
      <c r="G78" s="390">
        <v>300</v>
      </c>
      <c r="H78" s="386" t="s">
        <v>263</v>
      </c>
      <c r="I78" s="386" t="s">
        <v>379</v>
      </c>
      <c r="J78" s="390">
        <v>2</v>
      </c>
      <c r="K78" s="386">
        <v>4.5999999999999996</v>
      </c>
      <c r="L78" s="386" t="s">
        <v>143</v>
      </c>
      <c r="M78" s="386">
        <v>4.2</v>
      </c>
      <c r="N78" s="386">
        <v>1</v>
      </c>
      <c r="O78" s="396">
        <v>1</v>
      </c>
      <c r="P78" s="386" t="s">
        <v>366</v>
      </c>
      <c r="Q78" s="397" t="s">
        <v>144</v>
      </c>
      <c r="R78" s="419" t="s">
        <v>73</v>
      </c>
      <c r="S78" s="310">
        <v>68</v>
      </c>
      <c r="T78" s="420"/>
      <c r="U78" s="279">
        <v>24</v>
      </c>
      <c r="V78" s="323">
        <v>6473.9966140621727</v>
      </c>
      <c r="W78" s="323">
        <v>2824.5698392986178</v>
      </c>
      <c r="X78" s="420"/>
      <c r="Y78" s="398">
        <f t="shared" ref="Y78:Y91" si="16">IF(OR(H78="Dupla",H78="Pista Dupla"),4,1)</f>
        <v>1</v>
      </c>
      <c r="Z78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78" s="182" t="s">
        <v>644</v>
      </c>
      <c r="AB78" s="391" t="s">
        <v>654</v>
      </c>
      <c r="AC78" s="31">
        <v>3.5</v>
      </c>
      <c r="AD78" s="31">
        <v>2.5</v>
      </c>
      <c r="AE78" s="421"/>
      <c r="AF78" s="421"/>
      <c r="AG78" s="421">
        <v>0</v>
      </c>
      <c r="AH78" s="441">
        <v>0.37</v>
      </c>
      <c r="AI78" s="25">
        <v>0.03</v>
      </c>
      <c r="AJ78" s="435">
        <v>8.7999999999999995E-2</v>
      </c>
      <c r="AK78" s="330">
        <v>767</v>
      </c>
      <c r="AL78" s="263">
        <v>0.55000000000000004</v>
      </c>
      <c r="AM78" s="414">
        <v>421.85</v>
      </c>
      <c r="AN78" s="417">
        <v>2</v>
      </c>
      <c r="AO78" s="467" t="s">
        <v>73</v>
      </c>
      <c r="AP78" s="439">
        <v>88</v>
      </c>
      <c r="AQ78" s="442">
        <v>0.44</v>
      </c>
      <c r="AR78" s="422">
        <v>0.88</v>
      </c>
      <c r="AS78" s="316"/>
      <c r="AT78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78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78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78" s="23">
        <f>1/(1+(Tabela24[[#This Row],[Pt]])*(Tabela24[[#This Row],[Et]]-1)+(Tabela24[[#This Row],[PRv]])*(Tabela24[[#This Row],[Er]]-1))</f>
        <v>0.93109869646182486</v>
      </c>
      <c r="AX78" s="423">
        <f>Tabela24[veic/h]/Tabela24[PHF]</f>
        <v>871.59090909090912</v>
      </c>
      <c r="AY78" s="423">
        <v>936.08863636363651</v>
      </c>
      <c r="AZ78" s="21">
        <f>Tabela24[veic/h]/(Tabela24[PHF]*Tabela24[fg ats]*Tabela24[fhv ats])</f>
        <v>936.08863636363651</v>
      </c>
      <c r="BA78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78" s="322" t="str">
        <f>IF(AND(Tabela24[[#This Row],[vp1]]*Tabela24[[#This Row],[distrib. direc.]]&lt;1700,Tabela24[[#This Row],[vp1]]&lt;3200),"OK!","FAIL")</f>
        <v>OK!</v>
      </c>
      <c r="BC78" s="23">
        <f>INDEX('HCM2000'!$L$68:$AF$83,MATCH(Tabela24[[#This Row],[faixa (m)]],'HCM2000'!$K$68:$K$83),MATCH(Tabela24[[#This Row],[acost (m)]],'HCM2000'!$L$67:$AF$67))</f>
        <v>0.7</v>
      </c>
      <c r="BD78" s="23">
        <f>MIN(16,(2/3)*Tabela24[[#This Row],[acessos/km]])</f>
        <v>1.3333333333333333</v>
      </c>
      <c r="BE78" s="22">
        <f>Tabela24[BFFS]-Tabela24[fLS]-Tabela24[fA]</f>
        <v>85.966666666666669</v>
      </c>
      <c r="BF78" s="23" t="e">
        <v>#REF!</v>
      </c>
      <c r="BG78" s="463">
        <f>IFERROR(Tabela24[[#This Row],[vp1]],0)</f>
        <v>936.08863636363651</v>
      </c>
      <c r="BH78" s="463">
        <f>IFERROR(Tabela24[[#This Row],[% zonas s/ultra]],0)</f>
        <v>0.44</v>
      </c>
      <c r="BI78" s="23" t="str">
        <f t="shared" ref="BI78:BI91" si="17">"FNP"</f>
        <v>FNP</v>
      </c>
      <c r="BJ78" s="23">
        <v>2.8381252272727311</v>
      </c>
      <c r="BK78" s="43">
        <f>Tabela24[FFS]-0.0125*MAX(Tabela24[[#This Row],[vp1]],Tabela24[[#This Row],[vp1'']])-Tabela24[fnp'']</f>
        <v>71.427433484848493</v>
      </c>
      <c r="BL78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78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78" s="23">
        <v>1</v>
      </c>
      <c r="BO78" s="23">
        <f>1/(1+Tabela24[[#This Row],[Pt]]*(Tabela24[[#This Row],[Et time]]-1)+Tabela24[[#This Row],[PRv]]*(Tabela24[[#This Row],[Er time]]-1))</f>
        <v>0.96432015429122475</v>
      </c>
      <c r="BP78" s="23">
        <f>Tabela24[veic/h]/Tabela24[PHF]</f>
        <v>871.59090909090912</v>
      </c>
      <c r="BQ78" s="23">
        <v>903.8397727272727</v>
      </c>
      <c r="BR78" s="438">
        <f>Tabela24[veic/h]/(Tabela24[PHF]*Tabela24[fg time]*Tabela24[fhv follow])</f>
        <v>903.8397727272727</v>
      </c>
      <c r="BS78" s="438" t="str">
        <f>IF(AND(Tabela24[[#This Row],[vp2]]*Tabela24[[#This Row],[distrib. direc.]]&lt;1700,Tabela24[[#This Row],[vp2]]&lt;3200),"OK!","FAIL")</f>
        <v>OK!</v>
      </c>
      <c r="BT78" s="23">
        <f>100*(1-EXP(-0.000879*MAX(Tabela24[[#This Row],[vp2]],Tabela24[[#This Row],[vp2'']])))</f>
        <v>54.818169507826276</v>
      </c>
      <c r="BU78" s="304" t="e">
        <v>#REF!</v>
      </c>
      <c r="BV78" s="304">
        <f>IF(TYPE(Tabela24[distrib. direc.])&lt;&gt;1,0,Tabela24[distrib. direc.])</f>
        <v>0.55000000000000004</v>
      </c>
      <c r="BW78" s="304">
        <f>IF(TYPE(Tabela24[vp2])&lt;&gt;1,0,Tabela24[vp2])</f>
        <v>903.8397727272727</v>
      </c>
      <c r="BX78" s="304">
        <f>IF(TYPE(Tabela24[% zonas s/ultra])&lt;&gt;1,0,Tabela24[% zonas s/ultra])</f>
        <v>0.44</v>
      </c>
      <c r="BY78" s="304" t="str">
        <f t="shared" ref="BY78:BY91" si="18">"FDNP"</f>
        <v>FDNP</v>
      </c>
      <c r="BZ78" s="31">
        <v>9.9677459090916702</v>
      </c>
      <c r="CA78" s="305">
        <f>Tabela24[BPTSF]+Tabela24[fd/np'']</f>
        <v>64.785915416917945</v>
      </c>
      <c r="CB78" s="424">
        <f>Tabela24[vp1]/3200</f>
        <v>0.29252769886363639</v>
      </c>
      <c r="CC78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78" s="332">
        <f>VLOOKUP(Tabela24[faixa (m)],'HCM2000'!$B$541:$C$547,2,TRUE)</f>
        <v>1</v>
      </c>
      <c r="CE78" s="332">
        <f>IF(Tabela24[acost (m)]&gt;0,1.8,1.2)</f>
        <v>1.8</v>
      </c>
      <c r="CF78" s="332">
        <f>IF(Tabela24[Separador]=$CB$6,$CD$6,IF(Tabela24[Separador]=$CB$7,$CD$7,$CD$8))</f>
        <v>0</v>
      </c>
      <c r="CG78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78" s="332">
        <f>IF(Tabela24[Separador]="Sinalização horizontal",'HCM2000'!$C$590,'HCM2000'!$C$591)</f>
        <v>2.6</v>
      </c>
      <c r="CI78" s="332">
        <f>MIN((2/3)*Tabela24[[#This Row],[acessos/km]],16)</f>
        <v>1.3333333333333333</v>
      </c>
      <c r="CJ78" s="332">
        <f>IF(Tabela24[fLC]="Pista simples","-",Tabela24[BFFS]-Tabela24[fLW]-Tabela24[fLC]-Tabela24[fM]-Tabela24[fA2])</f>
        <v>80.966666666666683</v>
      </c>
      <c r="CK78" s="332">
        <f>IF(Tabela24[plano/ondulado]="Montanhoso",Tabela24[Para PT&lt;],VLOOKUP(Tabela24[plano/ondulado],'HCM2000'!$B$606:$C$608,2,FALSE))</f>
        <v>1.5</v>
      </c>
      <c r="CL78" s="332">
        <f>IF(Tabela24[[#This Row],[plano/ondulado]]="Montanhoso",Tabela24[[#This Row],[Para PT&lt;]],VLOOKUP(Tabela24[[#This Row],[plano/ondulado]],'HCM2000'!$E$606:$F$608,2,FALSE))</f>
        <v>1.2</v>
      </c>
      <c r="CM78" s="433">
        <f>1/(1+(Tabela24[Pt]*(Tabela24[Et2]-1))+(Tabela24[PRv]*(Tabela24[Er2]-1)))</f>
        <v>0.83963056255247692</v>
      </c>
      <c r="CN78" s="329">
        <f>K78+IF(Tabela24[[#This Row],[Num. Faixas Marg.]]="-",0,Tabela24[[#This Row],[Num. Faixas Marg.]])</f>
        <v>4.5999999999999996</v>
      </c>
      <c r="CO78" s="331">
        <f>Tabela24[[#This Row],[Vzão]]/(Tabela24[[#This Row],[PHF]]*Tabela24[[#This Row],[N]]*Tabela24[[#This Row],[fHV]])</f>
        <v>124.11644021739131</v>
      </c>
      <c r="CP78" s="332">
        <f>IF(Tabela24[fLC]="Pista simples","-",Tabela24[vp3]/Tabela24[S])</f>
        <v>1.5329325675264465</v>
      </c>
      <c r="CQ78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78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78" s="308" t="str">
        <f>IF(Tabela24[LOS_vp3]="F","F",VLOOKUP(Tabela24[LOS_vp3],'HCM2000'!$R$655:$S$659,2))</f>
        <v>F</v>
      </c>
      <c r="CT78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78" s="425" t="str">
        <f>IF(Tabela24[[#This Row],[LOS_vp3]]="F","F",IF(Tabela24[[#This Row],[fLC]]="Pista simples","-",VLOOKUP(Tabela24[[#This Row],[LOS_D3]],'HCM2000'!$R$655:$S$659,2)))</f>
        <v>F</v>
      </c>
      <c r="CV78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78" s="381"/>
      <c r="CX78" s="381"/>
      <c r="CY78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78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78" s="22">
        <f>ABS(INDEX('HCM2000'!$E$611:$M$611,1,MATCH(Tabela24[Pt]*100,'HCM2000'!$E$611:$M$611,1))-Tabela24[Pt]*100)</f>
        <v>12</v>
      </c>
      <c r="DB78" s="22" t="e">
        <f>INDEX('HCM2000'!$E$611:$M$611,1,MATCH(Tabela24[[#This Row],[Pt]]*100,'HCM2000'!$E$611:$M$611,1)+1)-Tabela24[[#This Row],[Pt]]*100</f>
        <v>#REF!</v>
      </c>
      <c r="DC78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78" s="440"/>
      <c r="DE78" s="423" t="e">
        <f>1/(1+(Tabela24[Pt]*(Tabela24[ETsu]-1))+(Tabela24[PRv]*(Tabela24[ERsu]-1)))</f>
        <v>#N/A</v>
      </c>
      <c r="DF78" s="438" t="e">
        <f>Tabela24[Vzão]/(Tabela24[PHF]*Tabela24[N]*Tabela24[fHVsu])</f>
        <v>#N/A</v>
      </c>
      <c r="DG78" s="332" t="e">
        <f>IF(Tabela24[fLC]="Pista simples","-",Tabela24[vpsu]/Tabela24[S])</f>
        <v>#N/A</v>
      </c>
      <c r="DH78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78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78" s="425" t="str">
        <f>IF(Tabela24[[#This Row],[LOS_vp3]]="F","F",VLOOKUP(Tabela24[[#This Row],[LOS_vp3]],'HCM2000'!$R$655:$S$659,2))</f>
        <v>F</v>
      </c>
      <c r="DK78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78" s="425" t="str">
        <f>IF(Tabela24[[#This Row],[LOS_vp3]]="F","F",IF(Tabela24[[#This Row],[fLC]]="Pista simples","-",VLOOKUP(Tabela24[[#This Row],[LOS_D3]],'HCM2000'!$R$655:$S$659,2)))</f>
        <v>F</v>
      </c>
      <c r="DM78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78" s="416"/>
      <c r="DO78" s="22">
        <f>Tabela24[[#This Row],[ATS]]</f>
        <v>71.427433484848493</v>
      </c>
      <c r="DP78" s="416">
        <v>71.400000000000006</v>
      </c>
      <c r="DQ78" s="22">
        <f t="shared" si="11"/>
        <v>2.7433484848486955E-2</v>
      </c>
      <c r="DR78" s="22">
        <f>Tabela24[[#This Row],[PTSF]]</f>
        <v>64.785915416917945</v>
      </c>
      <c r="DS78" s="416">
        <v>65.5</v>
      </c>
      <c r="DT78" s="22">
        <f t="shared" si="12"/>
        <v>0.71408458308205525</v>
      </c>
      <c r="DU78" s="22"/>
      <c r="DV78" s="22">
        <v>71.427433484848493</v>
      </c>
      <c r="DW78" s="416">
        <v>71.400000000000006</v>
      </c>
      <c r="DX78" s="22">
        <v>2.7433484848486955E-2</v>
      </c>
      <c r="DY78" s="22">
        <v>80.613990782945251</v>
      </c>
      <c r="DZ78" s="416">
        <v>65.5</v>
      </c>
      <c r="EA78" s="22">
        <v>0.71408458308205525</v>
      </c>
      <c r="EB78" s="416"/>
      <c r="EC78" s="416"/>
      <c r="ED78" s="416"/>
      <c r="EE78" s="416"/>
      <c r="EF78" s="416"/>
      <c r="EG78" s="416"/>
      <c r="EH78" s="416"/>
      <c r="EI78" s="416"/>
      <c r="EJ78" s="416"/>
      <c r="EK78" s="416"/>
      <c r="EL78" s="416"/>
      <c r="EM78" s="416"/>
      <c r="EN78" s="416"/>
      <c r="EO78" s="416"/>
      <c r="EP78" s="416"/>
      <c r="EQ78" s="416"/>
      <c r="ER78" s="416"/>
      <c r="ES78" s="416"/>
      <c r="ET78" s="416"/>
      <c r="EU78" s="416"/>
      <c r="EV78" s="416"/>
      <c r="EW78" s="416"/>
      <c r="EX78" s="416"/>
      <c r="EY78" s="416"/>
      <c r="EZ78" s="416"/>
      <c r="FA78" s="416"/>
      <c r="FB78" s="416"/>
      <c r="FC78" s="416"/>
      <c r="FD78" s="416"/>
      <c r="FE78" s="416"/>
      <c r="FF78" s="416"/>
      <c r="FG78" s="416"/>
      <c r="FH78" s="416"/>
      <c r="FI78" s="416"/>
      <c r="FJ78" s="416"/>
      <c r="FK78" s="416"/>
      <c r="FL78" s="416"/>
      <c r="FM78" s="416"/>
      <c r="FR78" s="3"/>
      <c r="FS78" s="3"/>
      <c r="FV78" s="58"/>
      <c r="FW78" s="58"/>
    </row>
    <row r="79" spans="2:179">
      <c r="B79" s="386">
        <v>27</v>
      </c>
      <c r="C79" s="394"/>
      <c r="D79" s="395"/>
      <c r="E79" s="385">
        <v>24201</v>
      </c>
      <c r="F79" s="385">
        <v>24501</v>
      </c>
      <c r="G79" s="390">
        <v>300</v>
      </c>
      <c r="H79" s="386" t="s">
        <v>263</v>
      </c>
      <c r="I79" s="386" t="s">
        <v>379</v>
      </c>
      <c r="J79" s="390">
        <v>2</v>
      </c>
      <c r="K79" s="386">
        <v>4.5999999999999996</v>
      </c>
      <c r="L79" s="386" t="s">
        <v>143</v>
      </c>
      <c r="M79" s="386">
        <v>4.2</v>
      </c>
      <c r="N79" s="386">
        <v>1</v>
      </c>
      <c r="O79" s="396">
        <v>1</v>
      </c>
      <c r="P79" s="386" t="s">
        <v>366</v>
      </c>
      <c r="Q79" s="397" t="s">
        <v>144</v>
      </c>
      <c r="R79" s="419" t="s">
        <v>73</v>
      </c>
      <c r="S79" s="310">
        <v>69</v>
      </c>
      <c r="T79" s="420"/>
      <c r="U79" s="279">
        <v>24</v>
      </c>
      <c r="V79" s="323">
        <v>6473.9966140621727</v>
      </c>
      <c r="W79" s="323">
        <v>2824.5698392986178</v>
      </c>
      <c r="X79" s="420"/>
      <c r="Y79" s="398">
        <f t="shared" si="16"/>
        <v>1</v>
      </c>
      <c r="Z79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79" s="182" t="s">
        <v>644</v>
      </c>
      <c r="AB79" s="391" t="s">
        <v>654</v>
      </c>
      <c r="AC79" s="31">
        <v>3.5</v>
      </c>
      <c r="AD79" s="31">
        <v>2.5</v>
      </c>
      <c r="AE79" s="421"/>
      <c r="AF79" s="421"/>
      <c r="AG79" s="421">
        <v>0</v>
      </c>
      <c r="AH79" s="441">
        <v>0.5</v>
      </c>
      <c r="AI79" s="25">
        <v>0.03</v>
      </c>
      <c r="AJ79" s="435">
        <v>8.7999999999999995E-2</v>
      </c>
      <c r="AK79" s="330">
        <v>587</v>
      </c>
      <c r="AL79" s="263">
        <v>0.55000000000000004</v>
      </c>
      <c r="AM79" s="414">
        <v>322.85000000000002</v>
      </c>
      <c r="AN79" s="417">
        <v>3</v>
      </c>
      <c r="AO79" s="467" t="s">
        <v>73</v>
      </c>
      <c r="AP79" s="439">
        <v>88</v>
      </c>
      <c r="AQ79" s="442">
        <v>0.41</v>
      </c>
      <c r="AR79" s="422">
        <v>0.88</v>
      </c>
      <c r="AS79" s="316"/>
      <c r="AT79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79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1.2</v>
      </c>
      <c r="AV79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79" s="23">
        <f>1/(1+(Tabela24[[#This Row],[Pt]])*(Tabela24[[#This Row],[Et]]-1)+(Tabela24[[#This Row],[PRv]])*(Tabela24[[#This Row],[Er]]-1))</f>
        <v>0.90909090909090906</v>
      </c>
      <c r="AX79" s="423">
        <f>Tabela24[veic/h]/Tabela24[PHF]</f>
        <v>667.0454545454545</v>
      </c>
      <c r="AY79" s="423">
        <v>733.75000000000011</v>
      </c>
      <c r="AZ79" s="21">
        <f>Tabela24[veic/h]/(Tabela24[PHF]*Tabela24[fg ats]*Tabela24[fhv ats])</f>
        <v>733.75000000000011</v>
      </c>
      <c r="BA79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79" s="322" t="str">
        <f>IF(AND(Tabela24[[#This Row],[vp1]]*Tabela24[[#This Row],[distrib. direc.]]&lt;1700,Tabela24[[#This Row],[vp1]]&lt;3200),"OK!","FAIL")</f>
        <v>OK!</v>
      </c>
      <c r="BC79" s="23">
        <f>INDEX('HCM2000'!$L$68:$AF$83,MATCH(Tabela24[[#This Row],[faixa (m)]],'HCM2000'!$K$68:$K$83),MATCH(Tabela24[[#This Row],[acost (m)]],'HCM2000'!$L$67:$AF$67))</f>
        <v>0.7</v>
      </c>
      <c r="BD79" s="23">
        <f>MIN(16,(2/3)*Tabela24[[#This Row],[acessos/km]])</f>
        <v>2</v>
      </c>
      <c r="BE79" s="22">
        <f>Tabela24[BFFS]-Tabela24[fLS]-Tabela24[fA]</f>
        <v>85.3</v>
      </c>
      <c r="BF79" s="23" t="e">
        <v>#REF!</v>
      </c>
      <c r="BG79" s="463">
        <f>IFERROR(Tabela24[[#This Row],[vp1]],0)</f>
        <v>733.75000000000011</v>
      </c>
      <c r="BH79" s="463">
        <f>IFERROR(Tabela24[[#This Row],[% zonas s/ultra]],0)</f>
        <v>0.41</v>
      </c>
      <c r="BI79" s="23" t="str">
        <f t="shared" si="17"/>
        <v>FNP</v>
      </c>
      <c r="BJ79" s="23">
        <v>3.3768437499999879</v>
      </c>
      <c r="BK79" s="43">
        <f>Tabela24[FFS]-0.0125*MAX(Tabela24[[#This Row],[vp1]],Tabela24[[#This Row],[vp1'']])-Tabela24[fnp'']</f>
        <v>72.751281250000005</v>
      </c>
      <c r="BL79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79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79" s="23">
        <v>1</v>
      </c>
      <c r="BO79" s="23">
        <f>1/(1+Tabela24[[#This Row],[Pt]]*(Tabela24[[#This Row],[Et time]]-1)+Tabela24[[#This Row],[PRv]]*(Tabela24[[#This Row],[Er time]]-1))</f>
        <v>0.95238095238095233</v>
      </c>
      <c r="BP79" s="23">
        <f>Tabela24[veic/h]/Tabela24[PHF]</f>
        <v>667.0454545454545</v>
      </c>
      <c r="BQ79" s="23">
        <v>700.39772727272737</v>
      </c>
      <c r="BR79" s="438">
        <f>Tabela24[veic/h]/(Tabela24[PHF]*Tabela24[fg time]*Tabela24[fhv follow])</f>
        <v>700.39772727272737</v>
      </c>
      <c r="BS79" s="438" t="str">
        <f>IF(AND(Tabela24[[#This Row],[vp2]]*Tabela24[[#This Row],[distrib. direc.]]&lt;1700,Tabela24[[#This Row],[vp2]]&lt;3200),"OK!","FAIL")</f>
        <v>OK!</v>
      </c>
      <c r="BT79" s="23">
        <f>100*(1-EXP(-0.000879*MAX(Tabela24[[#This Row],[vp2]],Tabela24[[#This Row],[vp2'']])))</f>
        <v>45.971019219903795</v>
      </c>
      <c r="BU79" s="304" t="e">
        <v>#REF!</v>
      </c>
      <c r="BV79" s="304">
        <f>IF(TYPE(Tabela24[distrib. direc.])&lt;&gt;1,0,Tabela24[distrib. direc.])</f>
        <v>0.55000000000000004</v>
      </c>
      <c r="BW79" s="304">
        <f>IF(TYPE(Tabela24[vp2])&lt;&gt;1,0,Tabela24[vp2])</f>
        <v>700.39772727272737</v>
      </c>
      <c r="BX79" s="304">
        <f>IF(TYPE(Tabela24[% zonas s/ultra])&lt;&gt;1,0,Tabela24[% zonas s/ultra])</f>
        <v>0.41</v>
      </c>
      <c r="BY79" s="304" t="str">
        <f t="shared" si="18"/>
        <v>FDNP</v>
      </c>
      <c r="BZ79" s="31">
        <v>12.900156250000151</v>
      </c>
      <c r="CA79" s="305">
        <f>Tabela24[BPTSF]+Tabela24[fd/np'']</f>
        <v>58.871175469903946</v>
      </c>
      <c r="CB79" s="424">
        <f>Tabela24[vp1]/3200</f>
        <v>0.22929687500000004</v>
      </c>
      <c r="CC79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79" s="332">
        <f>VLOOKUP(Tabela24[faixa (m)],'HCM2000'!$B$541:$C$547,2,TRUE)</f>
        <v>1</v>
      </c>
      <c r="CE79" s="332">
        <f>IF(Tabela24[acost (m)]&gt;0,1.8,1.2)</f>
        <v>1.8</v>
      </c>
      <c r="CF79" s="332">
        <f>IF(Tabela24[Separador]=$CB$6,$CD$6,IF(Tabela24[Separador]=$CB$7,$CD$7,$CD$8))</f>
        <v>0</v>
      </c>
      <c r="CG79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79" s="332">
        <f>IF(Tabela24[Separador]="Sinalização horizontal",'HCM2000'!$C$590,'HCM2000'!$C$591)</f>
        <v>2.6</v>
      </c>
      <c r="CI79" s="332">
        <f>MIN((2/3)*Tabela24[[#This Row],[acessos/km]],16)</f>
        <v>2</v>
      </c>
      <c r="CJ79" s="332">
        <f>IF(Tabela24[fLC]="Pista simples","-",Tabela24[BFFS]-Tabela24[fLW]-Tabela24[fLC]-Tabela24[fM]-Tabela24[fA2])</f>
        <v>80.300000000000011</v>
      </c>
      <c r="CK79" s="332">
        <f>IF(Tabela24[plano/ondulado]="Montanhoso",Tabela24[Para PT&lt;],VLOOKUP(Tabela24[plano/ondulado],'HCM2000'!$B$606:$C$608,2,FALSE))</f>
        <v>1.5</v>
      </c>
      <c r="CL79" s="332">
        <f>IF(Tabela24[[#This Row],[plano/ondulado]]="Montanhoso",Tabela24[[#This Row],[Para PT&lt;]],VLOOKUP(Tabela24[[#This Row],[plano/ondulado]],'HCM2000'!$E$606:$F$608,2,FALSE))</f>
        <v>1.2</v>
      </c>
      <c r="CM79" s="433">
        <f>1/(1+(Tabela24[Pt]*(Tabela24[Et2]-1))+(Tabela24[PRv]*(Tabela24[Er2]-1)))</f>
        <v>0.79617834394904463</v>
      </c>
      <c r="CN79" s="329">
        <f>K79+IF(Tabela24[[#This Row],[Num. Faixas Marg.]]="-",0,Tabela24[[#This Row],[Num. Faixas Marg.]])</f>
        <v>4.5999999999999996</v>
      </c>
      <c r="CO79" s="331">
        <f>Tabela24[[#This Row],[Vzão]]/(Tabela24[[#This Row],[PHF]]*Tabela24[[#This Row],[N]]*Tabela24[[#This Row],[fHV]])</f>
        <v>100.17282608695652</v>
      </c>
      <c r="CP79" s="332">
        <f>IF(Tabela24[fLC]="Pista simples","-",Tabela24[vp3]/Tabela24[S])</f>
        <v>1.2474822675835182</v>
      </c>
      <c r="CQ79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79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79" s="308" t="str">
        <f>IF(Tabela24[LOS_vp3]="F","F",VLOOKUP(Tabela24[LOS_vp3],'HCM2000'!$R$655:$S$659,2))</f>
        <v>F</v>
      </c>
      <c r="CT79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79" s="425" t="str">
        <f>IF(Tabela24[[#This Row],[LOS_vp3]]="F","F",IF(Tabela24[[#This Row],[fLC]]="Pista simples","-",VLOOKUP(Tabela24[[#This Row],[LOS_D3]],'HCM2000'!$R$655:$S$659,2)))</f>
        <v>F</v>
      </c>
      <c r="CV79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79" s="381"/>
      <c r="CX79" s="381"/>
      <c r="CY79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79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79" s="22">
        <f>ABS(INDEX('HCM2000'!$E$611:$M$611,1,MATCH(Tabela24[Pt]*100,'HCM2000'!$E$611:$M$611,1))-Tabela24[Pt]*100)</f>
        <v>25</v>
      </c>
      <c r="DB79" s="22" t="e">
        <f>INDEX('HCM2000'!$E$611:$M$611,1,MATCH(Tabela24[[#This Row],[Pt]]*100,'HCM2000'!$E$611:$M$611,1)+1)-Tabela24[[#This Row],[Pt]]*100</f>
        <v>#REF!</v>
      </c>
      <c r="DC79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79" s="440"/>
      <c r="DE79" s="423" t="e">
        <f>1/(1+(Tabela24[Pt]*(Tabela24[ETsu]-1))+(Tabela24[PRv]*(Tabela24[ERsu]-1)))</f>
        <v>#N/A</v>
      </c>
      <c r="DF79" s="438" t="e">
        <f>Tabela24[Vzão]/(Tabela24[PHF]*Tabela24[N]*Tabela24[fHVsu])</f>
        <v>#N/A</v>
      </c>
      <c r="DG79" s="332" t="e">
        <f>IF(Tabela24[fLC]="Pista simples","-",Tabela24[vpsu]/Tabela24[S])</f>
        <v>#N/A</v>
      </c>
      <c r="DH79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79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79" s="425" t="str">
        <f>IF(Tabela24[[#This Row],[LOS_vp3]]="F","F",VLOOKUP(Tabela24[[#This Row],[LOS_vp3]],'HCM2000'!$R$655:$S$659,2))</f>
        <v>F</v>
      </c>
      <c r="DK79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79" s="425" t="str">
        <f>IF(Tabela24[[#This Row],[LOS_vp3]]="F","F",IF(Tabela24[[#This Row],[fLC]]="Pista simples","-",VLOOKUP(Tabela24[[#This Row],[LOS_D3]],'HCM2000'!$R$655:$S$659,2)))</f>
        <v>F</v>
      </c>
      <c r="DM79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79" s="416"/>
      <c r="DO79" s="22">
        <f>Tabela24[[#This Row],[ATS]]</f>
        <v>72.751281250000005</v>
      </c>
      <c r="DP79" s="416">
        <v>69.8</v>
      </c>
      <c r="DQ79" s="22">
        <f t="shared" ref="DQ79:DQ91" si="19">ABS(DO79-DP79)</f>
        <v>2.9512812500000081</v>
      </c>
      <c r="DR79" s="22">
        <f>Tabela24[[#This Row],[PTSF]]</f>
        <v>58.871175469903946</v>
      </c>
      <c r="DS79" s="416">
        <v>60.7</v>
      </c>
      <c r="DT79" s="22">
        <f t="shared" ref="DT79:DT91" si="20">ABS(DR79-DS79)</f>
        <v>1.8288245300960568</v>
      </c>
      <c r="DU79" s="22"/>
      <c r="DV79" s="22">
        <v>71.207654829545447</v>
      </c>
      <c r="DW79" s="416">
        <v>69.8</v>
      </c>
      <c r="DX79" s="22">
        <v>1.4076548295454501</v>
      </c>
      <c r="DY79" s="22">
        <v>73.596916885641832</v>
      </c>
      <c r="DZ79" s="416">
        <v>60.7</v>
      </c>
      <c r="EA79" s="22">
        <v>1.8288245300960568</v>
      </c>
      <c r="EB79" s="416"/>
      <c r="EC79" s="416"/>
      <c r="ED79" s="416"/>
      <c r="EE79" s="416"/>
      <c r="EF79" s="416"/>
      <c r="EG79" s="416"/>
      <c r="EH79" s="416"/>
      <c r="EI79" s="416"/>
      <c r="EJ79" s="416"/>
      <c r="EK79" s="416"/>
      <c r="EL79" s="416"/>
      <c r="EM79" s="416"/>
      <c r="EN79" s="416"/>
      <c r="EO79" s="416"/>
      <c r="EP79" s="416"/>
      <c r="EQ79" s="416"/>
      <c r="ER79" s="416"/>
      <c r="ES79" s="416"/>
      <c r="ET79" s="416"/>
      <c r="EU79" s="416"/>
      <c r="EV79" s="416"/>
      <c r="EW79" s="416"/>
      <c r="EX79" s="416"/>
      <c r="EY79" s="416"/>
      <c r="EZ79" s="416"/>
      <c r="FA79" s="416"/>
      <c r="FB79" s="416"/>
      <c r="FC79" s="416"/>
      <c r="FD79" s="416"/>
      <c r="FE79" s="416"/>
      <c r="FF79" s="416"/>
      <c r="FG79" s="416"/>
      <c r="FH79" s="416"/>
      <c r="FI79" s="416"/>
      <c r="FJ79" s="416"/>
      <c r="FK79" s="416"/>
      <c r="FL79" s="416"/>
      <c r="FM79" s="416"/>
      <c r="FR79" s="3"/>
      <c r="FS79" s="3"/>
      <c r="FV79" s="58"/>
      <c r="FW79" s="58"/>
    </row>
    <row r="80" spans="2:179">
      <c r="B80" s="386" t="s">
        <v>645</v>
      </c>
      <c r="C80" s="394"/>
      <c r="D80" s="395"/>
      <c r="E80" s="385">
        <v>24201</v>
      </c>
      <c r="F80" s="385">
        <v>24501</v>
      </c>
      <c r="G80" s="390">
        <v>300</v>
      </c>
      <c r="H80" s="386" t="s">
        <v>263</v>
      </c>
      <c r="I80" s="386" t="s">
        <v>379</v>
      </c>
      <c r="J80" s="390">
        <v>2</v>
      </c>
      <c r="K80" s="386">
        <v>4.5999999999999996</v>
      </c>
      <c r="L80" s="386" t="s">
        <v>143</v>
      </c>
      <c r="M80" s="386">
        <v>4.2</v>
      </c>
      <c r="N80" s="386">
        <v>1</v>
      </c>
      <c r="O80" s="396">
        <v>1</v>
      </c>
      <c r="P80" s="386" t="s">
        <v>366</v>
      </c>
      <c r="Q80" s="397" t="s">
        <v>144</v>
      </c>
      <c r="R80" s="419" t="s">
        <v>73</v>
      </c>
      <c r="S80" s="310">
        <v>70</v>
      </c>
      <c r="T80" s="420"/>
      <c r="U80" s="279">
        <v>24</v>
      </c>
      <c r="V80" s="323">
        <v>6473.9966140621727</v>
      </c>
      <c r="W80" s="323">
        <v>2824.5698392986178</v>
      </c>
      <c r="X80" s="420"/>
      <c r="Y80" s="398">
        <f t="shared" si="16"/>
        <v>1</v>
      </c>
      <c r="Z80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80" s="182" t="s">
        <v>644</v>
      </c>
      <c r="AB80" s="391" t="s">
        <v>654</v>
      </c>
      <c r="AC80" s="31" t="s">
        <v>645</v>
      </c>
      <c r="AD80" s="31" t="s">
        <v>645</v>
      </c>
      <c r="AE80" s="421"/>
      <c r="AF80" s="421"/>
      <c r="AG80" s="421">
        <v>0</v>
      </c>
      <c r="AH80" s="441" t="e">
        <v>#VALUE!</v>
      </c>
      <c r="AI80" s="25" t="e">
        <v>#VALUE!</v>
      </c>
      <c r="AJ80" s="435">
        <v>8.7999999999999995E-2</v>
      </c>
      <c r="AK80" s="330" t="s">
        <v>645</v>
      </c>
      <c r="AL80" s="263">
        <v>0.55000000000000004</v>
      </c>
      <c r="AM80" s="414" t="e">
        <v>#VALUE!</v>
      </c>
      <c r="AN80" s="417" t="s">
        <v>645</v>
      </c>
      <c r="AO80" s="467" t="s">
        <v>73</v>
      </c>
      <c r="AP80" s="439" t="s">
        <v>645</v>
      </c>
      <c r="AQ80" s="442" t="e">
        <v>#VALUE!</v>
      </c>
      <c r="AR80" s="422" t="s">
        <v>645</v>
      </c>
      <c r="AS80" s="316"/>
      <c r="AT80" s="412" t="e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#VALUE!</v>
      </c>
      <c r="AU80" s="23" t="e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#VALUE!</v>
      </c>
      <c r="AV80" s="23" t="e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#VALUE!</v>
      </c>
      <c r="AW80" s="23" t="e">
        <f>1/(1+(Tabela24[[#This Row],[Pt]])*(Tabela24[[#This Row],[Et]]-1)+(Tabela24[[#This Row],[PRv]])*(Tabela24[[#This Row],[Er]]-1))</f>
        <v>#VALUE!</v>
      </c>
      <c r="AX80" s="423" t="e">
        <f>Tabela24[veic/h]/Tabela24[PHF]</f>
        <v>#VALUE!</v>
      </c>
      <c r="AY80" s="423" t="e">
        <v>#VALUE!</v>
      </c>
      <c r="AZ80" s="21" t="e">
        <f>Tabela24[veic/h]/(Tabela24[PHF]*Tabela24[fg ats]*Tabela24[fhv ats])</f>
        <v>#VALUE!</v>
      </c>
      <c r="BA80" s="322" t="e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#VALUE!</v>
      </c>
      <c r="BB80" s="322" t="e">
        <f>IF(AND(Tabela24[[#This Row],[vp1]]*Tabela24[[#This Row],[distrib. direc.]]&lt;1700,Tabela24[[#This Row],[vp1]]&lt;3200),"OK!","FAIL")</f>
        <v>#VALUE!</v>
      </c>
      <c r="BC80" s="23" t="e">
        <f>INDEX('HCM2000'!$L$68:$AF$83,MATCH(Tabela24[[#This Row],[faixa (m)]],'HCM2000'!$K$68:$K$83),MATCH(Tabela24[[#This Row],[acost (m)]],'HCM2000'!$L$67:$AF$67))</f>
        <v>#N/A</v>
      </c>
      <c r="BD80" s="23" t="e">
        <f>MIN(16,(2/3)*Tabela24[[#This Row],[acessos/km]])</f>
        <v>#VALUE!</v>
      </c>
      <c r="BE80" s="22" t="e">
        <f>Tabela24[BFFS]-Tabela24[fLS]-Tabela24[fA]</f>
        <v>#VALUE!</v>
      </c>
      <c r="BF80" s="23" t="e">
        <v>#REF!</v>
      </c>
      <c r="BG80" s="463">
        <f>IFERROR(Tabela24[[#This Row],[vp1]],0)</f>
        <v>0</v>
      </c>
      <c r="BH80" s="463">
        <f>IFERROR(Tabela24[[#This Row],[% zonas s/ultra]],0)</f>
        <v>0</v>
      </c>
      <c r="BI80" s="23" t="str">
        <f t="shared" si="17"/>
        <v>FNP</v>
      </c>
      <c r="BJ80" s="23">
        <v>0</v>
      </c>
      <c r="BK80" s="43" t="e">
        <f>Tabela24[FFS]-0.0125*MAX(Tabela24[[#This Row],[vp1]],Tabela24[[#This Row],[vp1'']])-Tabela24[fnp'']</f>
        <v>#VALUE!</v>
      </c>
      <c r="BL80" s="412" t="e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#VALUE!</v>
      </c>
      <c r="BM80" s="23" t="e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#VALUE!</v>
      </c>
      <c r="BN80" s="23">
        <v>1</v>
      </c>
      <c r="BO80" s="23" t="e">
        <f>1/(1+Tabela24[[#This Row],[Pt]]*(Tabela24[[#This Row],[Et time]]-1)+Tabela24[[#This Row],[PRv]]*(Tabela24[[#This Row],[Er time]]-1))</f>
        <v>#VALUE!</v>
      </c>
      <c r="BP80" s="23" t="e">
        <f>Tabela24[veic/h]/Tabela24[PHF]</f>
        <v>#VALUE!</v>
      </c>
      <c r="BQ80" s="23" t="e">
        <v>#VALUE!</v>
      </c>
      <c r="BR80" s="438" t="e">
        <f>Tabela24[veic/h]/(Tabela24[PHF]*Tabela24[fg time]*Tabela24[fhv follow])</f>
        <v>#VALUE!</v>
      </c>
      <c r="BS80" s="438" t="e">
        <f>IF(AND(Tabela24[[#This Row],[vp2]]*Tabela24[[#This Row],[distrib. direc.]]&lt;1700,Tabela24[[#This Row],[vp2]]&lt;3200),"OK!","FAIL")</f>
        <v>#VALUE!</v>
      </c>
      <c r="BT80" s="23" t="e">
        <f>100*(1-EXP(-0.000879*MAX(Tabela24[[#This Row],[vp2]],Tabela24[[#This Row],[vp2'']])))</f>
        <v>#VALUE!</v>
      </c>
      <c r="BU80" s="304" t="e">
        <v>#REF!</v>
      </c>
      <c r="BV80" s="304">
        <f>IF(TYPE(Tabela24[distrib. direc.])&lt;&gt;1,0,Tabela24[distrib. direc.])</f>
        <v>0.55000000000000004</v>
      </c>
      <c r="BW80" s="304">
        <f>IF(TYPE(Tabela24[vp2])&lt;&gt;1,0,Tabela24[vp2])</f>
        <v>0</v>
      </c>
      <c r="BX80" s="304">
        <f>IF(TYPE(Tabela24[% zonas s/ultra])&lt;&gt;1,0,Tabela24[% zonas s/ultra])</f>
        <v>0</v>
      </c>
      <c r="BY80" s="304" t="str">
        <f t="shared" si="18"/>
        <v>FDNP</v>
      </c>
      <c r="BZ80" s="31">
        <v>1.6000000000000014</v>
      </c>
      <c r="CA80" s="305" t="e">
        <f>Tabela24[BPTSF]+Tabela24[fd/np'']</f>
        <v>#VALUE!</v>
      </c>
      <c r="CB80" s="424" t="e">
        <f>Tabela24[vp1]/3200</f>
        <v>#VALUE!</v>
      </c>
      <c r="CC80" s="280" t="e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#VALUE!</v>
      </c>
      <c r="CD80" s="332" t="e">
        <f>VLOOKUP(Tabela24[faixa (m)],'HCM2000'!$B$541:$C$547,2,TRUE)</f>
        <v>#N/A</v>
      </c>
      <c r="CE80" s="332">
        <f>IF(Tabela24[acost (m)]&gt;0,1.8,1.2)</f>
        <v>1.8</v>
      </c>
      <c r="CF80" s="332">
        <f>IF(Tabela24[Separador]=$CB$6,$CD$6,IF(Tabela24[Separador]=$CB$7,$CD$7,$CD$8))</f>
        <v>0</v>
      </c>
      <c r="CG80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80" s="332">
        <f>IF(Tabela24[Separador]="Sinalização horizontal",'HCM2000'!$C$590,'HCM2000'!$C$591)</f>
        <v>2.6</v>
      </c>
      <c r="CI80" s="332" t="e">
        <f>MIN((2/3)*Tabela24[[#This Row],[acessos/km]],16)</f>
        <v>#VALUE!</v>
      </c>
      <c r="CJ80" s="332" t="e">
        <f>IF(Tabela24[fLC]="Pista simples","-",Tabela24[BFFS]-Tabela24[fLW]-Tabela24[fLC]-Tabela24[fM]-Tabela24[fA2])</f>
        <v>#VALUE!</v>
      </c>
      <c r="CK80" s="332">
        <f>IF(Tabela24[plano/ondulado]="Montanhoso",Tabela24[Para PT&lt;],VLOOKUP(Tabela24[plano/ondulado],'HCM2000'!$B$606:$C$608,2,FALSE))</f>
        <v>1.5</v>
      </c>
      <c r="CL80" s="332">
        <f>IF(Tabela24[[#This Row],[plano/ondulado]]="Montanhoso",Tabela24[[#This Row],[Para PT&lt;]],VLOOKUP(Tabela24[[#This Row],[plano/ondulado]],'HCM2000'!$E$606:$F$608,2,FALSE))</f>
        <v>1.2</v>
      </c>
      <c r="CM80" s="433" t="e">
        <f>1/(1+(Tabela24[Pt]*(Tabela24[Et2]-1))+(Tabela24[PRv]*(Tabela24[Er2]-1)))</f>
        <v>#VALUE!</v>
      </c>
      <c r="CN80" s="329">
        <f>K80+IF(Tabela24[[#This Row],[Num. Faixas Marg.]]="-",0,Tabela24[[#This Row],[Num. Faixas Marg.]])</f>
        <v>4.5999999999999996</v>
      </c>
      <c r="CO80" s="331" t="e">
        <f>Tabela24[[#This Row],[Vzão]]/(Tabela24[[#This Row],[PHF]]*Tabela24[[#This Row],[N]]*Tabela24[[#This Row],[fHV]])</f>
        <v>#VALUE!</v>
      </c>
      <c r="CP80" s="332" t="e">
        <f>IF(Tabela24[fLC]="Pista simples","-",Tabela24[vp3]/Tabela24[S])</f>
        <v>#VALUE!</v>
      </c>
      <c r="CQ80" s="332" t="e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#VALUE!</v>
      </c>
      <c r="CR80" s="329" t="e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#VALUE!</v>
      </c>
      <c r="CS80" s="308" t="e">
        <f>IF(Tabela24[LOS_vp3]="F","F",VLOOKUP(Tabela24[LOS_vp3],'HCM2000'!$R$655:$S$659,2))</f>
        <v>#VALUE!</v>
      </c>
      <c r="CT80" s="329" t="e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#VALUE!</v>
      </c>
      <c r="CU80" s="425" t="e">
        <f>IF(Tabela24[[#This Row],[LOS_vp3]]="F","F",IF(Tabela24[[#This Row],[fLC]]="Pista simples","-",VLOOKUP(Tabela24[[#This Row],[LOS_D3]],'HCM2000'!$R$655:$S$659,2)))</f>
        <v>#VALUE!</v>
      </c>
      <c r="CV80" s="280" t="e">
        <f>IF(OR(Tabela24[[#This Row],[LOS_vp3]]="F",Tabela24[[#This Row],[LOS_D3]]="F"),"F",IF(Tabela24[[#This Row],[Pista]]="Pista Simples","-",VLOOKUP(MINA(Tabela24[LOS_vp],Tabela24[LOS_D]),'HCM2000'!$R$655:$S$659,2)))</f>
        <v>#VALUE!</v>
      </c>
      <c r="CW80" s="381"/>
      <c r="CX80" s="381"/>
      <c r="CY80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80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80" s="22" t="e">
        <f>ABS(INDEX('HCM2000'!$E$611:$M$611,1,MATCH(Tabela24[Pt]*100,'HCM2000'!$E$611:$M$611,1))-Tabela24[Pt]*100)</f>
        <v>#VALUE!</v>
      </c>
      <c r="DB80" s="22" t="e">
        <f>INDEX('HCM2000'!$E$611:$M$611,1,MATCH(Tabela24[[#This Row],[Pt]]*100,'HCM2000'!$E$611:$M$611,1)+1)-Tabela24[[#This Row],[Pt]]*100</f>
        <v>#VALUE!</v>
      </c>
      <c r="DC80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80" s="440"/>
      <c r="DE80" s="423" t="e">
        <f>1/(1+(Tabela24[Pt]*(Tabela24[ETsu]-1))+(Tabela24[PRv]*(Tabela24[ERsu]-1)))</f>
        <v>#VALUE!</v>
      </c>
      <c r="DF80" s="438" t="e">
        <f>Tabela24[Vzão]/(Tabela24[PHF]*Tabela24[N]*Tabela24[fHVsu])</f>
        <v>#VALUE!</v>
      </c>
      <c r="DG80" s="332" t="e">
        <f>IF(Tabela24[fLC]="Pista simples","-",Tabela24[vpsu]/Tabela24[S])</f>
        <v>#VALUE!</v>
      </c>
      <c r="DH80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#VALUE!</v>
      </c>
      <c r="DI80" s="426" t="e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#VALUE!</v>
      </c>
      <c r="DJ80" s="425" t="e">
        <f>IF(Tabela24[[#This Row],[LOS_vp3]]="F","F",VLOOKUP(Tabela24[[#This Row],[LOS_vp3]],'HCM2000'!$R$655:$S$659,2))</f>
        <v>#VALUE!</v>
      </c>
      <c r="DK80" s="426" t="e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#VALUE!</v>
      </c>
      <c r="DL80" s="425" t="e">
        <f>IF(Tabela24[[#This Row],[LOS_vp3]]="F","F",IF(Tabela24[[#This Row],[fLC]]="Pista simples","-",VLOOKUP(Tabela24[[#This Row],[LOS_D3]],'HCM2000'!$R$655:$S$659,2)))</f>
        <v>#VALUE!</v>
      </c>
      <c r="DM80" s="416" t="e">
        <f>IF(OR(Tabela24[[#This Row],[LOS_vp3]]="F",Tabela24[[#This Row],[LOS_D3]]="F"),"F",IF(Tabela24[[#This Row],[Pista]]="Pista Simples","-",VLOOKUP(MINA(Tabela24[LOS_vp3],Tabela24[LOS_D3]),'HCM2000'!$R$655:$S$659,2)))</f>
        <v>#VALUE!</v>
      </c>
      <c r="DN80" s="416"/>
      <c r="DO80" s="22" t="e">
        <f>Tabela24[[#This Row],[ATS]]</f>
        <v>#VALUE!</v>
      </c>
      <c r="DP80" s="416" t="s">
        <v>645</v>
      </c>
      <c r="DQ80" s="22" t="e">
        <f t="shared" si="19"/>
        <v>#VALUE!</v>
      </c>
      <c r="DR80" s="22" t="e">
        <f>Tabela24[[#This Row],[PTSF]]</f>
        <v>#VALUE!</v>
      </c>
      <c r="DS80" s="416" t="s">
        <v>645</v>
      </c>
      <c r="DT80" s="22" t="e">
        <f t="shared" si="20"/>
        <v>#VALUE!</v>
      </c>
      <c r="DU80" s="22"/>
      <c r="DV80" s="22" t="e">
        <v>#VALUE!</v>
      </c>
      <c r="DW80" s="416" t="s">
        <v>645</v>
      </c>
      <c r="DX80" s="22" t="e">
        <v>#VALUE!</v>
      </c>
      <c r="DY80" s="22" t="e">
        <v>#VALUE!</v>
      </c>
      <c r="DZ80" s="416" t="s">
        <v>645</v>
      </c>
      <c r="EA80" s="22" t="e">
        <v>#VALUE!</v>
      </c>
      <c r="EB80" s="416"/>
      <c r="EC80" s="416"/>
      <c r="ED80" s="416"/>
      <c r="EE80" s="416"/>
      <c r="EF80" s="416"/>
      <c r="EG80" s="416"/>
      <c r="EH80" s="416"/>
      <c r="EI80" s="416"/>
      <c r="EJ80" s="416"/>
      <c r="EK80" s="416"/>
      <c r="EL80" s="416"/>
      <c r="EM80" s="416"/>
      <c r="EN80" s="416"/>
      <c r="EO80" s="416"/>
      <c r="EP80" s="416"/>
      <c r="EQ80" s="416"/>
      <c r="ER80" s="416"/>
      <c r="ES80" s="416"/>
      <c r="ET80" s="416"/>
      <c r="EU80" s="416"/>
      <c r="EV80" s="416"/>
      <c r="EW80" s="416"/>
      <c r="EX80" s="416"/>
      <c r="EY80" s="416"/>
      <c r="EZ80" s="416"/>
      <c r="FA80" s="416"/>
      <c r="FB80" s="416"/>
      <c r="FC80" s="416"/>
      <c r="FD80" s="416"/>
      <c r="FE80" s="416"/>
      <c r="FF80" s="416"/>
      <c r="FG80" s="416"/>
      <c r="FH80" s="416"/>
      <c r="FI80" s="416"/>
      <c r="FJ80" s="416"/>
      <c r="FK80" s="416"/>
      <c r="FL80" s="416"/>
      <c r="FM80" s="416"/>
      <c r="FR80" s="3"/>
      <c r="FS80" s="3"/>
      <c r="FV80" s="58"/>
      <c r="FW80" s="58"/>
    </row>
    <row r="81" spans="2:181" s="569" customFormat="1">
      <c r="B81" s="530">
        <v>31</v>
      </c>
      <c r="C81" s="531"/>
      <c r="D81" s="532"/>
      <c r="E81" s="533">
        <v>24201</v>
      </c>
      <c r="F81" s="533">
        <v>24501</v>
      </c>
      <c r="G81" s="534">
        <v>300</v>
      </c>
      <c r="H81" s="530" t="s">
        <v>263</v>
      </c>
      <c r="I81" s="530" t="s">
        <v>379</v>
      </c>
      <c r="J81" s="534">
        <v>2</v>
      </c>
      <c r="K81" s="530">
        <v>4.5999999999999996</v>
      </c>
      <c r="L81" s="530" t="s">
        <v>143</v>
      </c>
      <c r="M81" s="530">
        <v>4.2</v>
      </c>
      <c r="N81" s="530">
        <v>1</v>
      </c>
      <c r="O81" s="535">
        <v>1</v>
      </c>
      <c r="P81" s="530" t="s">
        <v>366</v>
      </c>
      <c r="Q81" s="536" t="s">
        <v>144</v>
      </c>
      <c r="R81" s="537" t="s">
        <v>73</v>
      </c>
      <c r="S81" s="538">
        <v>71</v>
      </c>
      <c r="T81" s="539"/>
      <c r="U81" s="540">
        <v>24</v>
      </c>
      <c r="V81" s="541">
        <v>6473.9966140621727</v>
      </c>
      <c r="W81" s="541">
        <v>2824.5698392986178</v>
      </c>
      <c r="X81" s="539"/>
      <c r="Y81" s="542">
        <f t="shared" si="16"/>
        <v>1</v>
      </c>
      <c r="Z81" s="543" t="str">
        <f ca="1">INDIRECT(CONCATENATE(IF(Tabela24[[#This Row],[tipo]]=1,$AH$4,IF(Tabela24[[#This Row],[tipo]]=2,$AH$5,IF(Tabela24[[#This Row],[tipo]]=3,$AH$6,IF(Tabela24[[#This Row],[tipo]]=4,$AH$7))))&amp;ROW()))</f>
        <v>FDNP</v>
      </c>
      <c r="AA81" s="544" t="s">
        <v>644</v>
      </c>
      <c r="AB81" s="544" t="s">
        <v>654</v>
      </c>
      <c r="AC81" s="545">
        <v>3.5</v>
      </c>
      <c r="AD81" s="545">
        <v>2.5</v>
      </c>
      <c r="AE81" s="546"/>
      <c r="AF81" s="546"/>
      <c r="AG81" s="546">
        <v>0</v>
      </c>
      <c r="AH81" s="547">
        <v>0.45</v>
      </c>
      <c r="AI81" s="547">
        <v>0.03</v>
      </c>
      <c r="AJ81" s="548">
        <v>8.7999999999999995E-2</v>
      </c>
      <c r="AK81" s="549">
        <v>253</v>
      </c>
      <c r="AL81" s="547">
        <v>0.55000000000000004</v>
      </c>
      <c r="AM81" s="550">
        <v>139.15</v>
      </c>
      <c r="AN81" s="551">
        <v>2</v>
      </c>
      <c r="AO81" s="552" t="s">
        <v>73</v>
      </c>
      <c r="AP81" s="544">
        <v>88</v>
      </c>
      <c r="AQ81" s="553">
        <v>0.45</v>
      </c>
      <c r="AR81" s="551">
        <v>0.88</v>
      </c>
      <c r="AS81" s="554"/>
      <c r="AT81" s="480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81" s="480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81" s="480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81" s="480">
        <f>1/(1+(Tabela24[[#This Row],[Pt]])*(Tabela24[[#This Row],[Et]]-1)+(Tabela24[[#This Row],[PRv]])*(Tabela24[[#This Row],[Er]]-1))</f>
        <v>0.76045627376425862</v>
      </c>
      <c r="AX81" s="555">
        <f>Tabela24[veic/h]/Tabela24[PHF]</f>
        <v>287.5</v>
      </c>
      <c r="AY81" s="555">
        <v>378.06249999999994</v>
      </c>
      <c r="AZ81" s="550">
        <f>Tabela24[veic/h]/(Tabela24[PHF]*Tabela24[fg ats]*Tabela24[fhv ats])</f>
        <v>378.06249999999994</v>
      </c>
      <c r="BA81" s="556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81" s="556" t="str">
        <f>IF(AND(Tabela24[[#This Row],[vp1]]*Tabela24[[#This Row],[distrib. direc.]]&lt;1700,Tabela24[[#This Row],[vp1]]&lt;3200),"OK!","FAIL")</f>
        <v>OK!</v>
      </c>
      <c r="BC81" s="480">
        <f>INDEX('HCM2000'!$L$68:$AF$83,MATCH(Tabela24[[#This Row],[faixa (m)]],'HCM2000'!$K$68:$K$83),MATCH(Tabela24[[#This Row],[acost (m)]],'HCM2000'!$L$67:$AF$67))</f>
        <v>0.7</v>
      </c>
      <c r="BD81" s="480">
        <f>MIN(16,(2/3)*Tabela24[[#This Row],[acessos/km]])</f>
        <v>1.3333333333333333</v>
      </c>
      <c r="BE81" s="545">
        <f>Tabela24[BFFS]-Tabela24[fLS]-Tabela24[fA]</f>
        <v>85.966666666666669</v>
      </c>
      <c r="BF81" s="480" t="e">
        <v>#REF!</v>
      </c>
      <c r="BG81" s="552">
        <f>IFERROR(Tabela24[[#This Row],[vp1]],0)</f>
        <v>378.06249999999994</v>
      </c>
      <c r="BH81" s="552">
        <f>IFERROR(Tabela24[[#This Row],[% zonas s/ultra]],0)</f>
        <v>0.45</v>
      </c>
      <c r="BI81" s="480" t="str">
        <f t="shared" si="17"/>
        <v>FNP</v>
      </c>
      <c r="BJ81" s="480">
        <v>4.4333671874999983</v>
      </c>
      <c r="BK81" s="557">
        <f>Tabela24[FFS]-0.0125*MAX(Tabela24[[#This Row],[vp1]],Tabela24[[#This Row],[vp1'']])-Tabela24[fnp'']</f>
        <v>76.807518229166675</v>
      </c>
      <c r="BL81" s="480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81" s="480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81" s="480">
        <v>1</v>
      </c>
      <c r="BO81" s="480">
        <f>1/(1+Tabela24[[#This Row],[Pt]]*(Tabela24[[#This Row],[Et time]]-1)+Tabela24[[#This Row],[PRv]]*(Tabela24[[#This Row],[Er time]]-1))</f>
        <v>0.95693779904306231</v>
      </c>
      <c r="BP81" s="480">
        <f>Tabela24[veic/h]/Tabela24[PHF]</f>
        <v>287.5</v>
      </c>
      <c r="BQ81" s="480">
        <v>300.4375</v>
      </c>
      <c r="BR81" s="550">
        <f>Tabela24[veic/h]/(Tabela24[PHF]*Tabela24[fg time]*Tabela24[fhv follow])</f>
        <v>300.4375</v>
      </c>
      <c r="BS81" s="550" t="str">
        <f>IF(AND(Tabela24[[#This Row],[vp2]]*Tabela24[[#This Row],[distrib. direc.]]&lt;1700,Tabela24[[#This Row],[vp2]]&lt;3200),"OK!","FAIL")</f>
        <v>OK!</v>
      </c>
      <c r="BT81" s="480">
        <f>100*(1-EXP(-0.000879*MAX(Tabela24[[#This Row],[vp2]],Tabela24[[#This Row],[vp2'']])))</f>
        <v>23.209139935999957</v>
      </c>
      <c r="BU81" s="558" t="e">
        <v>#REF!</v>
      </c>
      <c r="BV81" s="558">
        <f>IF(TYPE(Tabela24[distrib. direc.])&lt;&gt;1,0,Tabela24[distrib. direc.])</f>
        <v>0.55000000000000004</v>
      </c>
      <c r="BW81" s="558">
        <f>IF(TYPE(Tabela24[vp2])&lt;&gt;1,0,Tabela24[vp2])</f>
        <v>300.4375</v>
      </c>
      <c r="BX81" s="558">
        <f>IF(TYPE(Tabela24[% zonas s/ultra])&lt;&gt;1,0,Tabela24[% zonas s/ultra])</f>
        <v>0.45</v>
      </c>
      <c r="BY81" s="558" t="str">
        <f t="shared" si="18"/>
        <v>FDNP</v>
      </c>
      <c r="BZ81" s="545">
        <v>17.922374999999732</v>
      </c>
      <c r="CA81" s="559">
        <f>Tabela24[BPTSF]+Tabela24[fd/np'']</f>
        <v>41.131514935999689</v>
      </c>
      <c r="CB81" s="560">
        <f>Tabela24[vp1]/3200</f>
        <v>0.11814453124999998</v>
      </c>
      <c r="CC81" s="517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81" s="561">
        <f>VLOOKUP(Tabela24[faixa (m)],'HCM2000'!$B$541:$C$547,2,TRUE)</f>
        <v>1</v>
      </c>
      <c r="CE81" s="561">
        <f>IF(Tabela24[acost (m)]&gt;0,1.8,1.2)</f>
        <v>1.8</v>
      </c>
      <c r="CF81" s="561">
        <f>IF(Tabela24[Separador]=$CB$6,$CD$6,IF(Tabela24[Separador]=$CB$7,$CD$7,$CD$8))</f>
        <v>0</v>
      </c>
      <c r="CG81" s="561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81" s="561">
        <f>IF(Tabela24[Separador]="Sinalização horizontal",'HCM2000'!$C$590,'HCM2000'!$C$591)</f>
        <v>2.6</v>
      </c>
      <c r="CI81" s="561">
        <f>MIN((2/3)*Tabela24[[#This Row],[acessos/km]],16)</f>
        <v>1.3333333333333333</v>
      </c>
      <c r="CJ81" s="561">
        <f>IF(Tabela24[fLC]="Pista simples","-",Tabela24[BFFS]-Tabela24[fLW]-Tabela24[fLC]-Tabela24[fM]-Tabela24[fA2])</f>
        <v>80.966666666666683</v>
      </c>
      <c r="CK81" s="561">
        <f>IF(Tabela24[plano/ondulado]="Montanhoso",Tabela24[Para PT&lt;],VLOOKUP(Tabela24[plano/ondulado],'HCM2000'!$B$606:$C$608,2,FALSE))</f>
        <v>1.5</v>
      </c>
      <c r="CL81" s="561">
        <f>IF(Tabela24[[#This Row],[plano/ondulado]]="Montanhoso",Tabela24[[#This Row],[Para PT&lt;]],VLOOKUP(Tabela24[[#This Row],[plano/ondulado]],'HCM2000'!$E$606:$F$608,2,FALSE))</f>
        <v>1.2</v>
      </c>
      <c r="CM81" s="562">
        <f>1/(1+(Tabela24[Pt]*(Tabela24[Et2]-1))+(Tabela24[PRv]*(Tabela24[Er2]-1)))</f>
        <v>0.81234768480909825</v>
      </c>
      <c r="CN81" s="563">
        <f>K81+IF(Tabela24[[#This Row],[Num. Faixas Marg.]]="-",0,Tabela24[[#This Row],[Num. Faixas Marg.]])</f>
        <v>4.5999999999999996</v>
      </c>
      <c r="CO81" s="522">
        <f>Tabela24[[#This Row],[Vzão]]/(Tabela24[[#This Row],[PHF]]*Tabela24[[#This Row],[N]]*Tabela24[[#This Row],[fHV]])</f>
        <v>42.315625000000004</v>
      </c>
      <c r="CP81" s="561">
        <f>IF(Tabela24[fLC]="Pista simples","-",Tabela24[vp3]/Tabela24[S])</f>
        <v>0.52263019761218599</v>
      </c>
      <c r="CQ81" s="561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81" s="563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81" s="564" t="str">
        <f>IF(Tabela24[LOS_vp3]="F","F",VLOOKUP(Tabela24[LOS_vp3],'HCM2000'!$R$655:$S$659,2))</f>
        <v>F</v>
      </c>
      <c r="CT81" s="563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81" s="565" t="str">
        <f>IF(Tabela24[[#This Row],[LOS_vp3]]="F","F",IF(Tabela24[[#This Row],[fLC]]="Pista simples","-",VLOOKUP(Tabela24[[#This Row],[LOS_D3]],'HCM2000'!$R$655:$S$659,2)))</f>
        <v>F</v>
      </c>
      <c r="CV81" s="517" t="str">
        <f>IF(OR(Tabela24[[#This Row],[LOS_vp3]]="F",Tabela24[[#This Row],[LOS_D3]]="F"),"F",IF(Tabela24[[#This Row],[Pista]]="Pista Simples","-",VLOOKUP(MINA(Tabela24[LOS_vp],Tabela24[LOS_D]),'HCM2000'!$R$655:$S$659,2)))</f>
        <v>F</v>
      </c>
      <c r="CW81" s="566"/>
      <c r="CX81" s="566"/>
      <c r="CY81" s="545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81" s="544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81" s="545">
        <f>ABS(INDEX('HCM2000'!$E$611:$M$611,1,MATCH(Tabela24[Pt]*100,'HCM2000'!$E$611:$M$611,1))-Tabela24[Pt]*100)</f>
        <v>20</v>
      </c>
      <c r="DB81" s="545" t="e">
        <f>INDEX('HCM2000'!$E$611:$M$611,1,MATCH(Tabela24[[#This Row],[Pt]]*100,'HCM2000'!$E$611:$M$611,1)+1)-Tabela24[[#This Row],[Pt]]*100</f>
        <v>#REF!</v>
      </c>
      <c r="DC81" s="545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81" s="544"/>
      <c r="DE81" s="555" t="e">
        <f>1/(1+(Tabela24[Pt]*(Tabela24[ETsu]-1))+(Tabela24[PRv]*(Tabela24[ERsu]-1)))</f>
        <v>#N/A</v>
      </c>
      <c r="DF81" s="550" t="e">
        <f>Tabela24[Vzão]/(Tabela24[PHF]*Tabela24[N]*Tabela24[fHVsu])</f>
        <v>#N/A</v>
      </c>
      <c r="DG81" s="561" t="e">
        <f>IF(Tabela24[fLC]="Pista simples","-",Tabela24[vpsu]/Tabela24[S])</f>
        <v>#N/A</v>
      </c>
      <c r="DH81" s="561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81" s="567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81" s="565" t="str">
        <f>IF(Tabela24[[#This Row],[LOS_vp3]]="F","F",VLOOKUP(Tabela24[[#This Row],[LOS_vp3]],'HCM2000'!$R$655:$S$659,2))</f>
        <v>F</v>
      </c>
      <c r="DK81" s="567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81" s="565" t="str">
        <f>IF(Tabela24[[#This Row],[LOS_vp3]]="F","F",IF(Tabela24[[#This Row],[fLC]]="Pista simples","-",VLOOKUP(Tabela24[[#This Row],[LOS_D3]],'HCM2000'!$R$655:$S$659,2)))</f>
        <v>F</v>
      </c>
      <c r="DM81" s="52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81" s="526"/>
      <c r="DO81" s="545">
        <f>Tabela24[[#This Row],[ATS]]</f>
        <v>76.807518229166675</v>
      </c>
      <c r="DP81" s="526">
        <v>76.8</v>
      </c>
      <c r="DQ81" s="568">
        <f t="shared" si="19"/>
        <v>7.5182291666777701E-3</v>
      </c>
      <c r="DR81" s="545">
        <f>Tabela24[[#This Row],[PTSF]]</f>
        <v>41.131514935999689</v>
      </c>
      <c r="DS81" s="526">
        <v>40.4</v>
      </c>
      <c r="DT81" s="545">
        <f t="shared" si="20"/>
        <v>0.73151493599969086</v>
      </c>
      <c r="DU81" s="545"/>
      <c r="DV81" s="545">
        <v>76.807518229166675</v>
      </c>
      <c r="DW81" s="526">
        <v>76.8</v>
      </c>
      <c r="DX81" s="545">
        <v>7.5182291666777701E-3</v>
      </c>
      <c r="DY81" s="545">
        <v>55.200639605930689</v>
      </c>
      <c r="DZ81" s="526">
        <v>40.4</v>
      </c>
      <c r="EA81" s="545">
        <v>0.73151493599969086</v>
      </c>
      <c r="EB81" s="526"/>
      <c r="EC81" s="526"/>
      <c r="ED81" s="526"/>
      <c r="EE81" s="526"/>
      <c r="EF81" s="526"/>
      <c r="EG81" s="526"/>
      <c r="EH81" s="526"/>
      <c r="EI81" s="526"/>
      <c r="EJ81" s="526"/>
      <c r="EK81" s="526"/>
      <c r="EL81" s="526"/>
      <c r="EM81" s="526"/>
      <c r="EN81" s="526"/>
      <c r="EO81" s="526"/>
      <c r="EP81" s="526"/>
      <c r="EQ81" s="526"/>
      <c r="ER81" s="526"/>
      <c r="ES81" s="526"/>
      <c r="ET81" s="526"/>
      <c r="EU81" s="526"/>
      <c r="EV81" s="526"/>
      <c r="EW81" s="526"/>
      <c r="EX81" s="526"/>
      <c r="EY81" s="526"/>
      <c r="EZ81" s="526"/>
      <c r="FA81" s="526"/>
      <c r="FB81" s="526"/>
      <c r="FC81" s="526"/>
      <c r="FD81" s="526"/>
      <c r="FE81" s="526"/>
      <c r="FF81" s="526"/>
      <c r="FG81" s="526"/>
      <c r="FH81" s="526"/>
      <c r="FI81" s="526"/>
      <c r="FJ81" s="526"/>
      <c r="FK81" s="526"/>
      <c r="FL81" s="526"/>
      <c r="FM81" s="526"/>
    </row>
    <row r="82" spans="2:181">
      <c r="B82" s="386">
        <v>32</v>
      </c>
      <c r="C82" s="394"/>
      <c r="D82" s="395"/>
      <c r="E82" s="385">
        <v>24201</v>
      </c>
      <c r="F82" s="385">
        <v>24501</v>
      </c>
      <c r="G82" s="390">
        <v>300</v>
      </c>
      <c r="H82" s="386" t="s">
        <v>263</v>
      </c>
      <c r="I82" s="386" t="s">
        <v>379</v>
      </c>
      <c r="J82" s="390">
        <v>2</v>
      </c>
      <c r="K82" s="386">
        <v>4.5999999999999996</v>
      </c>
      <c r="L82" s="386" t="s">
        <v>143</v>
      </c>
      <c r="M82" s="386">
        <v>4.2</v>
      </c>
      <c r="N82" s="386">
        <v>1</v>
      </c>
      <c r="O82" s="396">
        <v>1</v>
      </c>
      <c r="P82" s="386" t="s">
        <v>366</v>
      </c>
      <c r="Q82" s="397" t="s">
        <v>144</v>
      </c>
      <c r="R82" s="419" t="s">
        <v>73</v>
      </c>
      <c r="S82" s="310">
        <v>72</v>
      </c>
      <c r="T82" s="420"/>
      <c r="U82" s="279">
        <v>24</v>
      </c>
      <c r="V82" s="323">
        <v>6473.9966140621727</v>
      </c>
      <c r="W82" s="323">
        <v>2824.5698392986178</v>
      </c>
      <c r="X82" s="420"/>
      <c r="Y82" s="398">
        <f t="shared" si="16"/>
        <v>1</v>
      </c>
      <c r="Z82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82" s="182" t="s">
        <v>644</v>
      </c>
      <c r="AB82" s="391" t="s">
        <v>654</v>
      </c>
      <c r="AC82" s="31">
        <v>3.5</v>
      </c>
      <c r="AD82" s="31">
        <v>2.5</v>
      </c>
      <c r="AE82" s="421"/>
      <c r="AF82" s="421"/>
      <c r="AG82" s="421">
        <v>0</v>
      </c>
      <c r="AH82" s="441">
        <v>0.45</v>
      </c>
      <c r="AI82" s="25">
        <v>0.03</v>
      </c>
      <c r="AJ82" s="435">
        <v>8.7999999999999995E-2</v>
      </c>
      <c r="AK82" s="330">
        <v>253</v>
      </c>
      <c r="AL82" s="263">
        <v>0.55000000000000004</v>
      </c>
      <c r="AM82" s="414">
        <v>139.15</v>
      </c>
      <c r="AN82" s="417">
        <v>2</v>
      </c>
      <c r="AO82" s="467" t="s">
        <v>73</v>
      </c>
      <c r="AP82" s="439">
        <v>88</v>
      </c>
      <c r="AQ82" s="442">
        <v>0.49</v>
      </c>
      <c r="AR82" s="422">
        <v>0.88</v>
      </c>
      <c r="AS82" s="316"/>
      <c r="AT82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82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82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82" s="23">
        <f>1/(1+(Tabela24[[#This Row],[Pt]])*(Tabela24[[#This Row],[Et]]-1)+(Tabela24[[#This Row],[PRv]])*(Tabela24[[#This Row],[Er]]-1))</f>
        <v>0.76045627376425862</v>
      </c>
      <c r="AX82" s="423">
        <f>Tabela24[veic/h]/Tabela24[PHF]</f>
        <v>287.5</v>
      </c>
      <c r="AY82" s="423">
        <v>378.06249999999994</v>
      </c>
      <c r="AZ82" s="21">
        <f>Tabela24[veic/h]/(Tabela24[PHF]*Tabela24[fg ats]*Tabela24[fhv ats])</f>
        <v>378.06249999999994</v>
      </c>
      <c r="BA82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82" s="322" t="str">
        <f>IF(AND(Tabela24[[#This Row],[vp1]]*Tabela24[[#This Row],[distrib. direc.]]&lt;1700,Tabela24[[#This Row],[vp1]]&lt;3200),"OK!","FAIL")</f>
        <v>OK!</v>
      </c>
      <c r="BC82" s="23">
        <f>INDEX('HCM2000'!$L$68:$AF$83,MATCH(Tabela24[[#This Row],[faixa (m)]],'HCM2000'!$K$68:$K$83),MATCH(Tabela24[[#This Row],[acost (m)]],'HCM2000'!$L$67:$AF$67))</f>
        <v>0.7</v>
      </c>
      <c r="BD82" s="23">
        <f>MIN(16,(2/3)*Tabela24[[#This Row],[acessos/km]])</f>
        <v>1.3333333333333333</v>
      </c>
      <c r="BE82" s="22">
        <f>Tabela24[BFFS]-Tabela24[fLS]-Tabela24[fA]</f>
        <v>85.966666666666669</v>
      </c>
      <c r="BF82" s="23" t="e">
        <v>#REF!</v>
      </c>
      <c r="BG82" s="463">
        <f>IFERROR(Tabela24[[#This Row],[vp1]],0)</f>
        <v>378.06249999999994</v>
      </c>
      <c r="BH82" s="463">
        <f>IFERROR(Tabela24[[#This Row],[% zonas s/ultra]],0)</f>
        <v>0.49</v>
      </c>
      <c r="BI82" s="23" t="str">
        <f t="shared" si="17"/>
        <v>FNP</v>
      </c>
      <c r="BJ82" s="23">
        <v>4.7155609374999976</v>
      </c>
      <c r="BK82" s="43">
        <f>Tabela24[FFS]-0.0125*MAX(Tabela24[[#This Row],[vp1]],Tabela24[[#This Row],[vp1'']])-Tabela24[fnp'']</f>
        <v>76.52532447916667</v>
      </c>
      <c r="BL82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82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82" s="23">
        <v>1</v>
      </c>
      <c r="BO82" s="23">
        <f>1/(1+Tabela24[[#This Row],[Pt]]*(Tabela24[[#This Row],[Et time]]-1)+Tabela24[[#This Row],[PRv]]*(Tabela24[[#This Row],[Er time]]-1))</f>
        <v>0.95693779904306231</v>
      </c>
      <c r="BP82" s="23">
        <f>Tabela24[veic/h]/Tabela24[PHF]</f>
        <v>287.5</v>
      </c>
      <c r="BQ82" s="23">
        <v>300.4375</v>
      </c>
      <c r="BR82" s="438">
        <f>Tabela24[veic/h]/(Tabela24[PHF]*Tabela24[fg time]*Tabela24[fhv follow])</f>
        <v>300.4375</v>
      </c>
      <c r="BS82" s="438" t="str">
        <f>IF(AND(Tabela24[[#This Row],[vp2]]*Tabela24[[#This Row],[distrib. direc.]]&lt;1700,Tabela24[[#This Row],[vp2]]&lt;3200),"OK!","FAIL")</f>
        <v>OK!</v>
      </c>
      <c r="BT82" s="23">
        <f>100*(1-EXP(-0.000879*MAX(Tabela24[[#This Row],[vp2]],Tabela24[[#This Row],[vp2'']])))</f>
        <v>23.209139935999957</v>
      </c>
      <c r="BU82" s="304" t="e">
        <v>#REF!</v>
      </c>
      <c r="BV82" s="304">
        <f>IF(TYPE(Tabela24[distrib. direc.])&lt;&gt;1,0,Tabela24[distrib. direc.])</f>
        <v>0.55000000000000004</v>
      </c>
      <c r="BW82" s="304">
        <f>IF(TYPE(Tabela24[vp2])&lt;&gt;1,0,Tabela24[vp2])</f>
        <v>300.4375</v>
      </c>
      <c r="BX82" s="304">
        <f>IF(TYPE(Tabela24[% zonas s/ultra])&lt;&gt;1,0,Tabela24[% zonas s/ultra])</f>
        <v>0.49</v>
      </c>
      <c r="BY82" s="304" t="str">
        <f t="shared" si="18"/>
        <v>FDNP</v>
      </c>
      <c r="BZ82" s="31">
        <v>18.902024999999735</v>
      </c>
      <c r="CA82" s="305">
        <f>Tabela24[BPTSF]+Tabela24[fd/np'']</f>
        <v>42.111164935999696</v>
      </c>
      <c r="CB82" s="424">
        <f>Tabela24[vp1]/3200</f>
        <v>0.11814453124999998</v>
      </c>
      <c r="CC82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82" s="332">
        <f>VLOOKUP(Tabela24[faixa (m)],'HCM2000'!$B$541:$C$547,2,TRUE)</f>
        <v>1</v>
      </c>
      <c r="CE82" s="332">
        <f>IF(Tabela24[acost (m)]&gt;0,1.8,1.2)</f>
        <v>1.8</v>
      </c>
      <c r="CF82" s="332">
        <f>IF(Tabela24[Separador]=$CB$6,$CD$6,IF(Tabela24[Separador]=$CB$7,$CD$7,$CD$8))</f>
        <v>0</v>
      </c>
      <c r="CG82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82" s="332">
        <f>IF(Tabela24[Separador]="Sinalização horizontal",'HCM2000'!$C$590,'HCM2000'!$C$591)</f>
        <v>2.6</v>
      </c>
      <c r="CI82" s="332">
        <f>MIN((2/3)*Tabela24[[#This Row],[acessos/km]],16)</f>
        <v>1.3333333333333333</v>
      </c>
      <c r="CJ82" s="332">
        <f>IF(Tabela24[fLC]="Pista simples","-",Tabela24[BFFS]-Tabela24[fLW]-Tabela24[fLC]-Tabela24[fM]-Tabela24[fA2])</f>
        <v>80.966666666666683</v>
      </c>
      <c r="CK82" s="332">
        <f>IF(Tabela24[plano/ondulado]="Montanhoso",Tabela24[Para PT&lt;],VLOOKUP(Tabela24[plano/ondulado],'HCM2000'!$B$606:$C$608,2,FALSE))</f>
        <v>1.5</v>
      </c>
      <c r="CL82" s="332">
        <f>IF(Tabela24[[#This Row],[plano/ondulado]]="Montanhoso",Tabela24[[#This Row],[Para PT&lt;]],VLOOKUP(Tabela24[[#This Row],[plano/ondulado]],'HCM2000'!$E$606:$F$608,2,FALSE))</f>
        <v>1.2</v>
      </c>
      <c r="CM82" s="433">
        <f>1/(1+(Tabela24[Pt]*(Tabela24[Et2]-1))+(Tabela24[PRv]*(Tabela24[Er2]-1)))</f>
        <v>0.81234768480909825</v>
      </c>
      <c r="CN82" s="329">
        <f>K82+IF(Tabela24[[#This Row],[Num. Faixas Marg.]]="-",0,Tabela24[[#This Row],[Num. Faixas Marg.]])</f>
        <v>4.5999999999999996</v>
      </c>
      <c r="CO82" s="331">
        <f>Tabela24[[#This Row],[Vzão]]/(Tabela24[[#This Row],[PHF]]*Tabela24[[#This Row],[N]]*Tabela24[[#This Row],[fHV]])</f>
        <v>42.315625000000004</v>
      </c>
      <c r="CP82" s="332">
        <f>IF(Tabela24[fLC]="Pista simples","-",Tabela24[vp3]/Tabela24[S])</f>
        <v>0.52263019761218599</v>
      </c>
      <c r="CQ82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82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82" s="308" t="str">
        <f>IF(Tabela24[LOS_vp3]="F","F",VLOOKUP(Tabela24[LOS_vp3],'HCM2000'!$R$655:$S$659,2))</f>
        <v>F</v>
      </c>
      <c r="CT82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82" s="425" t="str">
        <f>IF(Tabela24[[#This Row],[LOS_vp3]]="F","F",IF(Tabela24[[#This Row],[fLC]]="Pista simples","-",VLOOKUP(Tabela24[[#This Row],[LOS_D3]],'HCM2000'!$R$655:$S$659,2)))</f>
        <v>F</v>
      </c>
      <c r="CV82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82" s="381"/>
      <c r="CX82" s="381"/>
      <c r="CY82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82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82" s="22">
        <f>ABS(INDEX('HCM2000'!$E$611:$M$611,1,MATCH(Tabela24[Pt]*100,'HCM2000'!$E$611:$M$611,1))-Tabela24[Pt]*100)</f>
        <v>20</v>
      </c>
      <c r="DB82" s="22" t="e">
        <f>INDEX('HCM2000'!$E$611:$M$611,1,MATCH(Tabela24[[#This Row],[Pt]]*100,'HCM2000'!$E$611:$M$611,1)+1)-Tabela24[[#This Row],[Pt]]*100</f>
        <v>#REF!</v>
      </c>
      <c r="DC82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82" s="440"/>
      <c r="DE82" s="423" t="e">
        <f>1/(1+(Tabela24[Pt]*(Tabela24[ETsu]-1))+(Tabela24[PRv]*(Tabela24[ERsu]-1)))</f>
        <v>#N/A</v>
      </c>
      <c r="DF82" s="438" t="e">
        <f>Tabela24[Vzão]/(Tabela24[PHF]*Tabela24[N]*Tabela24[fHVsu])</f>
        <v>#N/A</v>
      </c>
      <c r="DG82" s="332" t="e">
        <f>IF(Tabela24[fLC]="Pista simples","-",Tabela24[vpsu]/Tabela24[S])</f>
        <v>#N/A</v>
      </c>
      <c r="DH82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82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82" s="425" t="str">
        <f>IF(Tabela24[[#This Row],[LOS_vp3]]="F","F",VLOOKUP(Tabela24[[#This Row],[LOS_vp3]],'HCM2000'!$R$655:$S$659,2))</f>
        <v>F</v>
      </c>
      <c r="DK82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82" s="425" t="str">
        <f>IF(Tabela24[[#This Row],[LOS_vp3]]="F","F",IF(Tabela24[[#This Row],[fLC]]="Pista simples","-",VLOOKUP(Tabela24[[#This Row],[LOS_D3]],'HCM2000'!$R$655:$S$659,2)))</f>
        <v>F</v>
      </c>
      <c r="DM82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82" s="416"/>
      <c r="DO82" s="22">
        <f>Tabela24[[#This Row],[ATS]]</f>
        <v>76.52532447916667</v>
      </c>
      <c r="DP82" s="416">
        <v>76.5</v>
      </c>
      <c r="DQ82" s="529">
        <f t="shared" si="19"/>
        <v>2.5324479166670244E-2</v>
      </c>
      <c r="DR82" s="22">
        <f>Tabela24[[#This Row],[PTSF]]</f>
        <v>42.111164935999696</v>
      </c>
      <c r="DS82" s="416">
        <v>40.4</v>
      </c>
      <c r="DT82" s="22">
        <f t="shared" si="20"/>
        <v>1.7111649359996974</v>
      </c>
      <c r="DU82" s="22"/>
      <c r="DV82" s="22">
        <v>76.52532447916667</v>
      </c>
      <c r="DW82" s="416">
        <v>76.5</v>
      </c>
      <c r="DX82" s="22">
        <v>2.5324479166670244E-2</v>
      </c>
      <c r="DY82" s="22">
        <v>56.376633032369327</v>
      </c>
      <c r="DZ82" s="416">
        <v>40.4</v>
      </c>
      <c r="EA82" s="22">
        <v>1.7111649359996974</v>
      </c>
      <c r="EB82" s="416"/>
      <c r="EC82" s="416"/>
      <c r="ED82" s="416"/>
      <c r="EE82" s="416"/>
      <c r="EF82" s="416"/>
      <c r="EG82" s="416"/>
      <c r="EH82" s="416"/>
      <c r="EI82" s="416"/>
      <c r="EJ82" s="416"/>
      <c r="EK82" s="416"/>
      <c r="EL82" s="416"/>
      <c r="EM82" s="416"/>
      <c r="EN82" s="416"/>
      <c r="EO82" s="416"/>
      <c r="EP82" s="416"/>
      <c r="EQ82" s="416"/>
      <c r="ER82" s="416"/>
      <c r="ES82" s="416"/>
      <c r="ET82" s="416"/>
      <c r="EU82" s="416"/>
      <c r="EV82" s="416"/>
      <c r="EW82" s="416"/>
      <c r="EX82" s="416"/>
      <c r="EY82" s="416"/>
      <c r="EZ82" s="416"/>
      <c r="FA82" s="416"/>
      <c r="FB82" s="416"/>
      <c r="FC82" s="416"/>
      <c r="FD82" s="416"/>
      <c r="FE82" s="416"/>
      <c r="FF82" s="416"/>
      <c r="FG82" s="416"/>
      <c r="FH82" s="416"/>
      <c r="FI82" s="416"/>
      <c r="FJ82" s="416"/>
      <c r="FK82" s="416"/>
      <c r="FL82" s="416"/>
      <c r="FM82" s="416"/>
      <c r="FR82" s="3"/>
      <c r="FS82" s="3"/>
      <c r="FV82" s="58"/>
      <c r="FW82" s="58"/>
    </row>
    <row r="83" spans="2:181">
      <c r="B83" s="386">
        <v>33</v>
      </c>
      <c r="C83" s="394"/>
      <c r="D83" s="395"/>
      <c r="E83" s="385">
        <v>24201</v>
      </c>
      <c r="F83" s="385">
        <v>24501</v>
      </c>
      <c r="G83" s="390">
        <v>300</v>
      </c>
      <c r="H83" s="386" t="s">
        <v>263</v>
      </c>
      <c r="I83" s="386" t="s">
        <v>379</v>
      </c>
      <c r="J83" s="390">
        <v>2</v>
      </c>
      <c r="K83" s="386">
        <v>4.5999999999999996</v>
      </c>
      <c r="L83" s="386" t="s">
        <v>143</v>
      </c>
      <c r="M83" s="386">
        <v>4.2</v>
      </c>
      <c r="N83" s="386">
        <v>1</v>
      </c>
      <c r="O83" s="396">
        <v>1</v>
      </c>
      <c r="P83" s="386" t="s">
        <v>366</v>
      </c>
      <c r="Q83" s="397" t="s">
        <v>144</v>
      </c>
      <c r="R83" s="419" t="s">
        <v>73</v>
      </c>
      <c r="S83" s="310">
        <v>73</v>
      </c>
      <c r="T83" s="420"/>
      <c r="U83" s="279">
        <v>24</v>
      </c>
      <c r="V83" s="323">
        <v>6473.9966140621727</v>
      </c>
      <c r="W83" s="323">
        <v>2824.5698392986178</v>
      </c>
      <c r="X83" s="420"/>
      <c r="Y83" s="398">
        <f t="shared" si="16"/>
        <v>1</v>
      </c>
      <c r="Z83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83" s="182" t="s">
        <v>644</v>
      </c>
      <c r="AB83" s="391" t="s">
        <v>654</v>
      </c>
      <c r="AC83" s="31">
        <v>3.5</v>
      </c>
      <c r="AD83" s="31">
        <v>2.5</v>
      </c>
      <c r="AE83" s="421"/>
      <c r="AF83" s="421"/>
      <c r="AG83" s="421">
        <v>0</v>
      </c>
      <c r="AH83" s="441">
        <v>0.32</v>
      </c>
      <c r="AI83" s="25">
        <v>0.03</v>
      </c>
      <c r="AJ83" s="435">
        <v>8.7999999999999995E-2</v>
      </c>
      <c r="AK83" s="330">
        <v>259</v>
      </c>
      <c r="AL83" s="263">
        <v>0.55000000000000004</v>
      </c>
      <c r="AM83" s="414">
        <v>142.45000000000002</v>
      </c>
      <c r="AN83" s="417">
        <v>2</v>
      </c>
      <c r="AO83" s="467" t="s">
        <v>73</v>
      </c>
      <c r="AP83" s="439">
        <v>88</v>
      </c>
      <c r="AQ83" s="442">
        <v>0.5</v>
      </c>
      <c r="AR83" s="422">
        <v>0.88</v>
      </c>
      <c r="AS83" s="316"/>
      <c r="AT83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83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83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83" s="23">
        <f>1/(1+(Tabela24[[#This Row],[Pt]])*(Tabela24[[#This Row],[Et]]-1)+(Tabela24[[#This Row],[PRv]])*(Tabela24[[#This Row],[Er]]-1))</f>
        <v>0.81699346405228757</v>
      </c>
      <c r="AX83" s="423">
        <f>Tabela24[veic/h]/Tabela24[PHF]</f>
        <v>294.31818181818181</v>
      </c>
      <c r="AY83" s="423">
        <v>360.24545454545455</v>
      </c>
      <c r="AZ83" s="21">
        <f>Tabela24[veic/h]/(Tabela24[PHF]*Tabela24[fg ats]*Tabela24[fhv ats])</f>
        <v>360.24545454545455</v>
      </c>
      <c r="BA83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83" s="322" t="str">
        <f>IF(AND(Tabela24[[#This Row],[vp1]]*Tabela24[[#This Row],[distrib. direc.]]&lt;1700,Tabela24[[#This Row],[vp1]]&lt;3200),"OK!","FAIL")</f>
        <v>OK!</v>
      </c>
      <c r="BC83" s="23">
        <f>INDEX('HCM2000'!$L$68:$AF$83,MATCH(Tabela24[[#This Row],[faixa (m)]],'HCM2000'!$K$68:$K$83),MATCH(Tabela24[[#This Row],[acost (m)]],'HCM2000'!$L$67:$AF$67))</f>
        <v>0.7</v>
      </c>
      <c r="BD83" s="23">
        <f>MIN(16,(2/3)*Tabela24[[#This Row],[acessos/km]])</f>
        <v>1.3333333333333333</v>
      </c>
      <c r="BE83" s="22">
        <f>Tabela24[BFFS]-Tabela24[fLS]-Tabela24[fA]</f>
        <v>85.966666666666669</v>
      </c>
      <c r="BF83" s="23" t="e">
        <v>#REF!</v>
      </c>
      <c r="BG83" s="463">
        <f>IFERROR(Tabela24[[#This Row],[vp1]],0)</f>
        <v>360.24545454545455</v>
      </c>
      <c r="BH83" s="463">
        <f>IFERROR(Tabela24[[#This Row],[% zonas s/ultra]],0)</f>
        <v>0.5</v>
      </c>
      <c r="BI83" s="23" t="str">
        <f t="shared" si="17"/>
        <v>FNP</v>
      </c>
      <c r="BJ83" s="23">
        <v>4.6123931818181809</v>
      </c>
      <c r="BK83" s="43">
        <f>Tabela24[FFS]-0.0125*MAX(Tabela24[[#This Row],[vp1]],Tabela24[[#This Row],[vp1'']])-Tabela24[fnp'']</f>
        <v>76.851205303030312</v>
      </c>
      <c r="BL83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83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83" s="23">
        <v>1</v>
      </c>
      <c r="BO83" s="23">
        <f>1/(1+Tabela24[[#This Row],[Pt]]*(Tabela24[[#This Row],[Et time]]-1)+Tabela24[[#This Row],[PRv]]*(Tabela24[[#This Row],[Er time]]-1))</f>
        <v>0.96899224806201545</v>
      </c>
      <c r="BP83" s="23">
        <f>Tabela24[veic/h]/Tabela24[PHF]</f>
        <v>294.31818181818181</v>
      </c>
      <c r="BQ83" s="23">
        <v>303.73636363636365</v>
      </c>
      <c r="BR83" s="438">
        <f>Tabela24[veic/h]/(Tabela24[PHF]*Tabela24[fg time]*Tabela24[fhv follow])</f>
        <v>303.73636363636365</v>
      </c>
      <c r="BS83" s="438" t="str">
        <f>IF(AND(Tabela24[[#This Row],[vp2]]*Tabela24[[#This Row],[distrib. direc.]]&lt;1700,Tabela24[[#This Row],[vp2]]&lt;3200),"OK!","FAIL")</f>
        <v>OK!</v>
      </c>
      <c r="BT83" s="23">
        <f>100*(1-EXP(-0.000879*MAX(Tabela24[[#This Row],[vp2]],Tabela24[[#This Row],[vp2'']])))</f>
        <v>23.431487952994335</v>
      </c>
      <c r="BU83" s="304" t="e">
        <v>#REF!</v>
      </c>
      <c r="BV83" s="304">
        <f>IF(TYPE(Tabela24[distrib. direc.])&lt;&gt;1,0,Tabela24[distrib. direc.])</f>
        <v>0.55000000000000004</v>
      </c>
      <c r="BW83" s="304">
        <f>IF(TYPE(Tabela24[vp2])&lt;&gt;1,0,Tabela24[vp2])</f>
        <v>303.73636363636365</v>
      </c>
      <c r="BX83" s="304">
        <f>IF(TYPE(Tabela24[% zonas s/ultra])&lt;&gt;1,0,Tabela24[% zonas s/ultra])</f>
        <v>0.5</v>
      </c>
      <c r="BY83" s="304" t="str">
        <f t="shared" si="18"/>
        <v>FDNP</v>
      </c>
      <c r="BZ83" s="31">
        <v>19.12384545454519</v>
      </c>
      <c r="CA83" s="305">
        <f>Tabela24[BPTSF]+Tabela24[fd/np'']</f>
        <v>42.555333407539521</v>
      </c>
      <c r="CB83" s="424">
        <f>Tabela24[vp1]/3200</f>
        <v>0.11257670454545454</v>
      </c>
      <c r="CC83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83" s="332">
        <f>VLOOKUP(Tabela24[faixa (m)],'HCM2000'!$B$541:$C$547,2,TRUE)</f>
        <v>1</v>
      </c>
      <c r="CE83" s="332">
        <f>IF(Tabela24[acost (m)]&gt;0,1.8,1.2)</f>
        <v>1.8</v>
      </c>
      <c r="CF83" s="332">
        <f>IF(Tabela24[Separador]=$CB$6,$CD$6,IF(Tabela24[Separador]=$CB$7,$CD$7,$CD$8))</f>
        <v>0</v>
      </c>
      <c r="CG83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83" s="332">
        <f>IF(Tabela24[Separador]="Sinalização horizontal",'HCM2000'!$C$590,'HCM2000'!$C$591)</f>
        <v>2.6</v>
      </c>
      <c r="CI83" s="332">
        <f>MIN((2/3)*Tabela24[[#This Row],[acessos/km]],16)</f>
        <v>1.3333333333333333</v>
      </c>
      <c r="CJ83" s="332">
        <f>IF(Tabela24[fLC]="Pista simples","-",Tabela24[BFFS]-Tabela24[fLW]-Tabela24[fLC]-Tabela24[fM]-Tabela24[fA2])</f>
        <v>80.966666666666683</v>
      </c>
      <c r="CK83" s="332">
        <f>IF(Tabela24[plano/ondulado]="Montanhoso",Tabela24[Para PT&lt;],VLOOKUP(Tabela24[plano/ondulado],'HCM2000'!$B$606:$C$608,2,FALSE))</f>
        <v>1.5</v>
      </c>
      <c r="CL83" s="332">
        <f>IF(Tabela24[[#This Row],[plano/ondulado]]="Montanhoso",Tabela24[[#This Row],[Para PT&lt;]],VLOOKUP(Tabela24[[#This Row],[plano/ondulado]],'HCM2000'!$E$606:$F$608,2,FALSE))</f>
        <v>1.2</v>
      </c>
      <c r="CM83" s="433">
        <f>1/(1+(Tabela24[Pt]*(Tabela24[Et2]-1))+(Tabela24[PRv]*(Tabela24[Er2]-1)))</f>
        <v>0.85763293310463129</v>
      </c>
      <c r="CN83" s="329">
        <f>K83+IF(Tabela24[[#This Row],[Num. Faixas Marg.]]="-",0,Tabela24[[#This Row],[Num. Faixas Marg.]])</f>
        <v>4.5999999999999996</v>
      </c>
      <c r="CO83" s="331">
        <f>Tabela24[[#This Row],[Vzão]]/(Tabela24[[#This Row],[PHF]]*Tabela24[[#This Row],[N]]*Tabela24[[#This Row],[fHV]])</f>
        <v>41.031793478260873</v>
      </c>
      <c r="CP83" s="332">
        <f>IF(Tabela24[fLC]="Pista simples","-",Tabela24[vp3]/Tabela24[S])</f>
        <v>0.50677390051372007</v>
      </c>
      <c r="CQ83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83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83" s="308" t="str">
        <f>IF(Tabela24[LOS_vp3]="F","F",VLOOKUP(Tabela24[LOS_vp3],'HCM2000'!$R$655:$S$659,2))</f>
        <v>F</v>
      </c>
      <c r="CT83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83" s="425" t="str">
        <f>IF(Tabela24[[#This Row],[LOS_vp3]]="F","F",IF(Tabela24[[#This Row],[fLC]]="Pista simples","-",VLOOKUP(Tabela24[[#This Row],[LOS_D3]],'HCM2000'!$R$655:$S$659,2)))</f>
        <v>F</v>
      </c>
      <c r="CV83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83" s="381"/>
      <c r="CX83" s="381"/>
      <c r="CY83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83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83" s="22">
        <f>ABS(INDEX('HCM2000'!$E$611:$M$611,1,MATCH(Tabela24[Pt]*100,'HCM2000'!$E$611:$M$611,1))-Tabela24[Pt]*100)</f>
        <v>7</v>
      </c>
      <c r="DB83" s="22" t="e">
        <f>INDEX('HCM2000'!$E$611:$M$611,1,MATCH(Tabela24[[#This Row],[Pt]]*100,'HCM2000'!$E$611:$M$611,1)+1)-Tabela24[[#This Row],[Pt]]*100</f>
        <v>#REF!</v>
      </c>
      <c r="DC83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83" s="440"/>
      <c r="DE83" s="423" t="e">
        <f>1/(1+(Tabela24[Pt]*(Tabela24[ETsu]-1))+(Tabela24[PRv]*(Tabela24[ERsu]-1)))</f>
        <v>#N/A</v>
      </c>
      <c r="DF83" s="438" t="e">
        <f>Tabela24[Vzão]/(Tabela24[PHF]*Tabela24[N]*Tabela24[fHVsu])</f>
        <v>#N/A</v>
      </c>
      <c r="DG83" s="332" t="e">
        <f>IF(Tabela24[fLC]="Pista simples","-",Tabela24[vpsu]/Tabela24[S])</f>
        <v>#N/A</v>
      </c>
      <c r="DH83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83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83" s="425" t="str">
        <f>IF(Tabela24[[#This Row],[LOS_vp3]]="F","F",VLOOKUP(Tabela24[[#This Row],[LOS_vp3]],'HCM2000'!$R$655:$S$659,2))</f>
        <v>F</v>
      </c>
      <c r="DK83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83" s="425" t="str">
        <f>IF(Tabela24[[#This Row],[LOS_vp3]]="F","F",IF(Tabela24[[#This Row],[fLC]]="Pista simples","-",VLOOKUP(Tabela24[[#This Row],[LOS_D3]],'HCM2000'!$R$655:$S$659,2)))</f>
        <v>F</v>
      </c>
      <c r="DM83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83" s="416"/>
      <c r="DO83" s="22">
        <f>Tabela24[[#This Row],[ATS]]</f>
        <v>76.851205303030312</v>
      </c>
      <c r="DP83" s="416">
        <v>76.900000000000006</v>
      </c>
      <c r="DQ83" s="529">
        <f t="shared" si="19"/>
        <v>4.8794696969693518E-2</v>
      </c>
      <c r="DR83" s="22">
        <f>Tabela24[[#This Row],[PTSF]]</f>
        <v>42.555333407539521</v>
      </c>
      <c r="DS83" s="416">
        <v>40.6</v>
      </c>
      <c r="DT83" s="22">
        <f t="shared" si="20"/>
        <v>1.9553334075395199</v>
      </c>
      <c r="DU83" s="22"/>
      <c r="DV83" s="22">
        <v>76.851205303030312</v>
      </c>
      <c r="DW83" s="416">
        <v>76.900000000000006</v>
      </c>
      <c r="DX83" s="22">
        <v>4.8794696969693518E-2</v>
      </c>
      <c r="DY83" s="22">
        <v>57.416382004436969</v>
      </c>
      <c r="DZ83" s="416">
        <v>40.6</v>
      </c>
      <c r="EA83" s="22">
        <v>1.9553334075395199</v>
      </c>
      <c r="EB83" s="416"/>
      <c r="EC83" s="416"/>
      <c r="ED83" s="416"/>
      <c r="EE83" s="416"/>
      <c r="EF83" s="416"/>
      <c r="EG83" s="416"/>
      <c r="EH83" s="416"/>
      <c r="EI83" s="416"/>
      <c r="EJ83" s="416"/>
      <c r="EK83" s="416"/>
      <c r="EL83" s="416"/>
      <c r="EM83" s="416"/>
      <c r="EN83" s="416"/>
      <c r="EO83" s="416"/>
      <c r="EP83" s="416"/>
      <c r="EQ83" s="416"/>
      <c r="ER83" s="416"/>
      <c r="ES83" s="416"/>
      <c r="ET83" s="416"/>
      <c r="EU83" s="416"/>
      <c r="EV83" s="416"/>
      <c r="EW83" s="416"/>
      <c r="EX83" s="416"/>
      <c r="EY83" s="416"/>
      <c r="EZ83" s="416"/>
      <c r="FA83" s="416"/>
      <c r="FB83" s="416"/>
      <c r="FC83" s="416"/>
      <c r="FD83" s="416"/>
      <c r="FE83" s="416"/>
      <c r="FF83" s="416"/>
      <c r="FG83" s="416"/>
      <c r="FH83" s="416"/>
      <c r="FI83" s="416"/>
      <c r="FJ83" s="416"/>
      <c r="FK83" s="416"/>
      <c r="FL83" s="416"/>
      <c r="FM83" s="416"/>
      <c r="FR83" s="3"/>
      <c r="FS83" s="3"/>
      <c r="FV83" s="58"/>
      <c r="FW83" s="58"/>
    </row>
    <row r="84" spans="2:181">
      <c r="B84" s="386">
        <v>33</v>
      </c>
      <c r="C84" s="394"/>
      <c r="D84" s="395"/>
      <c r="E84" s="385">
        <v>24201</v>
      </c>
      <c r="F84" s="385">
        <v>24501</v>
      </c>
      <c r="G84" s="390">
        <v>300</v>
      </c>
      <c r="H84" s="386" t="s">
        <v>263</v>
      </c>
      <c r="I84" s="386" t="s">
        <v>379</v>
      </c>
      <c r="J84" s="390">
        <v>2</v>
      </c>
      <c r="K84" s="386">
        <v>4.5999999999999996</v>
      </c>
      <c r="L84" s="386" t="s">
        <v>143</v>
      </c>
      <c r="M84" s="386">
        <v>4.2</v>
      </c>
      <c r="N84" s="386">
        <v>1</v>
      </c>
      <c r="O84" s="396">
        <v>1</v>
      </c>
      <c r="P84" s="386" t="s">
        <v>366</v>
      </c>
      <c r="Q84" s="397" t="s">
        <v>144</v>
      </c>
      <c r="R84" s="419" t="s">
        <v>73</v>
      </c>
      <c r="S84" s="310">
        <v>74</v>
      </c>
      <c r="T84" s="420"/>
      <c r="U84" s="279">
        <v>24</v>
      </c>
      <c r="V84" s="323">
        <v>6473.9966140621727</v>
      </c>
      <c r="W84" s="323">
        <v>2824.5698392986178</v>
      </c>
      <c r="X84" s="420"/>
      <c r="Y84" s="398">
        <f t="shared" si="16"/>
        <v>1</v>
      </c>
      <c r="Z84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84" s="182" t="s">
        <v>644</v>
      </c>
      <c r="AB84" s="391" t="s">
        <v>654</v>
      </c>
      <c r="AC84" s="31">
        <v>3.5</v>
      </c>
      <c r="AD84" s="31">
        <v>2.5</v>
      </c>
      <c r="AE84" s="421"/>
      <c r="AF84" s="421"/>
      <c r="AG84" s="421">
        <v>0</v>
      </c>
      <c r="AH84" s="441">
        <v>0.28999999999999998</v>
      </c>
      <c r="AI84" s="25">
        <v>0.03</v>
      </c>
      <c r="AJ84" s="435">
        <v>8.7999999999999995E-2</v>
      </c>
      <c r="AK84" s="330">
        <v>454</v>
      </c>
      <c r="AL84" s="263">
        <v>0.55000000000000004</v>
      </c>
      <c r="AM84" s="414">
        <v>249.70000000000002</v>
      </c>
      <c r="AN84" s="417">
        <v>2</v>
      </c>
      <c r="AO84" s="467" t="s">
        <v>73</v>
      </c>
      <c r="AP84" s="439">
        <v>88</v>
      </c>
      <c r="AQ84" s="442">
        <v>0.5</v>
      </c>
      <c r="AR84" s="422">
        <v>0.88</v>
      </c>
      <c r="AS84" s="316"/>
      <c r="AT84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84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84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84" s="23">
        <f>1/(1+(Tabela24[[#This Row],[Pt]])*(Tabela24[[#This Row],[Et]]-1)+(Tabela24[[#This Row],[PRv]])*(Tabela24[[#This Row],[Er]]-1))</f>
        <v>0.83125519534497083</v>
      </c>
      <c r="AX84" s="423">
        <f>Tabela24[veic/h]/Tabela24[PHF]</f>
        <v>515.90909090909088</v>
      </c>
      <c r="AY84" s="423">
        <v>545.83181818181822</v>
      </c>
      <c r="AZ84" s="21">
        <f>Tabela24[veic/h]/(Tabela24[PHF]*Tabela24[fg ats]*Tabela24[fhv ats])</f>
        <v>620.63863636363646</v>
      </c>
      <c r="BA84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84" s="322" t="str">
        <f>IF(AND(Tabela24[[#This Row],[vp1]]*Tabela24[[#This Row],[distrib. direc.]]&lt;1700,Tabela24[[#This Row],[vp1]]&lt;3200),"OK!","FAIL")</f>
        <v>OK!</v>
      </c>
      <c r="BC84" s="23">
        <f>INDEX('HCM2000'!$L$68:$AF$83,MATCH(Tabela24[[#This Row],[faixa (m)]],'HCM2000'!$K$68:$K$83),MATCH(Tabela24[[#This Row],[acost (m)]],'HCM2000'!$L$67:$AF$67))</f>
        <v>0.7</v>
      </c>
      <c r="BD84" s="23">
        <f>MIN(16,(2/3)*Tabela24[[#This Row],[acessos/km]])</f>
        <v>1.3333333333333333</v>
      </c>
      <c r="BE84" s="22">
        <f>Tabela24[BFFS]-Tabela24[fLS]-Tabela24[fA]</f>
        <v>85.966666666666669</v>
      </c>
      <c r="BF84" s="23" t="e">
        <v>#REF!</v>
      </c>
      <c r="BG84" s="463">
        <f>IFERROR(Tabela24[[#This Row],[vp1]],0)</f>
        <v>620.63863636363646</v>
      </c>
      <c r="BH84" s="463">
        <f>IFERROR(Tabela24[[#This Row],[% zonas s/ultra]],0)</f>
        <v>0.5</v>
      </c>
      <c r="BI84" s="23" t="str">
        <f t="shared" si="17"/>
        <v>FNP</v>
      </c>
      <c r="BJ84" s="23">
        <v>4.2622857954545346</v>
      </c>
      <c r="BK84" s="43">
        <f>Tabela24[FFS]-0.0125*MAX(Tabela24[[#This Row],[vp1]],Tabela24[[#This Row],[vp1'']])-Tabela24[fnp'']</f>
        <v>73.946397916666683</v>
      </c>
      <c r="BL84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84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84" s="23">
        <v>1</v>
      </c>
      <c r="BO84" s="23">
        <f>1/(1+Tabela24[[#This Row],[Pt]]*(Tabela24[[#This Row],[Et time]]-1)+Tabela24[[#This Row],[PRv]]*(Tabela24[[#This Row],[Er time]]-1))</f>
        <v>0.97181729834791064</v>
      </c>
      <c r="BP84" s="23">
        <f>Tabela24[veic/h]/Tabela24[PHF]</f>
        <v>515.90909090909088</v>
      </c>
      <c r="BQ84" s="23">
        <v>530.87045454545455</v>
      </c>
      <c r="BR84" s="438">
        <f>Tabela24[veic/h]/(Tabela24[PHF]*Tabela24[fg time]*Tabela24[fhv follow])</f>
        <v>530.87045454545455</v>
      </c>
      <c r="BS84" s="438" t="str">
        <f>IF(AND(Tabela24[[#This Row],[vp2]]*Tabela24[[#This Row],[distrib. direc.]]&lt;1700,Tabela24[[#This Row],[vp2]]&lt;3200),"OK!","FAIL")</f>
        <v>OK!</v>
      </c>
      <c r="BT84" s="23">
        <f>100*(1-EXP(-0.000879*MAX(Tabela24[[#This Row],[vp2]],Tabela24[[#This Row],[vp2'']])))</f>
        <v>37.289113783059925</v>
      </c>
      <c r="BU84" s="304" t="e">
        <v>#REF!</v>
      </c>
      <c r="BV84" s="304">
        <f>IF(TYPE(Tabela24[distrib. direc.])&lt;&gt;1,0,Tabela24[distrib. direc.])</f>
        <v>0.55000000000000004</v>
      </c>
      <c r="BW84" s="304">
        <f>IF(TYPE(Tabela24[vp2])&lt;&gt;1,0,Tabela24[vp2])</f>
        <v>530.87045454545455</v>
      </c>
      <c r="BX84" s="304">
        <f>IF(TYPE(Tabela24[% zonas s/ultra])&lt;&gt;1,0,Tabela24[% zonas s/ultra])</f>
        <v>0.5</v>
      </c>
      <c r="BY84" s="304" t="str">
        <f t="shared" si="18"/>
        <v>FDNP</v>
      </c>
      <c r="BZ84" s="31">
        <v>17.533906818181642</v>
      </c>
      <c r="CA84" s="305">
        <f>Tabela24[BPTSF]+Tabela24[fd/np'']</f>
        <v>54.823020601241566</v>
      </c>
      <c r="CB84" s="424">
        <f>Tabela24[vp1]/3200</f>
        <v>0.1939495738636364</v>
      </c>
      <c r="CC84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84" s="332">
        <f>VLOOKUP(Tabela24[faixa (m)],'HCM2000'!$B$541:$C$547,2,TRUE)</f>
        <v>1</v>
      </c>
      <c r="CE84" s="332">
        <f>IF(Tabela24[acost (m)]&gt;0,1.8,1.2)</f>
        <v>1.8</v>
      </c>
      <c r="CF84" s="332">
        <f>IF(Tabela24[Separador]=$CB$6,$CD$6,IF(Tabela24[Separador]=$CB$7,$CD$7,$CD$8))</f>
        <v>0</v>
      </c>
      <c r="CG84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84" s="332">
        <f>IF(Tabela24[Separador]="Sinalização horizontal",'HCM2000'!$C$590,'HCM2000'!$C$591)</f>
        <v>2.6</v>
      </c>
      <c r="CI84" s="332">
        <f>MIN((2/3)*Tabela24[[#This Row],[acessos/km]],16)</f>
        <v>1.3333333333333333</v>
      </c>
      <c r="CJ84" s="332">
        <f>IF(Tabela24[fLC]="Pista simples","-",Tabela24[BFFS]-Tabela24[fLW]-Tabela24[fLC]-Tabela24[fM]-Tabela24[fA2])</f>
        <v>80.966666666666683</v>
      </c>
      <c r="CK84" s="332">
        <f>IF(Tabela24[plano/ondulado]="Montanhoso",Tabela24[Para PT&lt;],VLOOKUP(Tabela24[plano/ondulado],'HCM2000'!$B$606:$C$608,2,FALSE))</f>
        <v>1.5</v>
      </c>
      <c r="CL84" s="332">
        <f>IF(Tabela24[[#This Row],[plano/ondulado]]="Montanhoso",Tabela24[[#This Row],[Para PT&lt;]],VLOOKUP(Tabela24[[#This Row],[plano/ondulado]],'HCM2000'!$E$606:$F$608,2,FALSE))</f>
        <v>1.2</v>
      </c>
      <c r="CM84" s="433">
        <f>1/(1+(Tabela24[Pt]*(Tabela24[Et2]-1))+(Tabela24[PRv]*(Tabela24[Er2]-1)))</f>
        <v>0.86880973066898348</v>
      </c>
      <c r="CN84" s="329">
        <f>K84+IF(Tabela24[[#This Row],[Num. Faixas Marg.]]="-",0,Tabela24[[#This Row],[Num. Faixas Marg.]])</f>
        <v>4.5999999999999996</v>
      </c>
      <c r="CO84" s="331">
        <f>Tabela24[[#This Row],[Vzão]]/(Tabela24[[#This Row],[PHF]]*Tabela24[[#This Row],[N]]*Tabela24[[#This Row],[fHV]])</f>
        <v>70.999184782608694</v>
      </c>
      <c r="CP84" s="332">
        <f>IF(Tabela24[fLC]="Pista simples","-",Tabela24[vp3]/Tabela24[S])</f>
        <v>0.87689400719566091</v>
      </c>
      <c r="CQ84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80.966666666666683</v>
      </c>
      <c r="CR84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84" s="308" t="str">
        <f>IF(Tabela24[LOS_vp3]="F","F",VLOOKUP(Tabela24[LOS_vp3],'HCM2000'!$R$655:$S$659,2))</f>
        <v>F</v>
      </c>
      <c r="CT84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84" s="425" t="str">
        <f>IF(Tabela24[[#This Row],[LOS_vp3]]="F","F",IF(Tabela24[[#This Row],[fLC]]="Pista simples","-",VLOOKUP(Tabela24[[#This Row],[LOS_D3]],'HCM2000'!$R$655:$S$659,2)))</f>
        <v>F</v>
      </c>
      <c r="CV84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84" s="381"/>
      <c r="CX84" s="381"/>
      <c r="CY84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84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84" s="22">
        <f>ABS(INDEX('HCM2000'!$E$611:$M$611,1,MATCH(Tabela24[Pt]*100,'HCM2000'!$E$611:$M$611,1))-Tabela24[Pt]*100)</f>
        <v>3.9999999999999964</v>
      </c>
      <c r="DB84" s="22" t="e">
        <f>INDEX('HCM2000'!$E$611:$M$611,1,MATCH(Tabela24[[#This Row],[Pt]]*100,'HCM2000'!$E$611:$M$611,1)+1)-Tabela24[[#This Row],[Pt]]*100</f>
        <v>#REF!</v>
      </c>
      <c r="DC84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84" s="440"/>
      <c r="DE84" s="423" t="e">
        <f>1/(1+(Tabela24[Pt]*(Tabela24[ETsu]-1))+(Tabela24[PRv]*(Tabela24[ERsu]-1)))</f>
        <v>#N/A</v>
      </c>
      <c r="DF84" s="438" t="e">
        <f>Tabela24[Vzão]/(Tabela24[PHF]*Tabela24[N]*Tabela24[fHVsu])</f>
        <v>#N/A</v>
      </c>
      <c r="DG84" s="332" t="e">
        <f>IF(Tabela24[fLC]="Pista simples","-",Tabela24[vpsu]/Tabela24[S])</f>
        <v>#N/A</v>
      </c>
      <c r="DH84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84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84" s="425" t="str">
        <f>IF(Tabela24[[#This Row],[LOS_vp3]]="F","F",VLOOKUP(Tabela24[[#This Row],[LOS_vp3]],'HCM2000'!$R$655:$S$659,2))</f>
        <v>F</v>
      </c>
      <c r="DK84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84" s="425" t="str">
        <f>IF(Tabela24[[#This Row],[LOS_vp3]]="F","F",IF(Tabela24[[#This Row],[fLC]]="Pista simples","-",VLOOKUP(Tabela24[[#This Row],[LOS_D3]],'HCM2000'!$R$655:$S$659,2)))</f>
        <v>F</v>
      </c>
      <c r="DM84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84" s="416"/>
      <c r="DO84" s="22">
        <f>Tabela24[[#This Row],[ATS]]</f>
        <v>73.946397916666683</v>
      </c>
      <c r="DP84" s="416">
        <v>73.900000000000006</v>
      </c>
      <c r="DQ84" s="529">
        <f t="shared" si="19"/>
        <v>4.6397916666677474E-2</v>
      </c>
      <c r="DR84" s="22">
        <f>Tabela24[[#This Row],[PTSF]]</f>
        <v>54.823020601241566</v>
      </c>
      <c r="DS84" s="416">
        <v>55.3</v>
      </c>
      <c r="DT84" s="22">
        <f t="shared" si="20"/>
        <v>0.47697939875843076</v>
      </c>
      <c r="DU84" s="22"/>
      <c r="DV84" s="22">
        <v>73.946397916666683</v>
      </c>
      <c r="DW84" s="416">
        <v>73.900000000000006</v>
      </c>
      <c r="DX84" s="22">
        <v>4.6397916666677474E-2</v>
      </c>
      <c r="DY84" s="22">
        <v>69.447151834921797</v>
      </c>
      <c r="DZ84" s="416">
        <v>55.3</v>
      </c>
      <c r="EA84" s="22">
        <v>0.47697939875843076</v>
      </c>
      <c r="EB84" s="416"/>
      <c r="EC84" s="416"/>
      <c r="ED84" s="416"/>
      <c r="EE84" s="416"/>
      <c r="EF84" s="416"/>
      <c r="EG84" s="416"/>
      <c r="EH84" s="416"/>
      <c r="EI84" s="416"/>
      <c r="EJ84" s="416"/>
      <c r="EK84" s="416"/>
      <c r="EL84" s="416"/>
      <c r="EM84" s="416"/>
      <c r="EN84" s="416"/>
      <c r="EO84" s="416"/>
      <c r="EP84" s="416"/>
      <c r="EQ84" s="416"/>
      <c r="ER84" s="416"/>
      <c r="ES84" s="416"/>
      <c r="ET84" s="416"/>
      <c r="EU84" s="416"/>
      <c r="EV84" s="416"/>
      <c r="EW84" s="416"/>
      <c r="EX84" s="416"/>
      <c r="EY84" s="416"/>
      <c r="EZ84" s="416"/>
      <c r="FA84" s="416"/>
      <c r="FB84" s="416"/>
      <c r="FC84" s="416"/>
      <c r="FD84" s="416"/>
      <c r="FE84" s="416"/>
      <c r="FF84" s="416"/>
      <c r="FG84" s="416"/>
      <c r="FH84" s="416"/>
      <c r="FI84" s="416"/>
      <c r="FJ84" s="416"/>
      <c r="FK84" s="416"/>
      <c r="FL84" s="416"/>
      <c r="FM84" s="416"/>
      <c r="FR84" s="3"/>
      <c r="FS84" s="3"/>
      <c r="FV84" s="58"/>
      <c r="FW84" s="58"/>
    </row>
    <row r="85" spans="2:181">
      <c r="B85" s="386" t="s">
        <v>645</v>
      </c>
      <c r="C85" s="394"/>
      <c r="D85" s="395"/>
      <c r="E85" s="385">
        <v>24201</v>
      </c>
      <c r="F85" s="385">
        <v>24501</v>
      </c>
      <c r="G85" s="390">
        <v>300</v>
      </c>
      <c r="H85" s="386" t="s">
        <v>263</v>
      </c>
      <c r="I85" s="386" t="s">
        <v>379</v>
      </c>
      <c r="J85" s="390">
        <v>2</v>
      </c>
      <c r="K85" s="386">
        <v>4.5999999999999996</v>
      </c>
      <c r="L85" s="386" t="s">
        <v>143</v>
      </c>
      <c r="M85" s="386">
        <v>4.2</v>
      </c>
      <c r="N85" s="386">
        <v>1</v>
      </c>
      <c r="O85" s="396">
        <v>1</v>
      </c>
      <c r="P85" s="386" t="s">
        <v>366</v>
      </c>
      <c r="Q85" s="397" t="s">
        <v>144</v>
      </c>
      <c r="R85" s="419" t="s">
        <v>73</v>
      </c>
      <c r="S85" s="310">
        <v>75</v>
      </c>
      <c r="T85" s="420"/>
      <c r="U85" s="279">
        <v>24</v>
      </c>
      <c r="V85" s="323">
        <v>6473.9966140621727</v>
      </c>
      <c r="W85" s="323">
        <v>2824.5698392986178</v>
      </c>
      <c r="X85" s="420"/>
      <c r="Y85" s="398">
        <f t="shared" si="16"/>
        <v>1</v>
      </c>
      <c r="Z85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85" s="182" t="s">
        <v>644</v>
      </c>
      <c r="AB85" s="391" t="s">
        <v>654</v>
      </c>
      <c r="AC85" s="31" t="s">
        <v>645</v>
      </c>
      <c r="AD85" s="31" t="s">
        <v>645</v>
      </c>
      <c r="AE85" s="421"/>
      <c r="AF85" s="421"/>
      <c r="AG85" s="421">
        <v>0</v>
      </c>
      <c r="AH85" s="441" t="e">
        <v>#VALUE!</v>
      </c>
      <c r="AI85" s="25" t="e">
        <v>#VALUE!</v>
      </c>
      <c r="AJ85" s="435">
        <v>8.7999999999999995E-2</v>
      </c>
      <c r="AK85" s="330" t="s">
        <v>645</v>
      </c>
      <c r="AL85" s="263">
        <v>0.55000000000000004</v>
      </c>
      <c r="AM85" s="414" t="e">
        <v>#VALUE!</v>
      </c>
      <c r="AN85" s="417" t="s">
        <v>645</v>
      </c>
      <c r="AO85" s="467" t="s">
        <v>73</v>
      </c>
      <c r="AP85" s="439" t="s">
        <v>645</v>
      </c>
      <c r="AQ85" s="442" t="e">
        <v>#VALUE!</v>
      </c>
      <c r="AR85" s="422" t="s">
        <v>645</v>
      </c>
      <c r="AS85" s="316"/>
      <c r="AT85" s="412" t="e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#VALUE!</v>
      </c>
      <c r="AU85" s="23" t="e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#VALUE!</v>
      </c>
      <c r="AV85" s="23" t="e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#VALUE!</v>
      </c>
      <c r="AW85" s="23" t="e">
        <f>1/(1+(Tabela24[[#This Row],[Pt]])*(Tabela24[[#This Row],[Et]]-1)+(Tabela24[[#This Row],[PRv]])*(Tabela24[[#This Row],[Er]]-1))</f>
        <v>#VALUE!</v>
      </c>
      <c r="AX85" s="423" t="e">
        <f>Tabela24[veic/h]/Tabela24[PHF]</f>
        <v>#VALUE!</v>
      </c>
      <c r="AY85" s="423" t="e">
        <v>#VALUE!</v>
      </c>
      <c r="AZ85" s="21" t="e">
        <f>Tabela24[veic/h]/(Tabela24[PHF]*Tabela24[fg ats]*Tabela24[fhv ats])</f>
        <v>#VALUE!</v>
      </c>
      <c r="BA85" s="322" t="e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#VALUE!</v>
      </c>
      <c r="BB85" s="322" t="e">
        <f>IF(AND(Tabela24[[#This Row],[vp1]]*Tabela24[[#This Row],[distrib. direc.]]&lt;1700,Tabela24[[#This Row],[vp1]]&lt;3200),"OK!","FAIL")</f>
        <v>#VALUE!</v>
      </c>
      <c r="BC85" s="23" t="e">
        <f>INDEX('HCM2000'!$L$68:$AF$83,MATCH(Tabela24[[#This Row],[faixa (m)]],'HCM2000'!$K$68:$K$83),MATCH(Tabela24[[#This Row],[acost (m)]],'HCM2000'!$L$67:$AF$67))</f>
        <v>#N/A</v>
      </c>
      <c r="BD85" s="23" t="e">
        <f>MIN(16,(2/3)*Tabela24[[#This Row],[acessos/km]])</f>
        <v>#VALUE!</v>
      </c>
      <c r="BE85" s="22" t="e">
        <f>Tabela24[BFFS]-Tabela24[fLS]-Tabela24[fA]</f>
        <v>#VALUE!</v>
      </c>
      <c r="BF85" s="23" t="e">
        <v>#REF!</v>
      </c>
      <c r="BG85" s="463">
        <f>IFERROR(Tabela24[[#This Row],[vp1]],0)</f>
        <v>0</v>
      </c>
      <c r="BH85" s="463">
        <f>IFERROR(Tabela24[[#This Row],[% zonas s/ultra]],0)</f>
        <v>0</v>
      </c>
      <c r="BI85" s="23" t="str">
        <f t="shared" si="17"/>
        <v>FNP</v>
      </c>
      <c r="BJ85" s="23">
        <v>0</v>
      </c>
      <c r="BK85" s="43" t="e">
        <f>Tabela24[FFS]-0.0125*MAX(Tabela24[[#This Row],[vp1]],Tabela24[[#This Row],[vp1'']])-Tabela24[fnp'']</f>
        <v>#VALUE!</v>
      </c>
      <c r="BL85" s="412" t="e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#VALUE!</v>
      </c>
      <c r="BM85" s="23" t="e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#VALUE!</v>
      </c>
      <c r="BN85" s="23">
        <v>1</v>
      </c>
      <c r="BO85" s="23" t="e">
        <f>1/(1+Tabela24[[#This Row],[Pt]]*(Tabela24[[#This Row],[Et time]]-1)+Tabela24[[#This Row],[PRv]]*(Tabela24[[#This Row],[Er time]]-1))</f>
        <v>#VALUE!</v>
      </c>
      <c r="BP85" s="23" t="e">
        <f>Tabela24[veic/h]/Tabela24[PHF]</f>
        <v>#VALUE!</v>
      </c>
      <c r="BQ85" s="23" t="e">
        <v>#VALUE!</v>
      </c>
      <c r="BR85" s="438" t="e">
        <f>Tabela24[veic/h]/(Tabela24[PHF]*Tabela24[fg time]*Tabela24[fhv follow])</f>
        <v>#VALUE!</v>
      </c>
      <c r="BS85" s="438" t="e">
        <f>IF(AND(Tabela24[[#This Row],[vp2]]*Tabela24[[#This Row],[distrib. direc.]]&lt;1700,Tabela24[[#This Row],[vp2]]&lt;3200),"OK!","FAIL")</f>
        <v>#VALUE!</v>
      </c>
      <c r="BT85" s="23" t="e">
        <f>100*(1-EXP(-0.000879*MAX(Tabela24[[#This Row],[vp2]],Tabela24[[#This Row],[vp2'']])))</f>
        <v>#VALUE!</v>
      </c>
      <c r="BU85" s="304" t="e">
        <v>#REF!</v>
      </c>
      <c r="BV85" s="304">
        <f>IF(TYPE(Tabela24[distrib. direc.])&lt;&gt;1,0,Tabela24[distrib. direc.])</f>
        <v>0.55000000000000004</v>
      </c>
      <c r="BW85" s="304">
        <f>IF(TYPE(Tabela24[vp2])&lt;&gt;1,0,Tabela24[vp2])</f>
        <v>0</v>
      </c>
      <c r="BX85" s="304">
        <f>IF(TYPE(Tabela24[% zonas s/ultra])&lt;&gt;1,0,Tabela24[% zonas s/ultra])</f>
        <v>0</v>
      </c>
      <c r="BY85" s="304" t="str">
        <f t="shared" si="18"/>
        <v>FDNP</v>
      </c>
      <c r="BZ85" s="31">
        <v>1.6000000000000014</v>
      </c>
      <c r="CA85" s="305" t="e">
        <f>Tabela24[BPTSF]+Tabela24[fd/np'']</f>
        <v>#VALUE!</v>
      </c>
      <c r="CB85" s="424" t="e">
        <f>Tabela24[vp1]/3200</f>
        <v>#VALUE!</v>
      </c>
      <c r="CC85" s="280" t="e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#VALUE!</v>
      </c>
      <c r="CD85" s="332" t="e">
        <f>VLOOKUP(Tabela24[faixa (m)],'HCM2000'!$B$541:$C$547,2,TRUE)</f>
        <v>#N/A</v>
      </c>
      <c r="CE85" s="332">
        <f>IF(Tabela24[acost (m)]&gt;0,1.8,1.2)</f>
        <v>1.8</v>
      </c>
      <c r="CF85" s="332">
        <f>IF(Tabela24[Separador]=$CB$6,$CD$6,IF(Tabela24[Separador]=$CB$7,$CD$7,$CD$8))</f>
        <v>0</v>
      </c>
      <c r="CG85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85" s="332">
        <f>IF(Tabela24[Separador]="Sinalização horizontal",'HCM2000'!$C$590,'HCM2000'!$C$591)</f>
        <v>2.6</v>
      </c>
      <c r="CI85" s="332" t="e">
        <f>MIN((2/3)*Tabela24[[#This Row],[acessos/km]],16)</f>
        <v>#VALUE!</v>
      </c>
      <c r="CJ85" s="332" t="e">
        <f>IF(Tabela24[fLC]="Pista simples","-",Tabela24[BFFS]-Tabela24[fLW]-Tabela24[fLC]-Tabela24[fM]-Tabela24[fA2])</f>
        <v>#VALUE!</v>
      </c>
      <c r="CK85" s="332">
        <f>IF(Tabela24[plano/ondulado]="Montanhoso",Tabela24[Para PT&lt;],VLOOKUP(Tabela24[plano/ondulado],'HCM2000'!$B$606:$C$608,2,FALSE))</f>
        <v>1.5</v>
      </c>
      <c r="CL85" s="332">
        <f>IF(Tabela24[[#This Row],[plano/ondulado]]="Montanhoso",Tabela24[[#This Row],[Para PT&lt;]],VLOOKUP(Tabela24[[#This Row],[plano/ondulado]],'HCM2000'!$E$606:$F$608,2,FALSE))</f>
        <v>1.2</v>
      </c>
      <c r="CM85" s="433" t="e">
        <f>1/(1+(Tabela24[Pt]*(Tabela24[Et2]-1))+(Tabela24[PRv]*(Tabela24[Er2]-1)))</f>
        <v>#VALUE!</v>
      </c>
      <c r="CN85" s="329">
        <f>K85+IF(Tabela24[[#This Row],[Num. Faixas Marg.]]="-",0,Tabela24[[#This Row],[Num. Faixas Marg.]])</f>
        <v>4.5999999999999996</v>
      </c>
      <c r="CO85" s="331" t="e">
        <f>Tabela24[[#This Row],[Vzão]]/(Tabela24[[#This Row],[PHF]]*Tabela24[[#This Row],[N]]*Tabela24[[#This Row],[fHV]])</f>
        <v>#VALUE!</v>
      </c>
      <c r="CP85" s="332" t="e">
        <f>IF(Tabela24[fLC]="Pista simples","-",Tabela24[vp3]/Tabela24[S])</f>
        <v>#VALUE!</v>
      </c>
      <c r="CQ85" s="332" t="e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#VALUE!</v>
      </c>
      <c r="CR85" s="329" t="e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#VALUE!</v>
      </c>
      <c r="CS85" s="308" t="e">
        <f>IF(Tabela24[LOS_vp3]="F","F",VLOOKUP(Tabela24[LOS_vp3],'HCM2000'!$R$655:$S$659,2))</f>
        <v>#VALUE!</v>
      </c>
      <c r="CT85" s="329" t="e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#VALUE!</v>
      </c>
      <c r="CU85" s="425" t="e">
        <f>IF(Tabela24[[#This Row],[LOS_vp3]]="F","F",IF(Tabela24[[#This Row],[fLC]]="Pista simples","-",VLOOKUP(Tabela24[[#This Row],[LOS_D3]],'HCM2000'!$R$655:$S$659,2)))</f>
        <v>#VALUE!</v>
      </c>
      <c r="CV85" s="280" t="e">
        <f>IF(OR(Tabela24[[#This Row],[LOS_vp3]]="F",Tabela24[[#This Row],[LOS_D3]]="F"),"F",IF(Tabela24[[#This Row],[Pista]]="Pista Simples","-",VLOOKUP(MINA(Tabela24[LOS_vp],Tabela24[LOS_D]),'HCM2000'!$R$655:$S$659,2)))</f>
        <v>#VALUE!</v>
      </c>
      <c r="CW85" s="381"/>
      <c r="CX85" s="381"/>
      <c r="CY85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85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85" s="22" t="e">
        <f>ABS(INDEX('HCM2000'!$E$611:$M$611,1,MATCH(Tabela24[Pt]*100,'HCM2000'!$E$611:$M$611,1))-Tabela24[Pt]*100)</f>
        <v>#VALUE!</v>
      </c>
      <c r="DB85" s="22" t="e">
        <f>INDEX('HCM2000'!$E$611:$M$611,1,MATCH(Tabela24[[#This Row],[Pt]]*100,'HCM2000'!$E$611:$M$611,1)+1)-Tabela24[[#This Row],[Pt]]*100</f>
        <v>#VALUE!</v>
      </c>
      <c r="DC85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85" s="440"/>
      <c r="DE85" s="423" t="e">
        <f>1/(1+(Tabela24[Pt]*(Tabela24[ETsu]-1))+(Tabela24[PRv]*(Tabela24[ERsu]-1)))</f>
        <v>#VALUE!</v>
      </c>
      <c r="DF85" s="438" t="e">
        <f>Tabela24[Vzão]/(Tabela24[PHF]*Tabela24[N]*Tabela24[fHVsu])</f>
        <v>#VALUE!</v>
      </c>
      <c r="DG85" s="332" t="e">
        <f>IF(Tabela24[fLC]="Pista simples","-",Tabela24[vpsu]/Tabela24[S])</f>
        <v>#VALUE!</v>
      </c>
      <c r="DH85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#VALUE!</v>
      </c>
      <c r="DI85" s="426" t="e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#VALUE!</v>
      </c>
      <c r="DJ85" s="425" t="e">
        <f>IF(Tabela24[[#This Row],[LOS_vp3]]="F","F",VLOOKUP(Tabela24[[#This Row],[LOS_vp3]],'HCM2000'!$R$655:$S$659,2))</f>
        <v>#VALUE!</v>
      </c>
      <c r="DK85" s="426" t="e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#VALUE!</v>
      </c>
      <c r="DL85" s="425" t="e">
        <f>IF(Tabela24[[#This Row],[LOS_vp3]]="F","F",IF(Tabela24[[#This Row],[fLC]]="Pista simples","-",VLOOKUP(Tabela24[[#This Row],[LOS_D3]],'HCM2000'!$R$655:$S$659,2)))</f>
        <v>#VALUE!</v>
      </c>
      <c r="DM85" s="416" t="e">
        <f>IF(OR(Tabela24[[#This Row],[LOS_vp3]]="F",Tabela24[[#This Row],[LOS_D3]]="F"),"F",IF(Tabela24[[#This Row],[Pista]]="Pista Simples","-",VLOOKUP(MINA(Tabela24[LOS_vp3],Tabela24[LOS_D3]),'HCM2000'!$R$655:$S$659,2)))</f>
        <v>#VALUE!</v>
      </c>
      <c r="DN85" s="416"/>
      <c r="DO85" s="22" t="e">
        <f>Tabela24[[#This Row],[ATS]]</f>
        <v>#VALUE!</v>
      </c>
      <c r="DP85" s="416" t="s">
        <v>645</v>
      </c>
      <c r="DQ85" s="22" t="e">
        <f t="shared" si="19"/>
        <v>#VALUE!</v>
      </c>
      <c r="DR85" s="22" t="e">
        <f>Tabela24[[#This Row],[PTSF]]</f>
        <v>#VALUE!</v>
      </c>
      <c r="DS85" s="416" t="s">
        <v>645</v>
      </c>
      <c r="DT85" s="22" t="e">
        <f t="shared" si="20"/>
        <v>#VALUE!</v>
      </c>
      <c r="DU85" s="22"/>
      <c r="DV85" s="22" t="e">
        <v>#VALUE!</v>
      </c>
      <c r="DW85" s="416" t="s">
        <v>645</v>
      </c>
      <c r="DX85" s="22" t="e">
        <v>#VALUE!</v>
      </c>
      <c r="DY85" s="22" t="e">
        <v>#VALUE!</v>
      </c>
      <c r="DZ85" s="416" t="s">
        <v>645</v>
      </c>
      <c r="EA85" s="22" t="e">
        <v>#VALUE!</v>
      </c>
      <c r="EB85" s="416"/>
      <c r="EC85" s="416"/>
      <c r="ED85" s="416"/>
      <c r="EE85" s="416"/>
      <c r="EF85" s="416"/>
      <c r="EG85" s="416"/>
      <c r="EH85" s="416"/>
      <c r="EI85" s="416"/>
      <c r="EJ85" s="416"/>
      <c r="EK85" s="416"/>
      <c r="EL85" s="416"/>
      <c r="EM85" s="416"/>
      <c r="EN85" s="416"/>
      <c r="EO85" s="416"/>
      <c r="EP85" s="416"/>
      <c r="EQ85" s="416"/>
      <c r="ER85" s="416"/>
      <c r="ES85" s="416"/>
      <c r="ET85" s="416"/>
      <c r="EU85" s="416"/>
      <c r="EV85" s="416"/>
      <c r="EW85" s="416"/>
      <c r="EX85" s="416"/>
      <c r="EY85" s="416"/>
      <c r="EZ85" s="416"/>
      <c r="FA85" s="416"/>
      <c r="FB85" s="416"/>
      <c r="FC85" s="416"/>
      <c r="FD85" s="416"/>
      <c r="FE85" s="416"/>
      <c r="FF85" s="416"/>
      <c r="FG85" s="416"/>
      <c r="FH85" s="416"/>
      <c r="FI85" s="416"/>
      <c r="FJ85" s="416"/>
      <c r="FK85" s="416"/>
      <c r="FL85" s="416"/>
      <c r="FM85" s="416"/>
      <c r="FR85" s="3"/>
      <c r="FS85" s="3"/>
      <c r="FV85" s="58"/>
      <c r="FW85" s="58"/>
    </row>
    <row r="86" spans="2:181">
      <c r="B86" s="386">
        <v>40</v>
      </c>
      <c r="C86" s="394"/>
      <c r="D86" s="395"/>
      <c r="E86" s="385">
        <v>24201</v>
      </c>
      <c r="F86" s="385">
        <v>24501</v>
      </c>
      <c r="G86" s="390">
        <v>300</v>
      </c>
      <c r="H86" s="386" t="s">
        <v>263</v>
      </c>
      <c r="I86" s="386" t="s">
        <v>379</v>
      </c>
      <c r="J86" s="390">
        <v>2</v>
      </c>
      <c r="K86" s="386">
        <v>4.5999999999999996</v>
      </c>
      <c r="L86" s="386" t="s">
        <v>143</v>
      </c>
      <c r="M86" s="386">
        <v>4.2</v>
      </c>
      <c r="N86" s="386">
        <v>1</v>
      </c>
      <c r="O86" s="396">
        <v>1</v>
      </c>
      <c r="P86" s="386" t="s">
        <v>366</v>
      </c>
      <c r="Q86" s="397" t="s">
        <v>144</v>
      </c>
      <c r="R86" s="419" t="s">
        <v>73</v>
      </c>
      <c r="S86" s="310">
        <v>76</v>
      </c>
      <c r="T86" s="420"/>
      <c r="U86" s="279">
        <v>24</v>
      </c>
      <c r="V86" s="323">
        <v>6473.9966140621727</v>
      </c>
      <c r="W86" s="323">
        <v>2824.5698392986178</v>
      </c>
      <c r="X86" s="420"/>
      <c r="Y86" s="398">
        <f t="shared" si="16"/>
        <v>1</v>
      </c>
      <c r="Z86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86" s="182" t="s">
        <v>644</v>
      </c>
      <c r="AB86" s="391" t="s">
        <v>654</v>
      </c>
      <c r="AC86" s="31">
        <v>3.5</v>
      </c>
      <c r="AD86" s="31">
        <v>2.5</v>
      </c>
      <c r="AE86" s="421"/>
      <c r="AF86" s="421"/>
      <c r="AG86" s="421">
        <v>0</v>
      </c>
      <c r="AH86" s="441">
        <v>0.24</v>
      </c>
      <c r="AI86" s="25">
        <v>0.03</v>
      </c>
      <c r="AJ86" s="435">
        <v>8.7999999999999995E-2</v>
      </c>
      <c r="AK86" s="330">
        <v>194</v>
      </c>
      <c r="AL86" s="263">
        <v>0.55000000000000004</v>
      </c>
      <c r="AM86" s="414">
        <v>106.7</v>
      </c>
      <c r="AN86" s="417">
        <v>3</v>
      </c>
      <c r="AO86" s="467" t="s">
        <v>73</v>
      </c>
      <c r="AP86" s="439">
        <v>88</v>
      </c>
      <c r="AQ86" s="442">
        <v>1</v>
      </c>
      <c r="AR86" s="422">
        <v>0.88</v>
      </c>
      <c r="AS86" s="316"/>
      <c r="AT86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86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86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86" s="23">
        <f>1/(1+(Tabela24[[#This Row],[Pt]])*(Tabela24[[#This Row],[Et]]-1)+(Tabela24[[#This Row],[PRv]])*(Tabela24[[#This Row],[Er]]-1))</f>
        <v>0.85616438356164393</v>
      </c>
      <c r="AX86" s="423">
        <f>Tabela24[veic/h]/Tabela24[PHF]</f>
        <v>220.45454545454547</v>
      </c>
      <c r="AY86" s="423">
        <v>257.49090909090904</v>
      </c>
      <c r="AZ86" s="21">
        <f>Tabela24[veic/h]/(Tabela24[PHF]*Tabela24[fg ats]*Tabela24[fhv ats])</f>
        <v>257.49090909090904</v>
      </c>
      <c r="BA86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86" s="322" t="str">
        <f>IF(AND(Tabela24[[#This Row],[vp1]]*Tabela24[[#This Row],[distrib. direc.]]&lt;1700,Tabela24[[#This Row],[vp1]]&lt;3200),"OK!","FAIL")</f>
        <v>OK!</v>
      </c>
      <c r="BC86" s="23">
        <f>INDEX('HCM2000'!$L$68:$AF$83,MATCH(Tabela24[[#This Row],[faixa (m)]],'HCM2000'!$K$68:$K$83),MATCH(Tabela24[[#This Row],[acost (m)]],'HCM2000'!$L$67:$AF$67))</f>
        <v>0.7</v>
      </c>
      <c r="BD86" s="23">
        <f>MIN(16,(2/3)*Tabela24[[#This Row],[acessos/km]])</f>
        <v>2</v>
      </c>
      <c r="BE86" s="22">
        <f>Tabela24[BFFS]-Tabela24[fLS]-Tabela24[fA]</f>
        <v>85.3</v>
      </c>
      <c r="BF86" s="23" t="e">
        <v>#REF!</v>
      </c>
      <c r="BG86" s="463">
        <f>IFERROR(Tabela24[[#This Row],[vp1]],0)</f>
        <v>257.49090909090904</v>
      </c>
      <c r="BH86" s="463">
        <f>IFERROR(Tabela24[[#This Row],[% zonas s/ultra]],0)</f>
        <v>1</v>
      </c>
      <c r="BI86" s="23" t="str">
        <f t="shared" si="17"/>
        <v>FNP</v>
      </c>
      <c r="BJ86" s="23">
        <v>6.0886727272727263</v>
      </c>
      <c r="BK86" s="43">
        <f>Tabela24[FFS]-0.0125*MAX(Tabela24[[#This Row],[vp1]],Tabela24[[#This Row],[vp1'']])-Tabela24[fnp'']</f>
        <v>75.992690909090911</v>
      </c>
      <c r="BL86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86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86" s="23">
        <v>1</v>
      </c>
      <c r="BO86" s="23">
        <f>1/(1+Tabela24[[#This Row],[Pt]]*(Tabela24[[#This Row],[Et time]]-1)+Tabela24[[#This Row],[PRv]]*(Tabela24[[#This Row],[Er time]]-1))</f>
        <v>0.9765625</v>
      </c>
      <c r="BP86" s="23">
        <f>Tabela24[veic/h]/Tabela24[PHF]</f>
        <v>220.45454545454547</v>
      </c>
      <c r="BQ86" s="23">
        <v>225.74545454545455</v>
      </c>
      <c r="BR86" s="438">
        <f>Tabela24[veic/h]/(Tabela24[PHF]*Tabela24[fg time]*Tabela24[fhv follow])</f>
        <v>225.74545454545455</v>
      </c>
      <c r="BS86" s="438" t="str">
        <f>IF(AND(Tabela24[[#This Row],[vp2]]*Tabela24[[#This Row],[distrib. direc.]]&lt;1700,Tabela24[[#This Row],[vp2]]&lt;3200),"OK!","FAIL")</f>
        <v>OK!</v>
      </c>
      <c r="BT86" s="23">
        <f>100*(1-EXP(-0.000879*MAX(Tabela24[[#This Row],[vp2]],Tabela24[[#This Row],[vp2'']])))</f>
        <v>17.99830387983117</v>
      </c>
      <c r="BU86" s="304" t="e">
        <v>#REF!</v>
      </c>
      <c r="BV86" s="304">
        <f>IF(TYPE(Tabela24[distrib. direc.])&lt;&gt;1,0,Tabela24[distrib. direc.])</f>
        <v>0.55000000000000004</v>
      </c>
      <c r="BW86" s="304">
        <f>IF(TYPE(Tabela24[vp2])&lt;&gt;1,0,Tabela24[vp2])</f>
        <v>225.74545454545455</v>
      </c>
      <c r="BX86" s="304">
        <f>IF(TYPE(Tabela24[% zonas s/ultra])&lt;&gt;1,0,Tabela24[% zonas s/ultra])</f>
        <v>1</v>
      </c>
      <c r="BY86" s="304" t="str">
        <f t="shared" si="18"/>
        <v>FDNP</v>
      </c>
      <c r="BZ86" s="31">
        <v>23.506909090909094</v>
      </c>
      <c r="CA86" s="305">
        <f>Tabela24[BPTSF]+Tabela24[fd/np'']</f>
        <v>41.50521297074026</v>
      </c>
      <c r="CB86" s="424">
        <f>Tabela24[vp1]/3200</f>
        <v>8.0465909090909074E-2</v>
      </c>
      <c r="CC86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86" s="332">
        <f>VLOOKUP(Tabela24[faixa (m)],'HCM2000'!$B$541:$C$547,2,TRUE)</f>
        <v>1</v>
      </c>
      <c r="CE86" s="332">
        <f>IF(Tabela24[acost (m)]&gt;0,1.8,1.2)</f>
        <v>1.8</v>
      </c>
      <c r="CF86" s="332">
        <f>IF(Tabela24[Separador]=$CB$6,$CD$6,IF(Tabela24[Separador]=$CB$7,$CD$7,$CD$8))</f>
        <v>0</v>
      </c>
      <c r="CG86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86" s="332">
        <f>IF(Tabela24[Separador]="Sinalização horizontal",'HCM2000'!$C$590,'HCM2000'!$C$591)</f>
        <v>2.6</v>
      </c>
      <c r="CI86" s="332">
        <f>MIN((2/3)*Tabela24[[#This Row],[acessos/km]],16)</f>
        <v>2</v>
      </c>
      <c r="CJ86" s="332">
        <f>IF(Tabela24[fLC]="Pista simples","-",Tabela24[BFFS]-Tabela24[fLW]-Tabela24[fLC]-Tabela24[fM]-Tabela24[fA2])</f>
        <v>80.300000000000011</v>
      </c>
      <c r="CK86" s="332">
        <f>IF(Tabela24[plano/ondulado]="Montanhoso",Tabela24[Para PT&lt;],VLOOKUP(Tabela24[plano/ondulado],'HCM2000'!$B$606:$C$608,2,FALSE))</f>
        <v>1.5</v>
      </c>
      <c r="CL86" s="332">
        <f>IF(Tabela24[[#This Row],[plano/ondulado]]="Montanhoso",Tabela24[[#This Row],[Para PT&lt;]],VLOOKUP(Tabela24[[#This Row],[plano/ondulado]],'HCM2000'!$E$606:$F$608,2,FALSE))</f>
        <v>1.2</v>
      </c>
      <c r="CM86" s="433">
        <f>1/(1+(Tabela24[Pt]*(Tabela24[Et2]-1))+(Tabela24[PRv]*(Tabela24[Er2]-1)))</f>
        <v>0.88809946714031962</v>
      </c>
      <c r="CN86" s="329">
        <f>K86+IF(Tabela24[[#This Row],[Num. Faixas Marg.]]="-",0,Tabela24[[#This Row],[Num. Faixas Marg.]])</f>
        <v>4.5999999999999996</v>
      </c>
      <c r="CO86" s="331">
        <f>Tabela24[[#This Row],[Vzão]]/(Tabela24[[#This Row],[PHF]]*Tabela24[[#This Row],[N]]*Tabela24[[#This Row],[fHV]])</f>
        <v>29.67989130434783</v>
      </c>
      <c r="CP86" s="332">
        <f>IF(Tabela24[fLC]="Pista simples","-",Tabela24[vp3]/Tabela24[S])</f>
        <v>0.36961259407656072</v>
      </c>
      <c r="CQ86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80.300000000000011</v>
      </c>
      <c r="CR86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86" s="308" t="str">
        <f>IF(Tabela24[LOS_vp3]="F","F",VLOOKUP(Tabela24[LOS_vp3],'HCM2000'!$R$655:$S$659,2))</f>
        <v>F</v>
      </c>
      <c r="CT86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86" s="425" t="str">
        <f>IF(Tabela24[[#This Row],[LOS_vp3]]="F","F",IF(Tabela24[[#This Row],[fLC]]="Pista simples","-",VLOOKUP(Tabela24[[#This Row],[LOS_D3]],'HCM2000'!$R$655:$S$659,2)))</f>
        <v>F</v>
      </c>
      <c r="CV86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86" s="381"/>
      <c r="CX86" s="381"/>
      <c r="CY86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86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86" s="22">
        <f>ABS(INDEX('HCM2000'!$E$611:$M$611,1,MATCH(Tabela24[Pt]*100,'HCM2000'!$E$611:$M$611,1))-Tabela24[Pt]*100)</f>
        <v>4</v>
      </c>
      <c r="DB86" s="22">
        <f>INDEX('HCM2000'!$E$611:$M$611,1,MATCH(Tabela24[[#This Row],[Pt]]*100,'HCM2000'!$E$611:$M$611,1)+1)-Tabela24[[#This Row],[Pt]]*100</f>
        <v>1</v>
      </c>
      <c r="DC86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86" s="440"/>
      <c r="DE86" s="423" t="e">
        <f>1/(1+(Tabela24[Pt]*(Tabela24[ETsu]-1))+(Tabela24[PRv]*(Tabela24[ERsu]-1)))</f>
        <v>#N/A</v>
      </c>
      <c r="DF86" s="438" t="e">
        <f>Tabela24[Vzão]/(Tabela24[PHF]*Tabela24[N]*Tabela24[fHVsu])</f>
        <v>#N/A</v>
      </c>
      <c r="DG86" s="332" t="e">
        <f>IF(Tabela24[fLC]="Pista simples","-",Tabela24[vpsu]/Tabela24[S])</f>
        <v>#N/A</v>
      </c>
      <c r="DH86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86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86" s="425" t="str">
        <f>IF(Tabela24[[#This Row],[LOS_vp3]]="F","F",VLOOKUP(Tabela24[[#This Row],[LOS_vp3]],'HCM2000'!$R$655:$S$659,2))</f>
        <v>F</v>
      </c>
      <c r="DK86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86" s="425" t="str">
        <f>IF(Tabela24[[#This Row],[LOS_vp3]]="F","F",IF(Tabela24[[#This Row],[fLC]]="Pista simples","-",VLOOKUP(Tabela24[[#This Row],[LOS_D3]],'HCM2000'!$R$655:$S$659,2)))</f>
        <v>F</v>
      </c>
      <c r="DM86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86" s="416"/>
      <c r="DO86" s="22">
        <f>Tabela24[[#This Row],[ATS]]</f>
        <v>75.992690909090911</v>
      </c>
      <c r="DP86" s="416">
        <v>76</v>
      </c>
      <c r="DQ86" s="22">
        <f t="shared" si="19"/>
        <v>7.3090909090893774E-3</v>
      </c>
      <c r="DR86" s="22">
        <f>Tabela24[[#This Row],[PTSF]]</f>
        <v>41.50521297074026</v>
      </c>
      <c r="DS86" s="416">
        <v>40.1</v>
      </c>
      <c r="DT86" s="22">
        <f t="shared" si="20"/>
        <v>1.4052129707402585</v>
      </c>
      <c r="DU86" s="22"/>
      <c r="DV86" s="22">
        <v>75.992690909090911</v>
      </c>
      <c r="DW86" s="22">
        <v>76</v>
      </c>
      <c r="DX86" s="22">
        <v>7.3090909090893774E-3</v>
      </c>
      <c r="DY86" s="22">
        <v>54.865983028131055</v>
      </c>
      <c r="DZ86" s="22">
        <v>40.1</v>
      </c>
      <c r="EA86" s="22">
        <v>1.4052129707402585</v>
      </c>
      <c r="EB86" s="416"/>
      <c r="EC86" s="416"/>
      <c r="ED86" s="416"/>
      <c r="EE86" s="416"/>
      <c r="EF86" s="416"/>
      <c r="EG86" s="416"/>
      <c r="EH86" s="416"/>
      <c r="EI86" s="416"/>
      <c r="EJ86" s="416"/>
      <c r="EK86" s="416"/>
      <c r="EL86" s="416"/>
      <c r="EM86" s="416"/>
      <c r="EN86" s="416"/>
      <c r="EO86" s="416"/>
      <c r="EP86" s="416"/>
      <c r="EQ86" s="416"/>
      <c r="ER86" s="416"/>
      <c r="ES86" s="416"/>
      <c r="ET86" s="416"/>
      <c r="EU86" s="416"/>
      <c r="EV86" s="416"/>
      <c r="EW86" s="416"/>
      <c r="EX86" s="416"/>
      <c r="EY86" s="416"/>
      <c r="EZ86" s="416"/>
      <c r="FA86" s="416"/>
      <c r="FB86" s="416"/>
      <c r="FC86" s="280"/>
      <c r="FD86" s="280"/>
      <c r="FE86" s="280"/>
      <c r="FF86" s="280"/>
      <c r="FG86" s="280"/>
      <c r="FH86" s="280"/>
      <c r="FI86" s="280"/>
      <c r="FJ86" s="280"/>
      <c r="FK86" s="280"/>
      <c r="FL86" s="280"/>
      <c r="FM86" s="280"/>
      <c r="FN86" s="432"/>
      <c r="FO86" s="432"/>
      <c r="FP86" s="432"/>
      <c r="FQ86" s="432"/>
      <c r="FR86" s="432"/>
      <c r="FS86" s="432"/>
      <c r="FT86" s="432"/>
      <c r="FU86" s="432"/>
      <c r="FV86" s="432"/>
      <c r="FW86" s="432"/>
      <c r="FX86" s="432"/>
      <c r="FY86" s="432"/>
    </row>
    <row r="87" spans="2:181">
      <c r="B87" s="386">
        <v>41</v>
      </c>
      <c r="C87" s="394"/>
      <c r="D87" s="395"/>
      <c r="E87" s="385">
        <v>24201</v>
      </c>
      <c r="F87" s="385">
        <v>24501</v>
      </c>
      <c r="G87" s="390">
        <v>300</v>
      </c>
      <c r="H87" s="386" t="s">
        <v>263</v>
      </c>
      <c r="I87" s="386" t="s">
        <v>379</v>
      </c>
      <c r="J87" s="390">
        <v>2</v>
      </c>
      <c r="K87" s="386">
        <v>4.5999999999999996</v>
      </c>
      <c r="L87" s="386" t="s">
        <v>143</v>
      </c>
      <c r="M87" s="386">
        <v>4.2</v>
      </c>
      <c r="N87" s="386">
        <v>1</v>
      </c>
      <c r="O87" s="396">
        <v>1</v>
      </c>
      <c r="P87" s="386" t="s">
        <v>366</v>
      </c>
      <c r="Q87" s="397" t="s">
        <v>144</v>
      </c>
      <c r="R87" s="419" t="s">
        <v>73</v>
      </c>
      <c r="S87" s="310">
        <v>77</v>
      </c>
      <c r="T87" s="420"/>
      <c r="U87" s="279">
        <v>24</v>
      </c>
      <c r="V87" s="323">
        <v>6473.9966140621727</v>
      </c>
      <c r="W87" s="323">
        <v>2824.5698392986178</v>
      </c>
      <c r="X87" s="420"/>
      <c r="Y87" s="398">
        <f t="shared" si="16"/>
        <v>1</v>
      </c>
      <c r="Z87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87" s="182" t="s">
        <v>644</v>
      </c>
      <c r="AB87" s="391" t="s">
        <v>654</v>
      </c>
      <c r="AC87" s="31">
        <v>3</v>
      </c>
      <c r="AD87" s="31">
        <v>2.5</v>
      </c>
      <c r="AE87" s="421"/>
      <c r="AF87" s="421"/>
      <c r="AG87" s="421">
        <v>0</v>
      </c>
      <c r="AH87" s="441">
        <v>0.26</v>
      </c>
      <c r="AI87" s="25">
        <v>0.03</v>
      </c>
      <c r="AJ87" s="435">
        <v>8.7999999999999995E-2</v>
      </c>
      <c r="AK87" s="330">
        <v>206</v>
      </c>
      <c r="AL87" s="263">
        <v>0.55000000000000004</v>
      </c>
      <c r="AM87" s="414">
        <v>113.30000000000001</v>
      </c>
      <c r="AN87" s="417">
        <v>4</v>
      </c>
      <c r="AO87" s="467" t="s">
        <v>73</v>
      </c>
      <c r="AP87" s="439">
        <v>88</v>
      </c>
      <c r="AQ87" s="442">
        <v>0.71</v>
      </c>
      <c r="AR87" s="422">
        <v>0.88</v>
      </c>
      <c r="AS87" s="316"/>
      <c r="AT87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87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87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87" s="23">
        <f>1/(1+(Tabela24[[#This Row],[Pt]])*(Tabela24[[#This Row],[Et]]-1)+(Tabela24[[#This Row],[PRv]])*(Tabela24[[#This Row],[Er]]-1))</f>
        <v>0.84602368866328259</v>
      </c>
      <c r="AX87" s="423">
        <f>Tabela24[veic/h]/Tabela24[PHF]</f>
        <v>234.09090909090909</v>
      </c>
      <c r="AY87" s="423">
        <v>276.69545454545454</v>
      </c>
      <c r="AZ87" s="21">
        <f>Tabela24[veic/h]/(Tabela24[PHF]*Tabela24[fg ats]*Tabela24[fhv ats])</f>
        <v>276.69545454545454</v>
      </c>
      <c r="BA87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87" s="322" t="str">
        <f>IF(AND(Tabela24[[#This Row],[vp1]]*Tabela24[[#This Row],[distrib. direc.]]&lt;1700,Tabela24[[#This Row],[vp1]]&lt;3200),"OK!","FAIL")</f>
        <v>OK!</v>
      </c>
      <c r="BC87" s="23">
        <f>INDEX('HCM2000'!$L$68:$AF$83,MATCH(Tabela24[[#This Row],[faixa (m)]],'HCM2000'!$K$68:$K$83),MATCH(Tabela24[[#This Row],[acost (m)]],'HCM2000'!$L$67:$AF$67))</f>
        <v>1.7</v>
      </c>
      <c r="BD87" s="23">
        <f>MIN(16,(2/3)*Tabela24[[#This Row],[acessos/km]])</f>
        <v>2.6666666666666665</v>
      </c>
      <c r="BE87" s="22">
        <f>Tabela24[BFFS]-Tabela24[fLS]-Tabela24[fA]</f>
        <v>83.633333333333326</v>
      </c>
      <c r="BF87" s="23" t="e">
        <v>#REF!</v>
      </c>
      <c r="BG87" s="463">
        <f>IFERROR(Tabela24[[#This Row],[vp1]],0)</f>
        <v>276.69545454545454</v>
      </c>
      <c r="BH87" s="463">
        <f>IFERROR(Tabela24[[#This Row],[% zonas s/ultra]],0)</f>
        <v>0.71</v>
      </c>
      <c r="BI87" s="23" t="str">
        <f t="shared" si="17"/>
        <v>FNP</v>
      </c>
      <c r="BJ87" s="23">
        <v>4.79078931818181</v>
      </c>
      <c r="BK87" s="43">
        <f>Tabela24[FFS]-0.0125*MAX(Tabela24[[#This Row],[vp1]],Tabela24[[#This Row],[vp1'']])-Tabela24[fnp'']</f>
        <v>75.383850833333341</v>
      </c>
      <c r="BL87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87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87" s="23">
        <v>1</v>
      </c>
      <c r="BO87" s="23">
        <f>1/(1+Tabela24[[#This Row],[Pt]]*(Tabela24[[#This Row],[Et time]]-1)+Tabela24[[#This Row],[PRv]]*(Tabela24[[#This Row],[Er time]]-1))</f>
        <v>0.97465886939571145</v>
      </c>
      <c r="BP87" s="23">
        <f>Tabela24[veic/h]/Tabela24[PHF]</f>
        <v>234.09090909090909</v>
      </c>
      <c r="BQ87" s="23">
        <v>240.17727272727274</v>
      </c>
      <c r="BR87" s="438">
        <f>Tabela24[veic/h]/(Tabela24[PHF]*Tabela24[fg time]*Tabela24[fhv follow])</f>
        <v>240.17727272727274</v>
      </c>
      <c r="BS87" s="438" t="str">
        <f>IF(AND(Tabela24[[#This Row],[vp2]]*Tabela24[[#This Row],[distrib. direc.]]&lt;1700,Tabela24[[#This Row],[vp2]]&lt;3200),"OK!","FAIL")</f>
        <v>OK!</v>
      </c>
      <c r="BT87" s="23">
        <f>100*(1-EXP(-0.000879*MAX(Tabela24[[#This Row],[vp2]],Tabela24[[#This Row],[vp2'']])))</f>
        <v>19.03197179283136</v>
      </c>
      <c r="BU87" s="304" t="e">
        <v>#REF!</v>
      </c>
      <c r="BV87" s="304">
        <f>IF(TYPE(Tabela24[distrib. direc.])&lt;&gt;1,0,Tabela24[distrib. direc.])</f>
        <v>0.55000000000000004</v>
      </c>
      <c r="BW87" s="304">
        <f>IF(TYPE(Tabela24[vp2])&lt;&gt;1,0,Tabela24[vp2])</f>
        <v>240.17727272727274</v>
      </c>
      <c r="BX87" s="304">
        <f>IF(TYPE(Tabela24[% zonas s/ultra])&lt;&gt;1,0,Tabela24[% zonas s/ultra])</f>
        <v>0.71</v>
      </c>
      <c r="BY87" s="304" t="str">
        <f t="shared" si="18"/>
        <v>FDNP</v>
      </c>
      <c r="BZ87" s="31">
        <v>22.490502045454814</v>
      </c>
      <c r="CA87" s="305">
        <f>Tabela24[BPTSF]+Tabela24[fd/np'']</f>
        <v>41.522473838286174</v>
      </c>
      <c r="CB87" s="424">
        <f>Tabela24[vp1]/3200</f>
        <v>8.6467329545454538E-2</v>
      </c>
      <c r="CC87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87" s="332">
        <f>VLOOKUP(Tabela24[faixa (m)],'HCM2000'!$B$541:$C$547,2,TRUE)</f>
        <v>10.6</v>
      </c>
      <c r="CE87" s="332">
        <f>IF(Tabela24[acost (m)]&gt;0,1.8,1.2)</f>
        <v>1.8</v>
      </c>
      <c r="CF87" s="332">
        <f>IF(Tabela24[Separador]=$CB$6,$CD$6,IF(Tabela24[Separador]=$CB$7,$CD$7,$CD$8))</f>
        <v>0</v>
      </c>
      <c r="CG87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87" s="332">
        <f>IF(Tabela24[Separador]="Sinalização horizontal",'HCM2000'!$C$590,'HCM2000'!$C$591)</f>
        <v>2.6</v>
      </c>
      <c r="CI87" s="332">
        <f>MIN((2/3)*Tabela24[[#This Row],[acessos/km]],16)</f>
        <v>2.6666666666666665</v>
      </c>
      <c r="CJ87" s="332">
        <f>IF(Tabela24[fLC]="Pista simples","-",Tabela24[BFFS]-Tabela24[fLW]-Tabela24[fLC]-Tabela24[fM]-Tabela24[fA2])</f>
        <v>70.033333333333346</v>
      </c>
      <c r="CK87" s="332">
        <f>IF(Tabela24[plano/ondulado]="Montanhoso",Tabela24[Para PT&lt;],VLOOKUP(Tabela24[plano/ondulado],'HCM2000'!$B$606:$C$608,2,FALSE))</f>
        <v>1.5</v>
      </c>
      <c r="CL87" s="332">
        <f>IF(Tabela24[[#This Row],[plano/ondulado]]="Montanhoso",Tabela24[[#This Row],[Para PT&lt;]],VLOOKUP(Tabela24[[#This Row],[plano/ondulado]],'HCM2000'!$E$606:$F$608,2,FALSE))</f>
        <v>1.2</v>
      </c>
      <c r="CM87" s="433">
        <f>1/(1+(Tabela24[Pt]*(Tabela24[Et2]-1))+(Tabela24[PRv]*(Tabela24[Er2]-1)))</f>
        <v>0.88028169014084512</v>
      </c>
      <c r="CN87" s="329">
        <f>K87+IF(Tabela24[[#This Row],[Num. Faixas Marg.]]="-",0,Tabela24[[#This Row],[Num. Faixas Marg.]])</f>
        <v>4.5999999999999996</v>
      </c>
      <c r="CO87" s="331">
        <f>Tabela24[[#This Row],[Vzão]]/(Tabela24[[#This Row],[PHF]]*Tabela24[[#This Row],[N]]*Tabela24[[#This Row],[fHV]])</f>
        <v>31.795652173913044</v>
      </c>
      <c r="CP87" s="332">
        <f>IF(Tabela24[fLC]="Pista simples","-",Tabela24[vp3]/Tabela24[S])</f>
        <v>0.45400740848043369</v>
      </c>
      <c r="CQ87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70.033333333333346</v>
      </c>
      <c r="CR87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87" s="308" t="str">
        <f>IF(Tabela24[LOS_vp3]="F","F",VLOOKUP(Tabela24[LOS_vp3],'HCM2000'!$R$655:$S$659,2))</f>
        <v>F</v>
      </c>
      <c r="CT87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87" s="425" t="str">
        <f>IF(Tabela24[[#This Row],[LOS_vp3]]="F","F",IF(Tabela24[[#This Row],[fLC]]="Pista simples","-",VLOOKUP(Tabela24[[#This Row],[LOS_D3]],'HCM2000'!$R$655:$S$659,2)))</f>
        <v>F</v>
      </c>
      <c r="CV87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87" s="381"/>
      <c r="CX87" s="381"/>
      <c r="CY87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87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87" s="22">
        <f>ABS(INDEX('HCM2000'!$E$611:$M$611,1,MATCH(Tabela24[Pt]*100,'HCM2000'!$E$611:$M$611,1))-Tabela24[Pt]*100)</f>
        <v>1</v>
      </c>
      <c r="DB87" s="22" t="e">
        <f>INDEX('HCM2000'!$E$611:$M$611,1,MATCH(Tabela24[[#This Row],[Pt]]*100,'HCM2000'!$E$611:$M$611,1)+1)-Tabela24[[#This Row],[Pt]]*100</f>
        <v>#REF!</v>
      </c>
      <c r="DC87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87" s="440"/>
      <c r="DE87" s="423" t="e">
        <f>1/(1+(Tabela24[Pt]*(Tabela24[ETsu]-1))+(Tabela24[PRv]*(Tabela24[ERsu]-1)))</f>
        <v>#N/A</v>
      </c>
      <c r="DF87" s="438" t="e">
        <f>Tabela24[Vzão]/(Tabela24[PHF]*Tabela24[N]*Tabela24[fHVsu])</f>
        <v>#N/A</v>
      </c>
      <c r="DG87" s="332" t="e">
        <f>IF(Tabela24[fLC]="Pista simples","-",Tabela24[vpsu]/Tabela24[S])</f>
        <v>#N/A</v>
      </c>
      <c r="DH87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87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87" s="425" t="str">
        <f>IF(Tabela24[[#This Row],[LOS_vp3]]="F","F",VLOOKUP(Tabela24[[#This Row],[LOS_vp3]],'HCM2000'!$R$655:$S$659,2))</f>
        <v>F</v>
      </c>
      <c r="DK87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87" s="425" t="str">
        <f>IF(Tabela24[[#This Row],[LOS_vp3]]="F","F",IF(Tabela24[[#This Row],[fLC]]="Pista simples","-",VLOOKUP(Tabela24[[#This Row],[LOS_D3]],'HCM2000'!$R$655:$S$659,2)))</f>
        <v>F</v>
      </c>
      <c r="DM87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87" s="416"/>
      <c r="DO87" s="22">
        <f>Tabela24[[#This Row],[ATS]]</f>
        <v>75.383850833333341</v>
      </c>
      <c r="DP87" s="416">
        <v>75.400000000000006</v>
      </c>
      <c r="DQ87" s="22">
        <f t="shared" si="19"/>
        <v>1.6149166666664883E-2</v>
      </c>
      <c r="DR87" s="22">
        <f>Tabela24[[#This Row],[PTSF]]</f>
        <v>41.522473838286174</v>
      </c>
      <c r="DS87" s="416">
        <v>40.4</v>
      </c>
      <c r="DT87" s="22">
        <f t="shared" si="20"/>
        <v>1.1224738382861759</v>
      </c>
      <c r="DU87" s="22"/>
      <c r="DV87" s="22">
        <v>75.383850833333341</v>
      </c>
      <c r="DW87" s="440">
        <v>75.400000000000006</v>
      </c>
      <c r="DX87" s="22">
        <v>1.6149166666664883E-2</v>
      </c>
      <c r="DY87" s="22">
        <v>55.494807583472891</v>
      </c>
      <c r="DZ87" s="440">
        <v>40.4</v>
      </c>
      <c r="EA87" s="22">
        <v>1.1224738382861759</v>
      </c>
      <c r="EB87" s="416"/>
      <c r="EC87" s="416"/>
      <c r="ED87" s="416"/>
      <c r="EE87" s="416"/>
      <c r="EF87" s="416"/>
      <c r="EG87" s="416"/>
      <c r="EH87" s="416"/>
      <c r="EI87" s="416"/>
      <c r="EJ87" s="416"/>
      <c r="EK87" s="416"/>
      <c r="EL87" s="416"/>
      <c r="EM87" s="416"/>
      <c r="EN87" s="416"/>
      <c r="EO87" s="416"/>
      <c r="EP87" s="416"/>
      <c r="EQ87" s="416"/>
      <c r="ER87" s="416"/>
      <c r="ES87" s="416"/>
      <c r="ET87" s="416"/>
      <c r="EU87" s="416"/>
      <c r="EV87" s="416"/>
      <c r="EW87" s="416"/>
      <c r="EX87" s="416"/>
      <c r="EY87" s="416"/>
      <c r="EZ87" s="416"/>
      <c r="FA87" s="416"/>
      <c r="FB87" s="416"/>
      <c r="FJ87" s="58"/>
      <c r="FK87" s="58"/>
      <c r="FL87" s="58"/>
      <c r="FM87" s="58"/>
      <c r="FR87" s="3"/>
      <c r="FS87" s="3"/>
      <c r="FV87" s="58"/>
      <c r="FW87" s="58"/>
    </row>
    <row r="88" spans="2:181">
      <c r="B88" s="386">
        <v>42</v>
      </c>
      <c r="C88" s="394"/>
      <c r="D88" s="395"/>
      <c r="E88" s="385">
        <v>24201</v>
      </c>
      <c r="F88" s="385">
        <v>24501</v>
      </c>
      <c r="G88" s="390">
        <v>300</v>
      </c>
      <c r="H88" s="386" t="s">
        <v>263</v>
      </c>
      <c r="I88" s="386" t="s">
        <v>379</v>
      </c>
      <c r="J88" s="390">
        <v>2</v>
      </c>
      <c r="K88" s="386">
        <v>4.5999999999999996</v>
      </c>
      <c r="L88" s="386" t="s">
        <v>143</v>
      </c>
      <c r="M88" s="386">
        <v>4.2</v>
      </c>
      <c r="N88" s="386">
        <v>1</v>
      </c>
      <c r="O88" s="396">
        <v>1</v>
      </c>
      <c r="P88" s="386" t="s">
        <v>366</v>
      </c>
      <c r="Q88" s="397" t="s">
        <v>144</v>
      </c>
      <c r="R88" s="419" t="s">
        <v>73</v>
      </c>
      <c r="S88" s="310">
        <v>78</v>
      </c>
      <c r="T88" s="420"/>
      <c r="U88" s="279">
        <v>24</v>
      </c>
      <c r="V88" s="323">
        <v>6473.9966140621727</v>
      </c>
      <c r="W88" s="323">
        <v>2824.5698392986178</v>
      </c>
      <c r="X88" s="420"/>
      <c r="Y88" s="398">
        <f t="shared" si="16"/>
        <v>1</v>
      </c>
      <c r="Z88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88" s="182" t="s">
        <v>644</v>
      </c>
      <c r="AB88" s="391" t="s">
        <v>654</v>
      </c>
      <c r="AC88" s="31">
        <v>3</v>
      </c>
      <c r="AD88" s="31">
        <v>2.5</v>
      </c>
      <c r="AE88" s="421"/>
      <c r="AF88" s="421"/>
      <c r="AG88" s="421">
        <v>0</v>
      </c>
      <c r="AH88" s="441">
        <v>0.23</v>
      </c>
      <c r="AI88" s="25">
        <v>0.03</v>
      </c>
      <c r="AJ88" s="435">
        <v>8.7999999999999995E-2</v>
      </c>
      <c r="AK88" s="330">
        <v>206</v>
      </c>
      <c r="AL88" s="263">
        <v>0.55000000000000004</v>
      </c>
      <c r="AM88" s="414">
        <v>113.30000000000001</v>
      </c>
      <c r="AN88" s="417">
        <v>4</v>
      </c>
      <c r="AO88" s="467" t="s">
        <v>73</v>
      </c>
      <c r="AP88" s="439">
        <v>88</v>
      </c>
      <c r="AQ88" s="442">
        <v>0.63</v>
      </c>
      <c r="AR88" s="422">
        <v>0.88</v>
      </c>
      <c r="AS88" s="316"/>
      <c r="AT88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88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88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88" s="23">
        <f>1/(1+(Tabela24[[#This Row],[Pt]])*(Tabela24[[#This Row],[Et]]-1)+(Tabela24[[#This Row],[PRv]])*(Tabela24[[#This Row],[Er]]-1))</f>
        <v>0.86132644272179149</v>
      </c>
      <c r="AX88" s="423">
        <f>Tabela24[veic/h]/Tabela24[PHF]</f>
        <v>234.09090909090909</v>
      </c>
      <c r="AY88" s="423">
        <v>271.77954545454548</v>
      </c>
      <c r="AZ88" s="21">
        <f>Tabela24[veic/h]/(Tabela24[PHF]*Tabela24[fg ats]*Tabela24[fhv ats])</f>
        <v>271.77954545454548</v>
      </c>
      <c r="BA88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88" s="322" t="str">
        <f>IF(AND(Tabela24[[#This Row],[vp1]]*Tabela24[[#This Row],[distrib. direc.]]&lt;1700,Tabela24[[#This Row],[vp1]]&lt;3200),"OK!","FAIL")</f>
        <v>OK!</v>
      </c>
      <c r="BC88" s="23">
        <f>INDEX('HCM2000'!$L$68:$AF$83,MATCH(Tabela24[[#This Row],[faixa (m)]],'HCM2000'!$K$68:$K$83),MATCH(Tabela24[[#This Row],[acost (m)]],'HCM2000'!$L$67:$AF$67))</f>
        <v>1.7</v>
      </c>
      <c r="BD88" s="23">
        <f>MIN(16,(2/3)*Tabela24[[#This Row],[acessos/km]])</f>
        <v>2.6666666666666665</v>
      </c>
      <c r="BE88" s="22">
        <f>Tabela24[BFFS]-Tabela24[fLS]-Tabela24[fA]</f>
        <v>83.633333333333326</v>
      </c>
      <c r="BF88" s="23" t="e">
        <v>#REF!</v>
      </c>
      <c r="BG88" s="463">
        <f>IFERROR(Tabela24[[#This Row],[vp1]],0)</f>
        <v>271.77954545454548</v>
      </c>
      <c r="BH88" s="463">
        <f>IFERROR(Tabela24[[#This Row],[% zonas s/ultra]],0)</f>
        <v>0.63</v>
      </c>
      <c r="BI88" s="23" t="str">
        <f t="shared" si="17"/>
        <v>FNP</v>
      </c>
      <c r="BJ88" s="23">
        <v>4.5526726136363562</v>
      </c>
      <c r="BK88" s="43">
        <f>Tabela24[FFS]-0.0125*MAX(Tabela24[[#This Row],[vp1]],Tabela24[[#This Row],[vp1'']])-Tabela24[fnp'']</f>
        <v>75.683416401515146</v>
      </c>
      <c r="BL88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88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88" s="23">
        <v>1</v>
      </c>
      <c r="BO88" s="23">
        <f>1/(1+Tabela24[[#This Row],[Pt]]*(Tabela24[[#This Row],[Et time]]-1)+Tabela24[[#This Row],[PRv]]*(Tabela24[[#This Row],[Er time]]-1))</f>
        <v>0.97751710654936452</v>
      </c>
      <c r="BP88" s="23">
        <f>Tabela24[veic/h]/Tabela24[PHF]</f>
        <v>234.09090909090909</v>
      </c>
      <c r="BQ88" s="23">
        <v>239.47500000000002</v>
      </c>
      <c r="BR88" s="438">
        <f>Tabela24[veic/h]/(Tabela24[PHF]*Tabela24[fg time]*Tabela24[fhv follow])</f>
        <v>239.47500000000002</v>
      </c>
      <c r="BS88" s="438" t="str">
        <f>IF(AND(Tabela24[[#This Row],[vp2]]*Tabela24[[#This Row],[distrib. direc.]]&lt;1700,Tabela24[[#This Row],[vp2]]&lt;3200),"OK!","FAIL")</f>
        <v>OK!</v>
      </c>
      <c r="BT88" s="23">
        <f>100*(1-EXP(-0.000879*MAX(Tabela24[[#This Row],[vp2]],Tabela24[[#This Row],[vp2'']])))</f>
        <v>18.981974983166459</v>
      </c>
      <c r="BU88" s="304" t="e">
        <v>#REF!</v>
      </c>
      <c r="BV88" s="304">
        <f>IF(TYPE(Tabela24[distrib. direc.])&lt;&gt;1,0,Tabela24[distrib. direc.])</f>
        <v>0.55000000000000004</v>
      </c>
      <c r="BW88" s="304">
        <f>IF(TYPE(Tabela24[vp2])&lt;&gt;1,0,Tabela24[vp2])</f>
        <v>239.47500000000002</v>
      </c>
      <c r="BX88" s="304">
        <f>IF(TYPE(Tabela24[% zonas s/ultra])&lt;&gt;1,0,Tabela24[% zonas s/ultra])</f>
        <v>0.63</v>
      </c>
      <c r="BY88" s="304" t="str">
        <f t="shared" si="18"/>
        <v>FDNP</v>
      </c>
      <c r="BZ88" s="31">
        <v>22.240646250000253</v>
      </c>
      <c r="CA88" s="305">
        <f>Tabela24[BPTSF]+Tabela24[fd/np'']</f>
        <v>41.222621233166713</v>
      </c>
      <c r="CB88" s="424">
        <f>Tabela24[vp1]/3200</f>
        <v>8.4931107954545462E-2</v>
      </c>
      <c r="CC88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88" s="332">
        <f>VLOOKUP(Tabela24[faixa (m)],'HCM2000'!$B$541:$C$547,2,TRUE)</f>
        <v>10.6</v>
      </c>
      <c r="CE88" s="332">
        <f>IF(Tabela24[acost (m)]&gt;0,1.8,1.2)</f>
        <v>1.8</v>
      </c>
      <c r="CF88" s="332">
        <f>IF(Tabela24[Separador]=$CB$6,$CD$6,IF(Tabela24[Separador]=$CB$7,$CD$7,$CD$8))</f>
        <v>0</v>
      </c>
      <c r="CG88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88" s="332">
        <f>IF(Tabela24[Separador]="Sinalização horizontal",'HCM2000'!$C$590,'HCM2000'!$C$591)</f>
        <v>2.6</v>
      </c>
      <c r="CI88" s="332">
        <f>MIN((2/3)*Tabela24[[#This Row],[acessos/km]],16)</f>
        <v>2.6666666666666665</v>
      </c>
      <c r="CJ88" s="332">
        <f>IF(Tabela24[fLC]="Pista simples","-",Tabela24[BFFS]-Tabela24[fLW]-Tabela24[fLC]-Tabela24[fM]-Tabela24[fA2])</f>
        <v>70.033333333333346</v>
      </c>
      <c r="CK88" s="332">
        <f>IF(Tabela24[plano/ondulado]="Montanhoso",Tabela24[Para PT&lt;],VLOOKUP(Tabela24[plano/ondulado],'HCM2000'!$B$606:$C$608,2,FALSE))</f>
        <v>1.5</v>
      </c>
      <c r="CL88" s="332">
        <f>IF(Tabela24[[#This Row],[plano/ondulado]]="Montanhoso",Tabela24[[#This Row],[Para PT&lt;]],VLOOKUP(Tabela24[[#This Row],[plano/ondulado]],'HCM2000'!$E$606:$F$608,2,FALSE))</f>
        <v>1.2</v>
      </c>
      <c r="CM88" s="433">
        <f>1/(1+(Tabela24[Pt]*(Tabela24[Et2]-1))+(Tabela24[PRv]*(Tabela24[Er2]-1)))</f>
        <v>0.89206066012488849</v>
      </c>
      <c r="CN88" s="329">
        <f>K88+IF(Tabela24[[#This Row],[Num. Faixas Marg.]]="-",0,Tabela24[[#This Row],[Num. Faixas Marg.]])</f>
        <v>4.5999999999999996</v>
      </c>
      <c r="CO88" s="331">
        <f>Tabela24[[#This Row],[Vzão]]/(Tabela24[[#This Row],[PHF]]*Tabela24[[#This Row],[N]]*Tabela24[[#This Row],[fHV]])</f>
        <v>31.375815217391306</v>
      </c>
      <c r="CP88" s="332">
        <f>IF(Tabela24[fLC]="Pista simples","-",Tabela24[vp3]/Tabela24[S])</f>
        <v>0.44801259234732937</v>
      </c>
      <c r="CQ88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70.033333333333346</v>
      </c>
      <c r="CR88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88" s="308" t="str">
        <f>IF(Tabela24[LOS_vp3]="F","F",VLOOKUP(Tabela24[LOS_vp3],'HCM2000'!$R$655:$S$659,2))</f>
        <v>F</v>
      </c>
      <c r="CT88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88" s="425" t="str">
        <f>IF(Tabela24[[#This Row],[LOS_vp3]]="F","F",IF(Tabela24[[#This Row],[fLC]]="Pista simples","-",VLOOKUP(Tabela24[[#This Row],[LOS_D3]],'HCM2000'!$R$655:$S$659,2)))</f>
        <v>F</v>
      </c>
      <c r="CV88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88" s="381"/>
      <c r="CX88" s="381"/>
      <c r="CY88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88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88" s="22">
        <f>ABS(INDEX('HCM2000'!$E$611:$M$611,1,MATCH(Tabela24[Pt]*100,'HCM2000'!$E$611:$M$611,1))-Tabela24[Pt]*100)</f>
        <v>3</v>
      </c>
      <c r="DB88" s="22">
        <f>INDEX('HCM2000'!$E$611:$M$611,1,MATCH(Tabela24[[#This Row],[Pt]]*100,'HCM2000'!$E$611:$M$611,1)+1)-Tabela24[[#This Row],[Pt]]*100</f>
        <v>2</v>
      </c>
      <c r="DC88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88" s="440"/>
      <c r="DE88" s="423" t="e">
        <f>1/(1+(Tabela24[Pt]*(Tabela24[ETsu]-1))+(Tabela24[PRv]*(Tabela24[ERsu]-1)))</f>
        <v>#N/A</v>
      </c>
      <c r="DF88" s="438" t="e">
        <f>Tabela24[Vzão]/(Tabela24[PHF]*Tabela24[N]*Tabela24[fHVsu])</f>
        <v>#N/A</v>
      </c>
      <c r="DG88" s="332" t="e">
        <f>IF(Tabela24[fLC]="Pista simples","-",Tabela24[vpsu]/Tabela24[S])</f>
        <v>#N/A</v>
      </c>
      <c r="DH88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88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88" s="425" t="str">
        <f>IF(Tabela24[[#This Row],[LOS_vp3]]="F","F",VLOOKUP(Tabela24[[#This Row],[LOS_vp3]],'HCM2000'!$R$655:$S$659,2))</f>
        <v>F</v>
      </c>
      <c r="DK88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88" s="425" t="str">
        <f>IF(Tabela24[[#This Row],[LOS_vp3]]="F","F",IF(Tabela24[[#This Row],[fLC]]="Pista simples","-",VLOOKUP(Tabela24[[#This Row],[LOS_D3]],'HCM2000'!$R$655:$S$659,2)))</f>
        <v>F</v>
      </c>
      <c r="DM88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88" s="416"/>
      <c r="DO88" s="22">
        <f>Tabela24[[#This Row],[ATS]]</f>
        <v>75.683416401515146</v>
      </c>
      <c r="DP88" s="416">
        <v>75.7</v>
      </c>
      <c r="DQ88" s="22">
        <f t="shared" si="19"/>
        <v>1.6583598484857021E-2</v>
      </c>
      <c r="DR88" s="22">
        <f>Tabela24[[#This Row],[PTSF]]</f>
        <v>41.222621233166713</v>
      </c>
      <c r="DS88" s="416">
        <v>40.299999999999997</v>
      </c>
      <c r="DT88" s="22">
        <f t="shared" si="20"/>
        <v>0.92262123316671563</v>
      </c>
      <c r="DU88" s="22"/>
      <c r="DV88" s="22">
        <v>75.683416401515146</v>
      </c>
      <c r="DW88" s="416">
        <v>75.7</v>
      </c>
      <c r="DX88" s="22">
        <v>1.6583598484857021E-2</v>
      </c>
      <c r="DY88" s="22">
        <v>55.458995575566632</v>
      </c>
      <c r="DZ88" s="416">
        <v>40.299999999999997</v>
      </c>
      <c r="EA88" s="22">
        <v>0.92262123316671563</v>
      </c>
      <c r="EB88" s="416"/>
      <c r="EC88" s="416"/>
      <c r="ED88" s="416"/>
      <c r="EE88" s="416"/>
      <c r="EF88" s="416"/>
      <c r="EG88" s="416"/>
      <c r="EH88" s="416"/>
      <c r="EI88" s="416"/>
      <c r="EJ88" s="416"/>
      <c r="EK88" s="416"/>
      <c r="EL88" s="416"/>
      <c r="EM88" s="416"/>
      <c r="EN88" s="416"/>
      <c r="EO88" s="416"/>
      <c r="EP88" s="416"/>
      <c r="EQ88" s="416"/>
      <c r="ER88" s="416"/>
      <c r="ES88" s="416"/>
      <c r="ET88" s="416"/>
      <c r="EU88" s="416"/>
      <c r="EV88" s="416"/>
      <c r="EW88" s="416"/>
      <c r="EX88" s="416"/>
      <c r="EY88" s="416"/>
      <c r="EZ88" s="416"/>
      <c r="FA88" s="416"/>
      <c r="FB88" s="416"/>
      <c r="FJ88" s="58"/>
      <c r="FK88" s="58"/>
      <c r="FL88" s="58"/>
      <c r="FM88" s="58"/>
      <c r="FR88" s="3"/>
      <c r="FS88" s="3"/>
      <c r="FV88" s="58"/>
      <c r="FW88" s="58"/>
    </row>
    <row r="89" spans="2:181">
      <c r="B89" s="386">
        <v>43</v>
      </c>
      <c r="C89" s="394"/>
      <c r="D89" s="395"/>
      <c r="E89" s="385">
        <v>24201</v>
      </c>
      <c r="F89" s="385">
        <v>24501</v>
      </c>
      <c r="G89" s="390">
        <v>300</v>
      </c>
      <c r="H89" s="386" t="s">
        <v>263</v>
      </c>
      <c r="I89" s="386" t="s">
        <v>379</v>
      </c>
      <c r="J89" s="390">
        <v>2</v>
      </c>
      <c r="K89" s="386">
        <v>4.5999999999999996</v>
      </c>
      <c r="L89" s="386" t="s">
        <v>143</v>
      </c>
      <c r="M89" s="386">
        <v>4.2</v>
      </c>
      <c r="N89" s="386">
        <v>1</v>
      </c>
      <c r="O89" s="396">
        <v>1</v>
      </c>
      <c r="P89" s="386" t="s">
        <v>366</v>
      </c>
      <c r="Q89" s="397" t="s">
        <v>144</v>
      </c>
      <c r="R89" s="419" t="s">
        <v>73</v>
      </c>
      <c r="S89" s="310">
        <v>79</v>
      </c>
      <c r="T89" s="420"/>
      <c r="U89" s="279">
        <v>24</v>
      </c>
      <c r="V89" s="323">
        <v>6473.9966140621727</v>
      </c>
      <c r="W89" s="323">
        <v>2824.5698392986178</v>
      </c>
      <c r="X89" s="420"/>
      <c r="Y89" s="398">
        <f t="shared" si="16"/>
        <v>1</v>
      </c>
      <c r="Z89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89" s="182" t="s">
        <v>644</v>
      </c>
      <c r="AB89" s="391" t="s">
        <v>654</v>
      </c>
      <c r="AC89" s="31">
        <v>3</v>
      </c>
      <c r="AD89" s="31">
        <v>2.5</v>
      </c>
      <c r="AE89" s="421"/>
      <c r="AF89" s="421"/>
      <c r="AG89" s="421">
        <v>0</v>
      </c>
      <c r="AH89" s="441">
        <v>0.23</v>
      </c>
      <c r="AI89" s="25">
        <v>0.03</v>
      </c>
      <c r="AJ89" s="435">
        <v>8.7999999999999995E-2</v>
      </c>
      <c r="AK89" s="330">
        <v>213</v>
      </c>
      <c r="AL89" s="263">
        <v>0.55000000000000004</v>
      </c>
      <c r="AM89" s="414">
        <v>117.15</v>
      </c>
      <c r="AN89" s="417">
        <v>5</v>
      </c>
      <c r="AO89" s="467" t="s">
        <v>73</v>
      </c>
      <c r="AP89" s="439">
        <v>88</v>
      </c>
      <c r="AQ89" s="442">
        <v>0.76</v>
      </c>
      <c r="AR89" s="422">
        <v>0.88</v>
      </c>
      <c r="AS89" s="316"/>
      <c r="AT89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89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89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89" s="23">
        <f>1/(1+(Tabela24[[#This Row],[Pt]])*(Tabela24[[#This Row],[Et]]-1)+(Tabela24[[#This Row],[PRv]])*(Tabela24[[#This Row],[Er]]-1))</f>
        <v>0.86132644272179149</v>
      </c>
      <c r="AX89" s="423">
        <f>Tabela24[veic/h]/Tabela24[PHF]</f>
        <v>242.04545454545453</v>
      </c>
      <c r="AY89" s="423">
        <v>281.01477272727277</v>
      </c>
      <c r="AZ89" s="21">
        <f>Tabela24[veic/h]/(Tabela24[PHF]*Tabela24[fg ats]*Tabela24[fhv ats])</f>
        <v>281.01477272727277</v>
      </c>
      <c r="BA89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89" s="322" t="str">
        <f>IF(AND(Tabela24[[#This Row],[vp1]]*Tabela24[[#This Row],[distrib. direc.]]&lt;1700,Tabela24[[#This Row],[vp1]]&lt;3200),"OK!","FAIL")</f>
        <v>OK!</v>
      </c>
      <c r="BC89" s="23">
        <f>INDEX('HCM2000'!$L$68:$AF$83,MATCH(Tabela24[[#This Row],[faixa (m)]],'HCM2000'!$K$68:$K$83),MATCH(Tabela24[[#This Row],[acost (m)]],'HCM2000'!$L$67:$AF$67))</f>
        <v>1.7</v>
      </c>
      <c r="BD89" s="23">
        <f>MIN(16,(2/3)*Tabela24[[#This Row],[acessos/km]])</f>
        <v>3.333333333333333</v>
      </c>
      <c r="BE89" s="22">
        <f>Tabela24[BFFS]-Tabela24[fLS]-Tabela24[fA]</f>
        <v>82.966666666666669</v>
      </c>
      <c r="BF89" s="23" t="e">
        <v>#REF!</v>
      </c>
      <c r="BG89" s="463">
        <f>IFERROR(Tabela24[[#This Row],[vp1]],0)</f>
        <v>281.01477272727277</v>
      </c>
      <c r="BH89" s="463">
        <f>IFERROR(Tabela24[[#This Row],[% zonas s/ultra]],0)</f>
        <v>0.76</v>
      </c>
      <c r="BI89" s="23" t="str">
        <f t="shared" si="17"/>
        <v>FNP</v>
      </c>
      <c r="BJ89" s="23">
        <v>4.9544521590909003</v>
      </c>
      <c r="BK89" s="43">
        <f>Tabela24[FFS]-0.0125*MAX(Tabela24[[#This Row],[vp1]],Tabela24[[#This Row],[vp1'']])-Tabela24[fnp'']</f>
        <v>74.499529848484855</v>
      </c>
      <c r="BL89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89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89" s="23">
        <v>1</v>
      </c>
      <c r="BO89" s="23">
        <f>1/(1+Tabela24[[#This Row],[Pt]]*(Tabela24[[#This Row],[Et time]]-1)+Tabela24[[#This Row],[PRv]]*(Tabela24[[#This Row],[Er time]]-1))</f>
        <v>0.97751710654936452</v>
      </c>
      <c r="BP89" s="23">
        <f>Tabela24[veic/h]/Tabela24[PHF]</f>
        <v>242.04545454545453</v>
      </c>
      <c r="BQ89" s="23">
        <v>247.61250000000004</v>
      </c>
      <c r="BR89" s="438">
        <f>Tabela24[veic/h]/(Tabela24[PHF]*Tabela24[fg time]*Tabela24[fhv follow])</f>
        <v>247.61250000000004</v>
      </c>
      <c r="BS89" s="438" t="str">
        <f>IF(AND(Tabela24[[#This Row],[vp2]]*Tabela24[[#This Row],[distrib. direc.]]&lt;1700,Tabela24[[#This Row],[vp2]]&lt;3200),"OK!","FAIL")</f>
        <v>OK!</v>
      </c>
      <c r="BT89" s="23">
        <f>100*(1-EXP(-0.000879*MAX(Tabela24[[#This Row],[vp2]],Tabela24[[#This Row],[vp2'']])))</f>
        <v>19.559418128427485</v>
      </c>
      <c r="BU89" s="304" t="e">
        <v>#REF!</v>
      </c>
      <c r="BV89" s="304">
        <f>IF(TYPE(Tabela24[distrib. direc.])&lt;&gt;1,0,Tabela24[distrib. direc.])</f>
        <v>0.55000000000000004</v>
      </c>
      <c r="BW89" s="304">
        <f>IF(TYPE(Tabela24[vp2])&lt;&gt;1,0,Tabela24[vp2])</f>
        <v>247.61250000000004</v>
      </c>
      <c r="BX89" s="304">
        <f>IF(TYPE(Tabela24[% zonas s/ultra])&lt;&gt;1,0,Tabela24[% zonas s/ultra])</f>
        <v>0.76</v>
      </c>
      <c r="BY89" s="304" t="str">
        <f t="shared" si="18"/>
        <v>FDNP</v>
      </c>
      <c r="BZ89" s="31">
        <v>22.589577500000278</v>
      </c>
      <c r="CA89" s="305">
        <f>Tabela24[BPTSF]+Tabela24[fd/np'']</f>
        <v>42.148995628427762</v>
      </c>
      <c r="CB89" s="424">
        <f>Tabela24[vp1]/3200</f>
        <v>8.7817116477272736E-2</v>
      </c>
      <c r="CC89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89" s="332">
        <f>VLOOKUP(Tabela24[faixa (m)],'HCM2000'!$B$541:$C$547,2,TRUE)</f>
        <v>10.6</v>
      </c>
      <c r="CE89" s="332">
        <f>IF(Tabela24[acost (m)]&gt;0,1.8,1.2)</f>
        <v>1.8</v>
      </c>
      <c r="CF89" s="332">
        <f>IF(Tabela24[Separador]=$CB$6,$CD$6,IF(Tabela24[Separador]=$CB$7,$CD$7,$CD$8))</f>
        <v>0</v>
      </c>
      <c r="CG89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89" s="332">
        <f>IF(Tabela24[Separador]="Sinalização horizontal",'HCM2000'!$C$590,'HCM2000'!$C$591)</f>
        <v>2.6</v>
      </c>
      <c r="CI89" s="332">
        <f>MIN((2/3)*Tabela24[[#This Row],[acessos/km]],16)</f>
        <v>3.333333333333333</v>
      </c>
      <c r="CJ89" s="332">
        <f>IF(Tabela24[fLC]="Pista simples","-",Tabela24[BFFS]-Tabela24[fLW]-Tabela24[fLC]-Tabela24[fM]-Tabela24[fA2])</f>
        <v>69.366666666666688</v>
      </c>
      <c r="CK89" s="332">
        <f>IF(Tabela24[plano/ondulado]="Montanhoso",Tabela24[Para PT&lt;],VLOOKUP(Tabela24[plano/ondulado],'HCM2000'!$B$606:$C$608,2,FALSE))</f>
        <v>1.5</v>
      </c>
      <c r="CL89" s="332">
        <f>IF(Tabela24[[#This Row],[plano/ondulado]]="Montanhoso",Tabela24[[#This Row],[Para PT&lt;]],VLOOKUP(Tabela24[[#This Row],[plano/ondulado]],'HCM2000'!$E$606:$F$608,2,FALSE))</f>
        <v>1.2</v>
      </c>
      <c r="CM89" s="433">
        <f>1/(1+(Tabela24[Pt]*(Tabela24[Et2]-1))+(Tabela24[PRv]*(Tabela24[Er2]-1)))</f>
        <v>0.89206066012488849</v>
      </c>
      <c r="CN89" s="329">
        <f>K89+IF(Tabela24[[#This Row],[Num. Faixas Marg.]]="-",0,Tabela24[[#This Row],[Num. Faixas Marg.]])</f>
        <v>4.5999999999999996</v>
      </c>
      <c r="CO89" s="331">
        <f>Tabela24[[#This Row],[Vzão]]/(Tabela24[[#This Row],[PHF]]*Tabela24[[#This Row],[N]]*Tabela24[[#This Row],[fHV]])</f>
        <v>32.441983695652176</v>
      </c>
      <c r="CP89" s="332">
        <f>IF(Tabela24[fLC]="Pista simples","-",Tabela24[vp3]/Tabela24[S])</f>
        <v>0.46768837619873377</v>
      </c>
      <c r="CQ89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69.366666666666688</v>
      </c>
      <c r="CR89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89" s="308" t="str">
        <f>IF(Tabela24[LOS_vp3]="F","F",VLOOKUP(Tabela24[LOS_vp3],'HCM2000'!$R$655:$S$659,2))</f>
        <v>F</v>
      </c>
      <c r="CT89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89" s="425" t="str">
        <f>IF(Tabela24[[#This Row],[LOS_vp3]]="F","F",IF(Tabela24[[#This Row],[fLC]]="Pista simples","-",VLOOKUP(Tabela24[[#This Row],[LOS_D3]],'HCM2000'!$R$655:$S$659,2)))</f>
        <v>F</v>
      </c>
      <c r="CV89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89" s="381"/>
      <c r="CX89" s="381"/>
      <c r="CY89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89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89" s="22">
        <f>ABS(INDEX('HCM2000'!$E$611:$M$611,1,MATCH(Tabela24[Pt]*100,'HCM2000'!$E$611:$M$611,1))-Tabela24[Pt]*100)</f>
        <v>3</v>
      </c>
      <c r="DB89" s="22">
        <f>INDEX('HCM2000'!$E$611:$M$611,1,MATCH(Tabela24[[#This Row],[Pt]]*100,'HCM2000'!$E$611:$M$611,1)+1)-Tabela24[[#This Row],[Pt]]*100</f>
        <v>2</v>
      </c>
      <c r="DC89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89" s="440"/>
      <c r="DE89" s="423" t="e">
        <f>1/(1+(Tabela24[Pt]*(Tabela24[ETsu]-1))+(Tabela24[PRv]*(Tabela24[ERsu]-1)))</f>
        <v>#N/A</v>
      </c>
      <c r="DF89" s="438" t="e">
        <f>Tabela24[Vzão]/(Tabela24[PHF]*Tabela24[N]*Tabela24[fHVsu])</f>
        <v>#N/A</v>
      </c>
      <c r="DG89" s="332" t="e">
        <f>IF(Tabela24[fLC]="Pista simples","-",Tabela24[vpsu]/Tabela24[S])</f>
        <v>#N/A</v>
      </c>
      <c r="DH89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89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89" s="425" t="str">
        <f>IF(Tabela24[[#This Row],[LOS_vp3]]="F","F",VLOOKUP(Tabela24[[#This Row],[LOS_vp3]],'HCM2000'!$R$655:$S$659,2))</f>
        <v>F</v>
      </c>
      <c r="DK89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89" s="425" t="str">
        <f>IF(Tabela24[[#This Row],[LOS_vp3]]="F","F",IF(Tabela24[[#This Row],[fLC]]="Pista simples","-",VLOOKUP(Tabela24[[#This Row],[LOS_D3]],'HCM2000'!$R$655:$S$659,2)))</f>
        <v>F</v>
      </c>
      <c r="DM89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89" s="416"/>
      <c r="DO89" s="22">
        <f>Tabela24[[#This Row],[ATS]]</f>
        <v>74.499529848484855</v>
      </c>
      <c r="DP89" s="416">
        <v>74.5</v>
      </c>
      <c r="DQ89" s="22">
        <f t="shared" si="19"/>
        <v>4.7015151514528952E-4</v>
      </c>
      <c r="DR89" s="22">
        <f>Tabela24[[#This Row],[PTSF]]</f>
        <v>42.148995628427762</v>
      </c>
      <c r="DS89" s="416">
        <v>40.9</v>
      </c>
      <c r="DT89" s="22">
        <f t="shared" si="20"/>
        <v>1.2489956284277639</v>
      </c>
      <c r="DU89" s="22"/>
      <c r="DV89" s="22">
        <v>74.499529848484855</v>
      </c>
      <c r="DW89" s="416">
        <v>74.5</v>
      </c>
      <c r="DX89" s="22">
        <v>4.7015151514528952E-4</v>
      </c>
      <c r="DY89" s="22">
        <v>57.161491904713671</v>
      </c>
      <c r="DZ89" s="416">
        <v>40.9</v>
      </c>
      <c r="EA89" s="22">
        <v>1.2489956284277639</v>
      </c>
      <c r="EB89" s="416"/>
      <c r="EC89" s="416"/>
      <c r="ED89" s="416"/>
      <c r="EE89" s="416"/>
      <c r="EF89" s="416"/>
      <c r="EG89" s="416"/>
      <c r="EH89" s="416"/>
      <c r="EI89" s="416"/>
      <c r="EJ89" s="416"/>
      <c r="EK89" s="416"/>
      <c r="EL89" s="416"/>
      <c r="EM89" s="416"/>
      <c r="EN89" s="416"/>
      <c r="EO89" s="416"/>
      <c r="EP89" s="416"/>
      <c r="EQ89" s="416"/>
      <c r="ER89" s="416"/>
      <c r="ES89" s="416"/>
      <c r="ET89" s="416"/>
      <c r="EU89" s="416"/>
      <c r="EV89" s="416"/>
      <c r="EW89" s="416"/>
      <c r="EX89" s="416"/>
      <c r="EY89" s="416"/>
      <c r="EZ89" s="416"/>
      <c r="FA89" s="416"/>
      <c r="FB89" s="416"/>
      <c r="FJ89" s="58"/>
      <c r="FK89" s="58"/>
      <c r="FL89" s="58"/>
      <c r="FM89" s="58"/>
      <c r="FR89" s="3"/>
      <c r="FS89" s="3"/>
      <c r="FV89" s="58"/>
      <c r="FW89" s="58"/>
    </row>
    <row r="90" spans="2:181">
      <c r="B90" s="386">
        <v>43</v>
      </c>
      <c r="C90" s="394"/>
      <c r="D90" s="395"/>
      <c r="E90" s="385">
        <v>24201</v>
      </c>
      <c r="F90" s="385">
        <v>24501</v>
      </c>
      <c r="G90" s="390">
        <v>300</v>
      </c>
      <c r="H90" s="386" t="s">
        <v>263</v>
      </c>
      <c r="I90" s="386" t="s">
        <v>379</v>
      </c>
      <c r="J90" s="390">
        <v>2</v>
      </c>
      <c r="K90" s="386">
        <v>4.5999999999999996</v>
      </c>
      <c r="L90" s="386" t="s">
        <v>143</v>
      </c>
      <c r="M90" s="386">
        <v>4.2</v>
      </c>
      <c r="N90" s="386">
        <v>1</v>
      </c>
      <c r="O90" s="396">
        <v>1</v>
      </c>
      <c r="P90" s="386" t="s">
        <v>366</v>
      </c>
      <c r="Q90" s="397" t="s">
        <v>144</v>
      </c>
      <c r="R90" s="419" t="s">
        <v>73</v>
      </c>
      <c r="S90" s="310">
        <v>80</v>
      </c>
      <c r="T90" s="420"/>
      <c r="U90" s="279">
        <v>24</v>
      </c>
      <c r="V90" s="323">
        <v>6473.9966140621727</v>
      </c>
      <c r="W90" s="323">
        <v>2824.5698392986178</v>
      </c>
      <c r="X90" s="420"/>
      <c r="Y90" s="398">
        <f t="shared" si="16"/>
        <v>1</v>
      </c>
      <c r="Z90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90" s="182" t="s">
        <v>644</v>
      </c>
      <c r="AB90" s="391" t="s">
        <v>654</v>
      </c>
      <c r="AC90" s="31">
        <v>3</v>
      </c>
      <c r="AD90" s="31">
        <v>2.5</v>
      </c>
      <c r="AE90" s="421"/>
      <c r="AF90" s="421"/>
      <c r="AG90" s="421">
        <v>0</v>
      </c>
      <c r="AH90" s="441">
        <v>0.22</v>
      </c>
      <c r="AI90" s="25">
        <v>0.03</v>
      </c>
      <c r="AJ90" s="435">
        <v>8.7999999999999995E-2</v>
      </c>
      <c r="AK90" s="330">
        <v>414</v>
      </c>
      <c r="AL90" s="263">
        <v>0.55000000000000004</v>
      </c>
      <c r="AM90" s="414">
        <v>227.70000000000002</v>
      </c>
      <c r="AN90" s="417">
        <v>5</v>
      </c>
      <c r="AO90" s="467" t="s">
        <v>73</v>
      </c>
      <c r="AP90" s="439">
        <v>88</v>
      </c>
      <c r="AQ90" s="442">
        <v>0.76</v>
      </c>
      <c r="AR90" s="422">
        <v>0.88</v>
      </c>
      <c r="AS90" s="316"/>
      <c r="AT90" s="412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1</v>
      </c>
      <c r="AU90" s="23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1.7</v>
      </c>
      <c r="AV90" s="23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1</v>
      </c>
      <c r="AW90" s="23">
        <f>1/(1+(Tabela24[[#This Row],[Pt]])*(Tabela24[[#This Row],[Et]]-1)+(Tabela24[[#This Row],[PRv]])*(Tabela24[[#This Row],[Er]]-1))</f>
        <v>0.86655112651646449</v>
      </c>
      <c r="AX90" s="423">
        <f>Tabela24[veic/h]/Tabela24[PHF]</f>
        <v>470.45454545454544</v>
      </c>
      <c r="AY90" s="423">
        <v>542.90454545454543</v>
      </c>
      <c r="AZ90" s="21">
        <f>Tabela24[veic/h]/(Tabela24[PHF]*Tabela24[fg ats]*Tabela24[fhv ats])</f>
        <v>542.90454545454543</v>
      </c>
      <c r="BA90" s="322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1</v>
      </c>
      <c r="BB90" s="322" t="str">
        <f>IF(AND(Tabela24[[#This Row],[vp1]]*Tabela24[[#This Row],[distrib. direc.]]&lt;1700,Tabela24[[#This Row],[vp1]]&lt;3200),"OK!","FAIL")</f>
        <v>OK!</v>
      </c>
      <c r="BC90" s="23">
        <f>INDEX('HCM2000'!$L$68:$AF$83,MATCH(Tabela24[[#This Row],[faixa (m)]],'HCM2000'!$K$68:$K$83),MATCH(Tabela24[[#This Row],[acost (m)]],'HCM2000'!$L$67:$AF$67))</f>
        <v>1.7</v>
      </c>
      <c r="BD90" s="23">
        <f>MIN(16,(2/3)*Tabela24[[#This Row],[acessos/km]])</f>
        <v>3.333333333333333</v>
      </c>
      <c r="BE90" s="22">
        <f>Tabela24[BFFS]-Tabela24[fLS]-Tabela24[fA]</f>
        <v>82.966666666666669</v>
      </c>
      <c r="BF90" s="23" t="e">
        <v>#REF!</v>
      </c>
      <c r="BG90" s="463">
        <f>IFERROR(Tabela24[[#This Row],[vp1]],0)</f>
        <v>542.90454545454543</v>
      </c>
      <c r="BH90" s="463">
        <f>IFERROR(Tabela24[[#This Row],[% zonas s/ultra]],0)</f>
        <v>0.76</v>
      </c>
      <c r="BI90" s="23" t="str">
        <f t="shared" si="17"/>
        <v>FNP</v>
      </c>
      <c r="BJ90" s="23">
        <v>5.6083818181818117</v>
      </c>
      <c r="BK90" s="43">
        <f>Tabela24[FFS]-0.0125*MAX(Tabela24[[#This Row],[vp1]],Tabela24[[#This Row],[vp1'']])-Tabela24[fnp'']</f>
        <v>70.571978030303043</v>
      </c>
      <c r="BL90" s="412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1</v>
      </c>
      <c r="BM90" s="23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1.1000000000000001</v>
      </c>
      <c r="BN90" s="23">
        <v>1</v>
      </c>
      <c r="BO90" s="23">
        <f>1/(1+Tabela24[[#This Row],[Pt]]*(Tabela24[[#This Row],[Et time]]-1)+Tabela24[[#This Row],[PRv]]*(Tabela24[[#This Row],[Er time]]-1))</f>
        <v>0.97847358121330719</v>
      </c>
      <c r="BP90" s="23">
        <f>Tabela24[veic/h]/Tabela24[PHF]</f>
        <v>470.45454545454544</v>
      </c>
      <c r="BQ90" s="23">
        <v>480.80454545454546</v>
      </c>
      <c r="BR90" s="438">
        <f>Tabela24[veic/h]/(Tabela24[PHF]*Tabela24[fg time]*Tabela24[fhv follow])</f>
        <v>480.80454545454546</v>
      </c>
      <c r="BS90" s="438" t="str">
        <f>IF(AND(Tabela24[[#This Row],[vp2]]*Tabela24[[#This Row],[distrib. direc.]]&lt;1700,Tabela24[[#This Row],[vp2]]&lt;3200),"OK!","FAIL")</f>
        <v>OK!</v>
      </c>
      <c r="BT90" s="23">
        <f>100*(1-EXP(-0.000879*MAX(Tabela24[[#This Row],[vp2]],Tabela24[[#This Row],[vp2'']])))</f>
        <v>34.467710506801005</v>
      </c>
      <c r="BU90" s="304" t="e">
        <v>#REF!</v>
      </c>
      <c r="BV90" s="304">
        <f>IF(TYPE(Tabela24[distrib. direc.])&lt;&gt;1,0,Tabela24[distrib. direc.])</f>
        <v>0.55000000000000004</v>
      </c>
      <c r="BW90" s="304">
        <f>IF(TYPE(Tabela24[vp2])&lt;&gt;1,0,Tabela24[vp2])</f>
        <v>480.80454545454546</v>
      </c>
      <c r="BX90" s="304">
        <f>IF(TYPE(Tabela24[% zonas s/ultra])&lt;&gt;1,0,Tabela24[% zonas s/ultra])</f>
        <v>0.76</v>
      </c>
      <c r="BY90" s="304" t="str">
        <f t="shared" si="18"/>
        <v>FDNP</v>
      </c>
      <c r="BZ90" s="31">
        <v>20.645080909090964</v>
      </c>
      <c r="CA90" s="305">
        <f>Tabela24[BPTSF]+Tabela24[fd/np'']</f>
        <v>55.112791415891969</v>
      </c>
      <c r="CB90" s="424">
        <f>Tabela24[vp1]/3200</f>
        <v>0.16965767045454544</v>
      </c>
      <c r="CC90" s="280" t="str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C</v>
      </c>
      <c r="CD90" s="332">
        <f>VLOOKUP(Tabela24[faixa (m)],'HCM2000'!$B$541:$C$547,2,TRUE)</f>
        <v>10.6</v>
      </c>
      <c r="CE90" s="332">
        <f>IF(Tabela24[acost (m)]&gt;0,1.8,1.2)</f>
        <v>1.8</v>
      </c>
      <c r="CF90" s="332">
        <f>IF(Tabela24[Separador]=$CB$6,$CD$6,IF(Tabela24[Separador]=$CB$7,$CD$7,$CD$8))</f>
        <v>0</v>
      </c>
      <c r="CG90" s="332">
        <f>IF(Tabela24[Número de Faixas]=2,VLOOKUP(Tabela24[Lcr]+Tabela24[Lcl],'HCM2000'!$B$551:$D$587,2,FALSE),IF(Tabela24[Número de Faixas]&gt;=3,VLOOKUP(Tabela24[Lcr]+Tabela24[Lcl],'HCM2000'!$B$551:$D$587,3,FALSE),"Pista simples"))</f>
        <v>2.1</v>
      </c>
      <c r="CH90" s="332">
        <f>IF(Tabela24[Separador]="Sinalização horizontal",'HCM2000'!$C$590,'HCM2000'!$C$591)</f>
        <v>2.6</v>
      </c>
      <c r="CI90" s="332">
        <f>MIN((2/3)*Tabela24[[#This Row],[acessos/km]],16)</f>
        <v>3.333333333333333</v>
      </c>
      <c r="CJ90" s="332">
        <f>IF(Tabela24[fLC]="Pista simples","-",Tabela24[BFFS]-Tabela24[fLW]-Tabela24[fLC]-Tabela24[fM]-Tabela24[fA2])</f>
        <v>69.366666666666688</v>
      </c>
      <c r="CK90" s="332">
        <f>IF(Tabela24[plano/ondulado]="Montanhoso",Tabela24[Para PT&lt;],VLOOKUP(Tabela24[plano/ondulado],'HCM2000'!$B$606:$C$608,2,FALSE))</f>
        <v>1.5</v>
      </c>
      <c r="CL90" s="332">
        <f>IF(Tabela24[[#This Row],[plano/ondulado]]="Montanhoso",Tabela24[[#This Row],[Para PT&lt;]],VLOOKUP(Tabela24[[#This Row],[plano/ondulado]],'HCM2000'!$E$606:$F$608,2,FALSE))</f>
        <v>1.2</v>
      </c>
      <c r="CM90" s="433">
        <f>1/(1+(Tabela24[Pt]*(Tabela24[Et2]-1))+(Tabela24[PRv]*(Tabela24[Er2]-1)))</f>
        <v>0.8960573476702508</v>
      </c>
      <c r="CN90" s="329">
        <f>K90+IF(Tabela24[[#This Row],[Num. Faixas Marg.]]="-",0,Tabela24[[#This Row],[Num. Faixas Marg.]])</f>
        <v>4.5999999999999996</v>
      </c>
      <c r="CO90" s="331">
        <f>Tabela24[[#This Row],[Vzão]]/(Tabela24[[#This Row],[PHF]]*Tabela24[[#This Row],[N]]*Tabela24[[#This Row],[fHV]])</f>
        <v>62.775000000000013</v>
      </c>
      <c r="CP90" s="332">
        <f>IF(Tabela24[fLC]="Pista simples","-",Tabela24[vp3]/Tabela24[S])</f>
        <v>0.90497357039884663</v>
      </c>
      <c r="CQ90" s="332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69.366666666666688</v>
      </c>
      <c r="CR90" s="329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5</v>
      </c>
      <c r="CS90" s="308" t="str">
        <f>IF(Tabela24[LOS_vp3]="F","F",VLOOKUP(Tabela24[LOS_vp3],'HCM2000'!$R$655:$S$659,2))</f>
        <v>F</v>
      </c>
      <c r="CT90" s="329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5</v>
      </c>
      <c r="CU90" s="425" t="str">
        <f>IF(Tabela24[[#This Row],[LOS_vp3]]="F","F",IF(Tabela24[[#This Row],[fLC]]="Pista simples","-",VLOOKUP(Tabela24[[#This Row],[LOS_D3]],'HCM2000'!$R$655:$S$659,2)))</f>
        <v>F</v>
      </c>
      <c r="CV90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90" s="381"/>
      <c r="CX90" s="381"/>
      <c r="CY90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90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90" s="22">
        <f>ABS(INDEX('HCM2000'!$E$611:$M$611,1,MATCH(Tabela24[Pt]*100,'HCM2000'!$E$611:$M$611,1))-Tabela24[Pt]*100)</f>
        <v>2</v>
      </c>
      <c r="DB90" s="22">
        <f>INDEX('HCM2000'!$E$611:$M$611,1,MATCH(Tabela24[[#This Row],[Pt]]*100,'HCM2000'!$E$611:$M$611,1)+1)-Tabela24[[#This Row],[Pt]]*100</f>
        <v>3</v>
      </c>
      <c r="DC90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90" s="440"/>
      <c r="DE90" s="423" t="e">
        <f>1/(1+(Tabela24[Pt]*(Tabela24[ETsu]-1))+(Tabela24[PRv]*(Tabela24[ERsu]-1)))</f>
        <v>#N/A</v>
      </c>
      <c r="DF90" s="438" t="e">
        <f>Tabela24[Vzão]/(Tabela24[PHF]*Tabela24[N]*Tabela24[fHVsu])</f>
        <v>#N/A</v>
      </c>
      <c r="DG90" s="332" t="e">
        <f>IF(Tabela24[fLC]="Pista simples","-",Tabela24[vpsu]/Tabela24[S])</f>
        <v>#N/A</v>
      </c>
      <c r="DH90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90" s="426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90" s="425" t="str">
        <f>IF(Tabela24[[#This Row],[LOS_vp3]]="F","F",VLOOKUP(Tabela24[[#This Row],[LOS_vp3]],'HCM2000'!$R$655:$S$659,2))</f>
        <v>F</v>
      </c>
      <c r="DK90" s="426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90" s="425" t="str">
        <f>IF(Tabela24[[#This Row],[LOS_vp3]]="F","F",IF(Tabela24[[#This Row],[fLC]]="Pista simples","-",VLOOKUP(Tabela24[[#This Row],[LOS_D3]],'HCM2000'!$R$655:$S$659,2)))</f>
        <v>F</v>
      </c>
      <c r="DM90" s="416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90" s="416"/>
      <c r="DO90" s="22">
        <f>Tabela24[[#This Row],[ATS]]</f>
        <v>70.571978030303043</v>
      </c>
      <c r="DP90" s="416">
        <v>70.599999999999994</v>
      </c>
      <c r="DQ90" s="22">
        <f t="shared" si="19"/>
        <v>2.8021969696951032E-2</v>
      </c>
      <c r="DR90" s="22">
        <f>Tabela24[[#This Row],[PTSF]]</f>
        <v>55.112791415891969</v>
      </c>
      <c r="DS90" s="416">
        <v>55.8</v>
      </c>
      <c r="DT90" s="22">
        <f t="shared" si="20"/>
        <v>0.68720858410802776</v>
      </c>
      <c r="DU90" s="22"/>
      <c r="DV90" s="22">
        <v>70.571978030303043</v>
      </c>
      <c r="DW90" s="416">
        <v>70.599999999999994</v>
      </c>
      <c r="DX90" s="22">
        <v>2.8021969696951032E-2</v>
      </c>
      <c r="DY90" s="22">
        <v>70.842966230703709</v>
      </c>
      <c r="DZ90" s="416">
        <v>55.8</v>
      </c>
      <c r="EA90" s="22">
        <v>0.68720858410802776</v>
      </c>
      <c r="EB90" s="416"/>
      <c r="EC90" s="416"/>
      <c r="ED90" s="416"/>
      <c r="EE90" s="416"/>
      <c r="EF90" s="416"/>
      <c r="EG90" s="416"/>
      <c r="EH90" s="416"/>
      <c r="EI90" s="416"/>
      <c r="EJ90" s="416"/>
      <c r="EK90" s="416"/>
      <c r="EL90" s="416"/>
      <c r="EM90" s="416"/>
      <c r="EN90" s="416"/>
      <c r="EO90" s="416"/>
      <c r="EP90" s="416"/>
      <c r="EQ90" s="416"/>
      <c r="ER90" s="416"/>
      <c r="ES90" s="416"/>
      <c r="ET90" s="416"/>
      <c r="EU90" s="416"/>
      <c r="EV90" s="416"/>
      <c r="EW90" s="416"/>
      <c r="EX90" s="416"/>
      <c r="EY90" s="416"/>
      <c r="EZ90" s="416"/>
      <c r="FA90" s="416"/>
      <c r="FB90" s="416"/>
      <c r="FJ90" s="58"/>
      <c r="FK90" s="58"/>
      <c r="FL90" s="58"/>
      <c r="FM90" s="58"/>
      <c r="FR90" s="3"/>
      <c r="FS90" s="3"/>
      <c r="FV90" s="58"/>
      <c r="FW90" s="58"/>
    </row>
    <row r="91" spans="2:181" s="432" customFormat="1">
      <c r="B91" s="401" t="s">
        <v>653</v>
      </c>
      <c r="C91" s="402"/>
      <c r="D91" s="403"/>
      <c r="E91" s="404">
        <v>24201</v>
      </c>
      <c r="F91" s="404">
        <v>24501</v>
      </c>
      <c r="G91" s="405">
        <v>300</v>
      </c>
      <c r="H91" s="401" t="s">
        <v>263</v>
      </c>
      <c r="I91" s="401" t="s">
        <v>379</v>
      </c>
      <c r="J91" s="405">
        <v>2</v>
      </c>
      <c r="K91" s="401">
        <v>4.5999999999999996</v>
      </c>
      <c r="L91" s="401" t="s">
        <v>143</v>
      </c>
      <c r="M91" s="401">
        <v>4.2</v>
      </c>
      <c r="N91" s="401">
        <v>1</v>
      </c>
      <c r="O91" s="406">
        <v>1</v>
      </c>
      <c r="P91" s="401" t="s">
        <v>366</v>
      </c>
      <c r="Q91" s="407" t="s">
        <v>144</v>
      </c>
      <c r="R91" s="427" t="s">
        <v>73</v>
      </c>
      <c r="S91" s="408">
        <v>82</v>
      </c>
      <c r="T91" s="420"/>
      <c r="U91" s="279">
        <v>24</v>
      </c>
      <c r="V91" s="323">
        <v>6473.9966140621727</v>
      </c>
      <c r="W91" s="323">
        <v>2824.5698392986178</v>
      </c>
      <c r="X91" s="420"/>
      <c r="Y91" s="409">
        <f t="shared" si="16"/>
        <v>1</v>
      </c>
      <c r="Z91" s="292" t="str">
        <f ca="1">INDIRECT(CONCATENATE(IF(Tabela24[[#This Row],[tipo]]=1,$AH$4,IF(Tabela24[[#This Row],[tipo]]=2,$AH$5,IF(Tabela24[[#This Row],[tipo]]=3,$AH$6,IF(Tabela24[[#This Row],[tipo]]=4,$AH$7))))&amp;ROW()))</f>
        <v>FDNP</v>
      </c>
      <c r="AA91" s="341" t="s">
        <v>644</v>
      </c>
      <c r="AB91" s="410" t="s">
        <v>654</v>
      </c>
      <c r="AC91" s="31">
        <v>0</v>
      </c>
      <c r="AD91" s="31">
        <v>0</v>
      </c>
      <c r="AE91" s="399"/>
      <c r="AF91" s="399"/>
      <c r="AG91" s="399">
        <v>0</v>
      </c>
      <c r="AH91" s="441">
        <v>0</v>
      </c>
      <c r="AI91" s="524">
        <v>0</v>
      </c>
      <c r="AJ91" s="435">
        <v>8.7999999999999995E-2</v>
      </c>
      <c r="AK91" s="330">
        <v>0</v>
      </c>
      <c r="AL91" s="263">
        <v>0.55000000000000004</v>
      </c>
      <c r="AM91" s="382">
        <v>0</v>
      </c>
      <c r="AN91" s="418">
        <v>0</v>
      </c>
      <c r="AO91" s="461" t="s">
        <v>73</v>
      </c>
      <c r="AP91" s="439">
        <v>0</v>
      </c>
      <c r="AQ91" s="442">
        <v>0</v>
      </c>
      <c r="AR91" s="428">
        <v>0</v>
      </c>
      <c r="AS91" s="316"/>
      <c r="AT91" s="412" t="e">
        <f>IF(AND(Tabela24[vp1'']&lt;600,Tabela24[[#This Row],[plano/ondulado]]="Plano"),'HCM2000'!$F$34,IF(AND(Tabela24[vp1'']&lt;600,Tabela24[[#This Row],[plano/ondulado]]="Ondulado"),'HCM2000'!$G$34,
IF(AND(Tabela24[vp1'']&lt;1200,Tabela24[[#This Row],[plano/ondulado]]="Plano"),'HCM2000'!F$35,IF(AND(Tabela24[vp1'']&lt;1200,Tabela24[[#This Row],[plano/ondulado]]="Ondulado"),'HCM2000'!$G$35,
IF(AND(Tabela24[vp1'']&gt;1200,Tabela24[[#This Row],[plano/ondulado]]="Plano"),'HCM2000'!F$36,IF(AND(Tabela24[vp1'']&gt;1200,Tabela24[[#This Row],[plano/ondulado]]="Ondulado"),'HCM2000'!$G$36))))))</f>
        <v>#DIV/0!</v>
      </c>
      <c r="AU91" s="344" t="e">
        <f>IF(AND(Tabela24[vp1'']&lt;600,Tabela24[[#This Row],[plano/ondulado]]="Plano"),'HCM2000'!$F$15,IF(AND(Tabela24[vp1'']&lt;600,Tabela24[[#This Row],[plano/ondulado]]="Ondulado"),'HCM2000'!$G$15,
IF(AND(Tabela24[vp1'']&lt;1200,Tabela24[[#This Row],[plano/ondulado]]="Plano"),'HCM2000'!F$16,IF(AND(Tabela24[vp1'']&lt;1200,Tabela24[[#This Row],[plano/ondulado]]="Ondulado"),'HCM2000'!$G$16,
IF(AND(Tabela24[vp1'']&gt;1200,Tabela24[[#This Row],[plano/ondulado]]="Plano"),'HCM2000'!F$17,IF(AND(Tabela24[vp1'']&gt;1200,Tabela24[[#This Row],[plano/ondulado]]="Ondulado"),'HCM2000'!$G$17))))))</f>
        <v>#DIV/0!</v>
      </c>
      <c r="AV91" s="23" t="e">
        <f>IF(AND(Tabela24[vp1'']&lt;600,Tabela24[[#This Row],[plano/ondulado]]="Plano"),'HCM2000'!$F$18,IF(AND(Tabela24[vp1'']&lt;600,Tabela24[[#This Row],[plano/ondulado]]="Ondulado"),'HCM2000'!$G$18,
IF(AND(Tabela24[vp1'']&lt;1200,Tabela24[[#This Row],[plano/ondulado]]="Plano"),'HCM2000'!F$19,IF(AND(Tabela24[vp1'']&lt;1200,Tabela24[[#This Row],[plano/ondulado]]="Ondulado"),'HCM2000'!$G$19,
IF(AND(Tabela24[vp1'']&gt;1200,Tabela24[[#This Row],[plano/ondulado]]="Plano"),'HCM2000'!F$20,IF(AND(Tabela24[vp1'']&gt;1200,Tabela24[[#This Row],[plano/ondulado]]="Ondulado"),'HCM2000'!$G$20))))))</f>
        <v>#DIV/0!</v>
      </c>
      <c r="AW91" s="23" t="e">
        <f>1/(1+(Tabela24[[#This Row],[Pt]])*(Tabela24[[#This Row],[Et]]-1)+(Tabela24[[#This Row],[PRv]])*(Tabela24[[#This Row],[Er]]-1))</f>
        <v>#DIV/0!</v>
      </c>
      <c r="AX91" s="429" t="e">
        <f>Tabela24[veic/h]/Tabela24[PHF]</f>
        <v>#DIV/0!</v>
      </c>
      <c r="AY91" s="429" t="e">
        <v>#DIV/0!</v>
      </c>
      <c r="AZ91" s="279" t="e">
        <f>Tabela24[veic/h]/(Tabela24[PHF]*Tabela24[fg ats]*Tabela24[fhv ats])</f>
        <v>#DIV/0!</v>
      </c>
      <c r="BA91" s="322" t="e">
        <f>IF(Tabela24[[#This Row],[fg ats]]=IF(AND(Tabela24[[#This Row],[vp1]]&lt;600,Tabela24[[#This Row],[plano/ondulado]]="Plano"),'HCM2000'!$F$34,IF(AND(Tabela24[[#This Row],[vp1]]&lt;600,Tabela24[[#This Row],[plano/ondulado]]="Ondulado"),'HCM2000'!$G$34,
IF(AND(Tabela24[[#This Row],[vp1]]&lt;1200,Tabela24[[#This Row],[plano/ondulado]]="Plano"),'HCM2000'!F$35,IF(AND(Tabela24[[#This Row],[vp1]]&lt;1200,Tabela24[[#This Row],[plano/ondulado]]="Ondulado"),'HCM2000'!$G$35,
IF(AND(Tabela24[[#This Row],[vp1]]&gt;1200,Tabela24[[#This Row],[plano/ondulado]]="Plano"),'HCM2000'!F$36,IF(AND(Tabela24[[#This Row],[vp1]]&gt;1200,Tabela24[[#This Row],[plano/ondulado]]="Ondulado"),'HCM2000'!$G$36)))))),1,"X")</f>
        <v>#DIV/0!</v>
      </c>
      <c r="BB91" s="322" t="e">
        <f>IF(AND(Tabela24[[#This Row],[vp1]]*Tabela24[[#This Row],[distrib. direc.]]&lt;1700,Tabela24[[#This Row],[vp1]]&lt;3200),"OK!","FAIL")</f>
        <v>#DIV/0!</v>
      </c>
      <c r="BC91" s="23" t="e">
        <f>INDEX('HCM2000'!$L$68:$AF$83,MATCH(Tabela24[[#This Row],[faixa (m)]],'HCM2000'!$K$68:$K$83),MATCH(Tabela24[[#This Row],[acost (m)]],'HCM2000'!$L$67:$AF$67))</f>
        <v>#N/A</v>
      </c>
      <c r="BD91" s="23">
        <f>MIN(16,(2/3)*Tabela24[[#This Row],[acessos/km]])</f>
        <v>0</v>
      </c>
      <c r="BE91" s="22" t="e">
        <f>Tabela24[BFFS]-Tabela24[fLS]-Tabela24[fA]</f>
        <v>#N/A</v>
      </c>
      <c r="BF91" s="23" t="e">
        <v>#REF!</v>
      </c>
      <c r="BG91" s="463">
        <f>IFERROR(Tabela24[[#This Row],[vp1]],0)</f>
        <v>0</v>
      </c>
      <c r="BH91" s="463">
        <f>IFERROR(Tabela24[[#This Row],[% zonas s/ultra]],0)</f>
        <v>0</v>
      </c>
      <c r="BI91" s="23" t="str">
        <f t="shared" si="17"/>
        <v>FNP</v>
      </c>
      <c r="BJ91" s="344">
        <v>0</v>
      </c>
      <c r="BK91" s="43" t="e">
        <f>Tabela24[FFS]-0.0125*MAX(Tabela24[[#This Row],[vp1]],Tabela24[[#This Row],[vp1'']])-Tabela24[fnp'']</f>
        <v>#N/A</v>
      </c>
      <c r="BL91" s="412" t="e">
        <f>IF(AND(Tabela24[vp2'']/Tabela24[[#This Row],[PHF]]&lt;600,Tabela24[[#This Row],[plano/ondulado]]="Plano"),'HCM2000'!$F$40,IF(AND(Tabela24[vp2'']/Tabela24[[#This Row],[PHF]]&lt;600,Tabela24[[#This Row],[plano/ondulado]]="Ondulado"),'HCM2000'!$G$40,
IF(AND(Tabela24[vp2'']/Tabela24[[#This Row],[PHF]]&lt;1200,Tabela24[[#This Row],[plano/ondulado]]="Plano"),'HCM2000'!F$41,IF(AND(Tabela24[vp2'']/Tabela24[[#This Row],[PHF]]&lt;1200,Tabela24[[#This Row],[plano/ondulado]]="Ondulado"),'HCM2000'!$G$41,
IF(AND(Tabela24[vp2'']/Tabela24[[#This Row],[PHF]]&gt;1200,Tabela24[[#This Row],[plano/ondulado]]="Plano"),'HCM2000'!F$42,IF(AND(Tabela24[vp2'']/Tabela24[[#This Row],[PHF]]&gt;1200,Tabela24[[#This Row],[plano/ondulado]]="Ondulado"),'HCM2000'!$G$42))))))</f>
        <v>#DIV/0!</v>
      </c>
      <c r="BM91" s="23" t="e">
        <f>IF(AND(Tabela24[vp2'']&lt;600,Tabela24[[#This Row],[plano/ondulado]]="Plano"),'HCM2000'!$F$24,IF(AND(Tabela24[vp2'']&lt;600,Tabela24[[#This Row],[plano/ondulado]]="Ondulado"),'HCM2000'!$G$24,
IF(AND(Tabela24[vp2'']&lt;1200,Tabela24[[#This Row],[plano/ondulado]]="Plano"),'HCM2000'!F$25,IF(AND(Tabela24[vp2'']&lt;1200,Tabela24[[#This Row],[plano/ondulado]]="Ondulado"),'HCM2000'!$G$25,
IF(AND(Tabela24[vp2'']&gt;1200,Tabela24[[#This Row],[plano/ondulado]]="Plano"),'HCM2000'!F$26,IF(AND(Tabela24[vp2'']&gt;1200,Tabela24[[#This Row],[plano/ondulado]]="Ondulado"),'HCM2000'!$G$26))))))</f>
        <v>#DIV/0!</v>
      </c>
      <c r="BN91" s="23">
        <v>1</v>
      </c>
      <c r="BO91" s="23" t="e">
        <f>1/(1+Tabela24[[#This Row],[Pt]]*(Tabela24[[#This Row],[Et time]]-1)+Tabela24[[#This Row],[PRv]]*(Tabela24[[#This Row],[Er time]]-1))</f>
        <v>#DIV/0!</v>
      </c>
      <c r="BP91" s="23" t="e">
        <f>Tabela24[veic/h]/Tabela24[PHF]</f>
        <v>#DIV/0!</v>
      </c>
      <c r="BQ91" s="23" t="e">
        <v>#DIV/0!</v>
      </c>
      <c r="BR91" s="438" t="e">
        <f>Tabela24[veic/h]/(Tabela24[PHF]*Tabela24[fg time]*Tabela24[fhv follow])</f>
        <v>#DIV/0!</v>
      </c>
      <c r="BS91" s="438" t="e">
        <f>IF(AND(Tabela24[[#This Row],[vp2]]*Tabela24[[#This Row],[distrib. direc.]]&lt;1700,Tabela24[[#This Row],[vp2]]&lt;3200),"OK!","FAIL")</f>
        <v>#DIV/0!</v>
      </c>
      <c r="BT91" s="23" t="e">
        <f>100*(1-EXP(-0.000879*MAX(Tabela24[[#This Row],[vp2]],Tabela24[[#This Row],[vp2'']])))</f>
        <v>#DIV/0!</v>
      </c>
      <c r="BU91" s="304" t="e">
        <v>#REF!</v>
      </c>
      <c r="BV91" s="304">
        <f>IF(TYPE(Tabela24[distrib. direc.])&lt;&gt;1,0,Tabela24[distrib. direc.])</f>
        <v>0.55000000000000004</v>
      </c>
      <c r="BW91" s="304">
        <f>IF(TYPE(Tabela24[vp2])&lt;&gt;1,0,Tabela24[vp2])</f>
        <v>0</v>
      </c>
      <c r="BX91" s="304">
        <f>IF(TYPE(Tabela24[% zonas s/ultra])&lt;&gt;1,0,Tabela24[% zonas s/ultra])</f>
        <v>0</v>
      </c>
      <c r="BY91" s="304" t="str">
        <f t="shared" si="18"/>
        <v>FDNP</v>
      </c>
      <c r="BZ91" s="304">
        <v>1.6000000000000014</v>
      </c>
      <c r="CA91" s="305" t="e">
        <f>Tabela24[BPTSF]+Tabela24[fd/np'']</f>
        <v>#DIV/0!</v>
      </c>
      <c r="CB91" s="430" t="e">
        <f>Tabela24[vp1]/3200</f>
        <v>#DIV/0!</v>
      </c>
      <c r="CC91" s="280" t="e">
        <f>IF(AND(Tabela24[[#This Row],[teste1]]="OK!",Tabela24[[#This Row],[teste2]]="OK!"),IF(Tabela24[[#This Row],[Pista]]="Pista Simples",INDEX('HCM2000'!$C$134:$N$154,MATCH(ROUNDUP(Tabela24[[#This Row],[PTSF]]/5,0)*5,'HCM2000'!$B$134:$B$154),MATCH(ROUNDUP(Tabela24[[#This Row],[ATS]]/10,0)*10,'HCM2000'!$C$133:$N$133)),"-"),"F")</f>
        <v>#DIV/0!</v>
      </c>
      <c r="CD91" s="332" t="e">
        <f>VLOOKUP(Tabela24[faixa (m)],'HCM2000'!$B$541:$C$547,2,TRUE)</f>
        <v>#N/A</v>
      </c>
      <c r="CE91" s="332">
        <f>IF(Tabela24[acost (m)]&gt;0,1.8,1.2)</f>
        <v>1.2</v>
      </c>
      <c r="CF91" s="332">
        <f>IF(Tabela24[Separador]=$CB$6,$CD$6,IF(Tabela24[Separador]=$CB$7,$CD$7,$CD$8))</f>
        <v>0</v>
      </c>
      <c r="CG91" s="332">
        <f>IF(Tabela24[Número de Faixas]=2,VLOOKUP(Tabela24[Lcr]+Tabela24[Lcl],'HCM2000'!$B$551:$D$587,2,FALSE),IF(Tabela24[Número de Faixas]&gt;=3,VLOOKUP(Tabela24[Lcr]+Tabela24[Lcl],'HCM2000'!$B$551:$D$587,3,FALSE),"Pista simples"))</f>
        <v>3</v>
      </c>
      <c r="CH91" s="332">
        <f>IF(Tabela24[Separador]="Sinalização horizontal",'HCM2000'!$C$590,'HCM2000'!$C$591)</f>
        <v>2.6</v>
      </c>
      <c r="CI91" s="332">
        <f>MIN((2/3)*Tabela24[[#This Row],[acessos/km]],16)</f>
        <v>0</v>
      </c>
      <c r="CJ91" s="332" t="e">
        <f>IF(Tabela24[fLC]="Pista simples","-",Tabela24[BFFS]-Tabela24[fLW]-Tabela24[fLC]-Tabela24[fM]-Tabela24[fA2])</f>
        <v>#N/A</v>
      </c>
      <c r="CK91" s="332">
        <f>IF(Tabela24[plano/ondulado]="Montanhoso",Tabela24[Para PT&lt;],VLOOKUP(Tabela24[plano/ondulado],'HCM2000'!$B$606:$C$608,2,FALSE))</f>
        <v>1.5</v>
      </c>
      <c r="CL91" s="332">
        <f>IF(Tabela24[[#This Row],[plano/ondulado]]="Montanhoso",Tabela24[[#This Row],[Para PT&lt;]],VLOOKUP(Tabela24[[#This Row],[plano/ondulado]],'HCM2000'!$E$606:$F$608,2,FALSE))</f>
        <v>1.2</v>
      </c>
      <c r="CM91" s="433">
        <f>1/(1+(Tabela24[Pt]*(Tabela24[Et2]-1))+(Tabela24[PRv]*(Tabela24[Er2]-1)))</f>
        <v>1</v>
      </c>
      <c r="CN91" s="329">
        <f>K91+IF(Tabela24[[#This Row],[Num. Faixas Marg.]]="-",0,Tabela24[[#This Row],[Num. Faixas Marg.]])</f>
        <v>4.5999999999999996</v>
      </c>
      <c r="CO91" s="331" t="e">
        <f>Tabela24[[#This Row],[Vzão]]/(Tabela24[[#This Row],[PHF]]*Tabela24[[#This Row],[N]]*Tabela24[[#This Row],[fHV]])</f>
        <v>#DIV/0!</v>
      </c>
      <c r="CP91" s="332" t="e">
        <f>IF(Tabela24[fLC]="Pista simples","-",Tabela24[vp3]/Tabela24[S])</f>
        <v>#DIV/0!</v>
      </c>
      <c r="CQ91" s="332" t="e">
        <f>IF(Tabela24[vp3]&lt;=1400,Tabela24[FFS2],
IF(Tabela24[FFS2]&lt;=70,Tabela24[FFS2]-(($CI$7*Tabela24[FFS2]-$CJ$7)*((Tabela24[vp3]-1400)/($CK$7*Tabela24[FFS2]-$CL$7))^1.31),
IF(Tabela24[FFS2]&lt;=80,Tabela24[FFS2]-(($CI$6*Tabela24[FFS2]-$CJ$6)*((Tabela24[vp3]-1400)/($CK$6*Tabela24[FFS2]-$CL$6))^1.31),
IF(Tabela24[FFS2]&lt;=90,Tabela24[FFS2]-(($CI$5*Tabela24[FFS2]-$CJ$5)*((Tabela24[vp3]-1400)/($CK$5*Tabela24[FFS2]-$CL$5))^1.31),
IF(Tabela24[FFS2]&lt;=120,Tabela24[FFS2]-(($CI$4*Tabela24[FFS2]-$CJ$4)*((Tabela24[vp3]-1400)/($CK$4*Tabela24[FFS2]-$CL$4))^1.31))))))</f>
        <v>#DIV/0!</v>
      </c>
      <c r="CR91" s="329" t="str">
        <f>IF(ISNA(IF(Tabela24[[#This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Row],[vp3]],'HCM2000'!$L$674:$P$674,-1))))),"F",IF(Tabela24[[#This Row],[FFS2]]&gt;100,MATCH(Tabela24[[#This Row],[vp3]],'HCM2000'!$L$659:$P$659,-1),IF(Tabela24[[#This Row],[FFS2]]&gt;90,MATCH(Tabela24[[#This Row],[vp3]],'HCM2000'!$L$664:$P$664,-1),IF(Tabela24[[#This Row],[FFS2]]&gt;80,MATCH(Tabela24[[#This Row],[vp3]],'HCM2000'!$L$669:$P$669,-1),MATCH(Tabela24[[#This Row],[vp3]],'HCM2000'!$L$674:$P$674,-1)))))</f>
        <v>F</v>
      </c>
      <c r="CS91" s="308" t="str">
        <f>IF(Tabela24[LOS_vp3]="F","F",VLOOKUP(Tabela24[LOS_vp3],'HCM2000'!$R$655:$S$659,2))</f>
        <v>F</v>
      </c>
      <c r="CT91" s="329" t="str">
        <f>IF(ISNA(IF(Tabela24[[#This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Row],[D]],'HCM2000'!$L$670:$P$670,-1)))))),"F",IF(Tabela24[[#This Row],[fLC]]="Pista simples","-",IF(Tabela24[[#This Row],[FFS2]]&gt;100,MATCH(Tabela24[[#This Row],[D]],'HCM2000'!$L$656:$P$656,-1),IF(Tabela24[[#This Row],[FFS2]]&gt;90,MATCH(Tabela24[[#This Row],[D]],'HCM2000'!$L$660:$P$660,-1),IF(Tabela24[[#This Row],[FFS2]]&gt;80,MATCH(Tabela24[[#This Row],[D]],'HCM2000'!$L$665:$P$665,-1),MATCH(Tabela24[[#This Row],[D]],'HCM2000'!$L$670:$P$670,-1))))))</f>
        <v>F</v>
      </c>
      <c r="CU91" s="308" t="str">
        <f>IF(Tabela24[[#This Row],[LOS_vp3]]="F","F",IF(Tabela24[[#This Row],[fLC]]="Pista simples","-",VLOOKUP(Tabela24[[#This Row],[LOS_D3]],'HCM2000'!$R$655:$S$659,2)))</f>
        <v>F</v>
      </c>
      <c r="CV91" s="280" t="str">
        <f>IF(OR(Tabela24[[#This Row],[LOS_vp3]]="F",Tabela24[[#This Row],[LOS_D3]]="F"),"F",IF(Tabela24[[#This Row],[Pista]]="Pista Simples","-",VLOOKUP(MINA(Tabela24[LOS_vp],Tabela24[LOS_D]),'HCM2000'!$R$655:$S$659,2)))</f>
        <v>F</v>
      </c>
      <c r="CW91" s="381"/>
      <c r="CX91" s="381"/>
      <c r="CY91" s="22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Row],[Pt]]*100,'HCM2000'!$E$611:$M$611,1))</f>
        <v>#N/A</v>
      </c>
      <c r="CZ91" s="440" t="e">
        <f>INDEX('HCM2000'!$E$613:$M$642,IF(Tabela24[[#This Row],[%]]&lt;5,MATCH(Tabela24[[#This Row],[ext]],'HCM2000'!$D$613:$D$618,1),MATCH(Tabela24[[#This Row],[ext]],'HCM2000'!$D$631:$D$636,1))-1+(MATCH(Tabela24[[#This Row],[%]],'HCM2000'!$C$613:$C$642,1)-5),MATCH(Tabela24[[#This Row],[Pt]]*100,'HCM2000'!$E$611:$M$611,1)+1)</f>
        <v>#N/A</v>
      </c>
      <c r="DA91" s="22" t="e">
        <f>ABS(INDEX('HCM2000'!$E$611:$M$611,1,MATCH(Tabela24[Pt]*100,'HCM2000'!$E$611:$M$611,1))-Tabela24[Pt]*100)</f>
        <v>#N/A</v>
      </c>
      <c r="DB91" s="22" t="e">
        <f>INDEX('HCM2000'!$E$611:$M$611,1,MATCH(Tabela24[[#This Row],[Pt]]*100,'HCM2000'!$E$611:$M$611,1)+1)-Tabela24[[#This Row],[Pt]]*100</f>
        <v>#N/A</v>
      </c>
      <c r="DC91" s="22" t="e">
        <f>IFERROR(Tabela24[[#This Row],[Ex 21-9 Pt &gt;]]+(Tabela24[[#This Row],[Para PT&gt;]]/(Tabela24[[#This Row],[Para PT&lt;]]+Tabela24[[#This Row],[Para PT&gt;]])*ABS(Tabela24[[#This Row],[Ex 21-9 Pt &lt;]]-Tabela24[[#This Row],[Ex 21-9 Pt &gt;]])),Tabela24[[#This Row],[Ex 21-9 Pt &lt;]])</f>
        <v>#N/A</v>
      </c>
      <c r="DD91" s="440"/>
      <c r="DE91" s="423" t="e">
        <f>1/(1+(Tabela24[Pt]*(Tabela24[ETsu]-1))+(Tabela24[PRv]*(Tabela24[ERsu]-1)))</f>
        <v>#N/A</v>
      </c>
      <c r="DF91" s="438" t="e">
        <f>Tabela24[Vzão]/(Tabela24[PHF]*Tabela24[N]*Tabela24[fHVsu])</f>
        <v>#N/A</v>
      </c>
      <c r="DG91" s="332" t="e">
        <f>IF(Tabela24[fLC]="Pista simples","-",Tabela24[vpsu]/Tabela24[S])</f>
        <v>#N/A</v>
      </c>
      <c r="DH91" s="332" t="e">
        <f>IF(Tabela24[vpsu]&lt;=1400,Tabela24[FFS2],
IF(Tabela24[FFS2]&lt;=70,Tabela24[FFS2]-(($CI$7*Tabela24[FFS2]-$CJ$7)*((Tabela24[vpsu]-1400)/($CK$7*Tabela24[FFS2]-$CL$7))^1.31),
IF(Tabela24[FFS2]&lt;=80,Tabela24[FFS2]-(($CI$6*Tabela24[FFS2]-$CJ$6)*((Tabela24[vpsu]-1400)/($CK$6*Tabela24[FFS2]-$CL$6))^1.31),
IF(Tabela24[FFS2]&lt;=90,Tabela24[FFS2]-(($CI$5*Tabela24[FFS2]-$CJ$5)*((Tabela24[vpsu]-1400)/($CK$5*Tabela24[FFS2]-$CL$5))^1.31),
IF(Tabela24[FFS2]&lt;=120,Tabela24[FFS2]-(($CI$4*Tabela24[FFS2]-$CJ$4)*((Tabela24[vpsu]-1400)/($CK$4*Tabela24[FFS2]-$CL$4))^1.31))))))</f>
        <v>#N/A</v>
      </c>
      <c r="DI91" s="329" t="str">
        <f>IF(ISNA(IF(Tabela24[[#This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Row],[vpsu]],'HCM2000'!$L$674:$P$674,-1))))),"F",IF(Tabela24[[#This Row],[FFS2]]&gt;100,MATCH(Tabela24[[#This Row],[vpsu]],'HCM2000'!$L$659:$P$659,-1),IF(Tabela24[[#This Row],[FFS2]]&gt;90,MATCH(Tabela24[[#This Row],[vpsu]],'HCM2000'!$L$664:$P$664,-1),IF(Tabela24[[#This Row],[FFS2]]&gt;80,MATCH(Tabela24[[#This Row],[vpsu]],'HCM2000'!$L$669:$P$669,-1),MATCH(Tabela24[[#This Row],[vpsu]],'HCM2000'!$L$674:$P$674,-1)))))</f>
        <v>F</v>
      </c>
      <c r="DJ91" s="308" t="str">
        <f>IF(Tabela24[[#This Row],[LOS_vp3]]="F","F",VLOOKUP(Tabela24[[#This Row],[LOS_vp3]],'HCM2000'!$R$655:$S$659,2))</f>
        <v>F</v>
      </c>
      <c r="DK91" s="329" t="str">
        <f>IF(ISNA(IF(Tabela24[[#This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Row],[Dsu]],'HCM2000'!$L$670:$P$670,-1)))))),"F",IF(Tabela24[[#This Row],[fLC]]="Pista simples","-",IF(Tabela24[[#This Row],[FFS2]]&gt;100,MATCH(Tabela24[[#This Row],[Dsu]],'HCM2000'!$L$656:$P$656,-1),IF(Tabela24[[#This Row],[FFS2]]&gt;90,MATCH(Tabela24[[#This Row],[Dsu]],'HCM2000'!$L$660:$P$660,-1),IF(Tabela24[[#This Row],[FFS2]]&gt;80,MATCH(Tabela24[[#This Row],[Dsu]],'HCM2000'!$L$665:$P$665,-1),MATCH(Tabela24[[#This Row],[Dsu]],'HCM2000'!$L$670:$P$670,-1))))))</f>
        <v>F</v>
      </c>
      <c r="DL91" s="308" t="str">
        <f>IF(Tabela24[[#This Row],[LOS_vp3]]="F","F",IF(Tabela24[[#This Row],[fLC]]="Pista simples","-",VLOOKUP(Tabela24[[#This Row],[LOS_D3]],'HCM2000'!$R$655:$S$659,2)))</f>
        <v>F</v>
      </c>
      <c r="DM91" s="280" t="str">
        <f>IF(OR(Tabela24[[#This Row],[LOS_vp3]]="F",Tabela24[[#This Row],[LOS_D3]]="F"),"F",IF(Tabela24[[#This Row],[Pista]]="Pista Simples","-",VLOOKUP(MINA(Tabela24[LOS_vp3],Tabela24[LOS_D3]),'HCM2000'!$R$655:$S$659,2)))</f>
        <v>F</v>
      </c>
      <c r="DN91" s="280"/>
      <c r="DO91" s="22" t="e">
        <f>Tabela24[[#This Row],[ATS]]</f>
        <v>#N/A</v>
      </c>
      <c r="DP91" s="280">
        <v>0</v>
      </c>
      <c r="DQ91" s="22" t="e">
        <f t="shared" si="19"/>
        <v>#N/A</v>
      </c>
      <c r="DR91" s="22" t="e">
        <f>Tabela24[[#This Row],[PTSF]]</f>
        <v>#DIV/0!</v>
      </c>
      <c r="DS91" s="280">
        <v>0</v>
      </c>
      <c r="DT91" s="22" t="e">
        <f t="shared" si="20"/>
        <v>#DIV/0!</v>
      </c>
      <c r="DU91" s="22"/>
      <c r="DV91" s="22" t="e">
        <v>#N/A</v>
      </c>
      <c r="DW91" s="416">
        <v>0</v>
      </c>
      <c r="DX91" s="22" t="e">
        <v>#N/A</v>
      </c>
      <c r="DY91" s="22" t="e">
        <v>#DIV/0!</v>
      </c>
      <c r="DZ91" s="416">
        <v>0</v>
      </c>
      <c r="EA91" s="22" t="e">
        <v>#DIV/0!</v>
      </c>
      <c r="EB91" s="280"/>
      <c r="EC91" s="280"/>
      <c r="ED91" s="280"/>
      <c r="EE91" s="280"/>
      <c r="EF91" s="280"/>
      <c r="EG91" s="280"/>
      <c r="EH91" s="280"/>
      <c r="EI91" s="280"/>
      <c r="EJ91" s="280"/>
      <c r="EK91" s="280"/>
      <c r="EL91" s="280"/>
      <c r="EM91" s="280"/>
      <c r="EN91" s="280"/>
      <c r="EO91" s="280"/>
      <c r="EP91" s="280"/>
      <c r="EQ91" s="280"/>
      <c r="ER91" s="280"/>
      <c r="ES91" s="280"/>
      <c r="ET91" s="280"/>
      <c r="EU91" s="280"/>
      <c r="EV91" s="280"/>
      <c r="EW91" s="280"/>
      <c r="EX91" s="280"/>
      <c r="EY91" s="280"/>
      <c r="EZ91" s="280"/>
      <c r="FA91" s="280"/>
      <c r="FB91" s="280"/>
      <c r="FC91" s="58"/>
      <c r="FD91" s="58"/>
      <c r="FE91" s="58"/>
      <c r="FF91" s="58"/>
      <c r="FG91" s="58"/>
      <c r="FH91" s="58"/>
      <c r="FI91" s="58"/>
      <c r="FJ91" s="58"/>
      <c r="FK91" s="58"/>
      <c r="FL91" s="58"/>
      <c r="FM91" s="58"/>
      <c r="FN91" s="3"/>
      <c r="FO91" s="3"/>
      <c r="FP91" s="3"/>
      <c r="FQ91" s="3"/>
      <c r="FR91" s="3"/>
      <c r="FS91" s="3"/>
      <c r="FT91" s="3"/>
      <c r="FU91" s="3"/>
      <c r="FV91" s="58"/>
      <c r="FW91" s="58"/>
      <c r="FX91" s="3"/>
      <c r="FY91" s="3"/>
    </row>
    <row r="121" spans="1:1">
      <c r="A121" s="434"/>
    </row>
  </sheetData>
  <mergeCells count="9">
    <mergeCell ref="CB8:CC8"/>
    <mergeCell ref="F1:G1"/>
    <mergeCell ref="T2:T12"/>
    <mergeCell ref="X2:X12"/>
    <mergeCell ref="AS2:AS12"/>
    <mergeCell ref="CB4:CC4"/>
    <mergeCell ref="CB5:CC5"/>
    <mergeCell ref="CB6:CC6"/>
    <mergeCell ref="CB7:CC7"/>
  </mergeCells>
  <conditionalFormatting sqref="H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DG16:DH91 CP14:CQ91">
    <cfRule type="cellIs" dxfId="3" priority="82" operator="lessThan">
      <formula>0</formula>
    </cfRule>
  </conditionalFormatting>
  <conditionalFormatting sqref="I26:I1048576 I10:I13 N1">
    <cfRule type="colorScale" priority="8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92:AT651">
    <cfRule type="expression" dxfId="2" priority="12">
      <formula>IF(AY92="X",1,0)</formula>
    </cfRule>
  </conditionalFormatting>
  <conditionalFormatting sqref="BL14:BL91">
    <cfRule type="expression" dxfId="1" priority="10">
      <formula>IF(BA14="X",1,0)</formula>
    </cfRule>
  </conditionalFormatting>
  <conditionalFormatting sqref="CC14:CC91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91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4:AT91">
    <cfRule type="expression" dxfId="0" priority="895">
      <formula>IF(BA14="X",1,0)</formula>
    </cfRule>
  </conditionalFormatting>
  <conditionalFormatting sqref="I14:I2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Q14:DQ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3:DQ9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T14:DU9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14:DX22 DX26:DX34 DX38:DX46 DX50:DX58 DX62:DX70 DX74:DX82 DX86:DX9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23:DX25 DX35:DX37 DX47:DX49 DX59:DX61 DX71:DX73 DX83:DX8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14:EA9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2">
    <dataValidation type="list" allowBlank="1" showInputMessage="1" showErrorMessage="1" sqref="EC7:EC8 EE14:EE21">
      <formula1>$EC$7:$EC$8</formula1>
    </dataValidation>
    <dataValidation type="list" allowBlank="1" showInputMessage="1" showErrorMessage="1" sqref="EF16:EF21 EF14">
      <formula1>$ED$7:$ED$8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29</vt:i4>
      </vt:variant>
      <vt:variant>
        <vt:lpstr>Intervalos nomeados</vt:lpstr>
      </vt:variant>
      <vt:variant>
        <vt:i4>346</vt:i4>
      </vt:variant>
    </vt:vector>
  </HeadingPairs>
  <TitlesOfParts>
    <vt:vector size="375" baseType="lpstr">
      <vt:lpstr>INPUTS</vt:lpstr>
      <vt:lpstr>YEAR_BY_YEAR</vt:lpstr>
      <vt:lpstr>TWO LANE HIGHWAY</vt:lpstr>
      <vt:lpstr>TWO LANE HIGHWAY_SPECIAL GRADE</vt:lpstr>
      <vt:lpstr>MULTILANE HIGHWAY</vt:lpstr>
      <vt:lpstr>MULTILANE HIGHWAY_SPECIAL GRADE</vt:lpstr>
      <vt:lpstr>HCM2000</vt:lpstr>
      <vt:lpstr>HCM2010</vt:lpstr>
      <vt:lpstr>FNP</vt:lpstr>
      <vt:lpstr>FDNP</vt:lpstr>
      <vt:lpstr>20-20_fnp_PTSF</vt:lpstr>
      <vt:lpstr>20-19_fnp_ATS</vt:lpstr>
      <vt:lpstr>20-13_fg_ATS</vt:lpstr>
      <vt:lpstr>20-14_fg_PTSF</vt:lpstr>
      <vt:lpstr>20-15_Et_ATS</vt:lpstr>
      <vt:lpstr>20-17_ER_ATS</vt:lpstr>
      <vt:lpstr>20-16_ET&amp;RV_PTSF</vt:lpstr>
      <vt:lpstr>20-18_ETC_ATS</vt:lpstr>
      <vt:lpstr>20-21_a&amp;b</vt:lpstr>
      <vt:lpstr>20-9_ET_ATS</vt:lpstr>
      <vt:lpstr>20-9_ER_ATS</vt:lpstr>
      <vt:lpstr>20-10_ET_PTSF</vt:lpstr>
      <vt:lpstr>20-7_FG_ATS</vt:lpstr>
      <vt:lpstr>20-8_FG_PTSF</vt:lpstr>
      <vt:lpstr>20-7_FG_ATS_2D</vt:lpstr>
      <vt:lpstr>21-9_ET_UP</vt:lpstr>
      <vt:lpstr>21-10_ER_Up</vt:lpstr>
      <vt:lpstr>21-11_ET_Down</vt:lpstr>
      <vt:lpstr>Análise_SAVED </vt:lpstr>
      <vt:lpstr>a</vt:lpstr>
      <vt:lpstr>a_b_x</vt:lpstr>
      <vt:lpstr>b</vt:lpstr>
      <vt:lpstr>'20-10_ET_PTSF'!f_11</vt:lpstr>
      <vt:lpstr>'20-18_ETC_ATS'!f_11</vt:lpstr>
      <vt:lpstr>'20-7_FG_ATS'!f_11</vt:lpstr>
      <vt:lpstr>'20-7_FG_ATS_2D'!f_11</vt:lpstr>
      <vt:lpstr>'20-8_FG_PTSF'!f_11</vt:lpstr>
      <vt:lpstr>'20-9_ER_ATS'!f_11</vt:lpstr>
      <vt:lpstr>'20-9_ET_ATS'!f_11</vt:lpstr>
      <vt:lpstr>f_11</vt:lpstr>
      <vt:lpstr>'20-13_fg_ATS'!f_111</vt:lpstr>
      <vt:lpstr>'20-14_fg_PTSF'!f_111</vt:lpstr>
      <vt:lpstr>'20-15_Et_ATS'!f_111</vt:lpstr>
      <vt:lpstr>'20-16_ET&amp;RV_PTSF'!f_111</vt:lpstr>
      <vt:lpstr>'20-17_ER_ATS'!f_111</vt:lpstr>
      <vt:lpstr>'20-19_fnp_ATS'!f_111</vt:lpstr>
      <vt:lpstr>'20-20_fnp_PTSF'!f_111</vt:lpstr>
      <vt:lpstr>'21-10_ER_Up'!f_111</vt:lpstr>
      <vt:lpstr>'21-11_ET_Down'!f_111</vt:lpstr>
      <vt:lpstr>'21-9_ET_UP'!f_111</vt:lpstr>
      <vt:lpstr>f_111</vt:lpstr>
      <vt:lpstr>'20-13_fg_ATS'!f_112</vt:lpstr>
      <vt:lpstr>'20-14_fg_PTSF'!f_112</vt:lpstr>
      <vt:lpstr>'20-15_Et_ATS'!f_112</vt:lpstr>
      <vt:lpstr>'20-16_ET&amp;RV_PTSF'!f_112</vt:lpstr>
      <vt:lpstr>'20-17_ER_ATS'!f_112</vt:lpstr>
      <vt:lpstr>'20-19_fnp_ATS'!f_112</vt:lpstr>
      <vt:lpstr>'20-20_fnp_PTSF'!f_112</vt:lpstr>
      <vt:lpstr>'21-10_ER_Up'!f_112</vt:lpstr>
      <vt:lpstr>'21-11_ET_Down'!f_112</vt:lpstr>
      <vt:lpstr>'21-9_ET_UP'!f_112</vt:lpstr>
      <vt:lpstr>f_112</vt:lpstr>
      <vt:lpstr>'20-10_ET_PTSF'!f_12</vt:lpstr>
      <vt:lpstr>'20-18_ETC_ATS'!f_12</vt:lpstr>
      <vt:lpstr>'20-7_FG_ATS'!f_12</vt:lpstr>
      <vt:lpstr>'20-7_FG_ATS_2D'!f_12</vt:lpstr>
      <vt:lpstr>'20-8_FG_PTSF'!f_12</vt:lpstr>
      <vt:lpstr>'20-9_ER_ATS'!f_12</vt:lpstr>
      <vt:lpstr>'20-9_ET_ATS'!f_12</vt:lpstr>
      <vt:lpstr>f_12</vt:lpstr>
      <vt:lpstr>'20-13_fg_ATS'!f_121</vt:lpstr>
      <vt:lpstr>'20-14_fg_PTSF'!f_121</vt:lpstr>
      <vt:lpstr>'20-15_Et_ATS'!f_121</vt:lpstr>
      <vt:lpstr>'20-16_ET&amp;RV_PTSF'!f_121</vt:lpstr>
      <vt:lpstr>'20-17_ER_ATS'!f_121</vt:lpstr>
      <vt:lpstr>'20-19_fnp_ATS'!f_121</vt:lpstr>
      <vt:lpstr>'20-20_fnp_PTSF'!f_121</vt:lpstr>
      <vt:lpstr>'21-10_ER_Up'!f_121</vt:lpstr>
      <vt:lpstr>'21-11_ET_Down'!f_121</vt:lpstr>
      <vt:lpstr>'21-9_ET_UP'!f_121</vt:lpstr>
      <vt:lpstr>f_121</vt:lpstr>
      <vt:lpstr>'20-13_fg_ATS'!f_122</vt:lpstr>
      <vt:lpstr>'20-14_fg_PTSF'!f_122</vt:lpstr>
      <vt:lpstr>'20-15_Et_ATS'!f_122</vt:lpstr>
      <vt:lpstr>'20-16_ET&amp;RV_PTSF'!f_122</vt:lpstr>
      <vt:lpstr>'20-17_ER_ATS'!f_122</vt:lpstr>
      <vt:lpstr>'20-19_fnp_ATS'!f_122</vt:lpstr>
      <vt:lpstr>'20-20_fnp_PTSF'!f_122</vt:lpstr>
      <vt:lpstr>'21-10_ER_Up'!f_122</vt:lpstr>
      <vt:lpstr>'21-11_ET_Down'!f_122</vt:lpstr>
      <vt:lpstr>'21-9_ET_UP'!f_122</vt:lpstr>
      <vt:lpstr>f_122</vt:lpstr>
      <vt:lpstr>'20-10_ET_PTSF'!f_21</vt:lpstr>
      <vt:lpstr>'20-18_ETC_ATS'!f_21</vt:lpstr>
      <vt:lpstr>'20-7_FG_ATS'!f_21</vt:lpstr>
      <vt:lpstr>'20-7_FG_ATS_2D'!f_21</vt:lpstr>
      <vt:lpstr>'20-8_FG_PTSF'!f_21</vt:lpstr>
      <vt:lpstr>'20-9_ER_ATS'!f_21</vt:lpstr>
      <vt:lpstr>'20-9_ET_ATS'!f_21</vt:lpstr>
      <vt:lpstr>f_21</vt:lpstr>
      <vt:lpstr>'20-13_fg_ATS'!f_211</vt:lpstr>
      <vt:lpstr>'20-14_fg_PTSF'!f_211</vt:lpstr>
      <vt:lpstr>'20-15_Et_ATS'!f_211</vt:lpstr>
      <vt:lpstr>'20-16_ET&amp;RV_PTSF'!f_211</vt:lpstr>
      <vt:lpstr>'20-17_ER_ATS'!f_211</vt:lpstr>
      <vt:lpstr>'20-19_fnp_ATS'!f_211</vt:lpstr>
      <vt:lpstr>'20-20_fnp_PTSF'!f_211</vt:lpstr>
      <vt:lpstr>'21-10_ER_Up'!f_211</vt:lpstr>
      <vt:lpstr>'21-11_ET_Down'!f_211</vt:lpstr>
      <vt:lpstr>'21-9_ET_UP'!f_211</vt:lpstr>
      <vt:lpstr>f_211</vt:lpstr>
      <vt:lpstr>'20-13_fg_ATS'!f_212</vt:lpstr>
      <vt:lpstr>'20-14_fg_PTSF'!f_212</vt:lpstr>
      <vt:lpstr>'20-15_Et_ATS'!f_212</vt:lpstr>
      <vt:lpstr>'20-16_ET&amp;RV_PTSF'!f_212</vt:lpstr>
      <vt:lpstr>'20-17_ER_ATS'!f_212</vt:lpstr>
      <vt:lpstr>'20-19_fnp_ATS'!f_212</vt:lpstr>
      <vt:lpstr>'20-20_fnp_PTSF'!f_212</vt:lpstr>
      <vt:lpstr>'21-10_ER_Up'!f_212</vt:lpstr>
      <vt:lpstr>'21-11_ET_Down'!f_212</vt:lpstr>
      <vt:lpstr>'21-9_ET_UP'!f_212</vt:lpstr>
      <vt:lpstr>f_212</vt:lpstr>
      <vt:lpstr>'20-10_ET_PTSF'!f_22</vt:lpstr>
      <vt:lpstr>'20-18_ETC_ATS'!f_22</vt:lpstr>
      <vt:lpstr>'20-7_FG_ATS'!f_22</vt:lpstr>
      <vt:lpstr>'20-7_FG_ATS_2D'!f_22</vt:lpstr>
      <vt:lpstr>'20-8_FG_PTSF'!f_22</vt:lpstr>
      <vt:lpstr>'20-9_ER_ATS'!f_22</vt:lpstr>
      <vt:lpstr>'20-9_ET_ATS'!f_22</vt:lpstr>
      <vt:lpstr>f_22</vt:lpstr>
      <vt:lpstr>'20-13_fg_ATS'!f_221</vt:lpstr>
      <vt:lpstr>'20-14_fg_PTSF'!f_221</vt:lpstr>
      <vt:lpstr>'20-15_Et_ATS'!f_221</vt:lpstr>
      <vt:lpstr>'20-16_ET&amp;RV_PTSF'!f_221</vt:lpstr>
      <vt:lpstr>'20-17_ER_ATS'!f_221</vt:lpstr>
      <vt:lpstr>'20-19_fnp_ATS'!f_221</vt:lpstr>
      <vt:lpstr>'20-20_fnp_PTSF'!f_221</vt:lpstr>
      <vt:lpstr>'21-10_ER_Up'!f_221</vt:lpstr>
      <vt:lpstr>'21-11_ET_Down'!f_221</vt:lpstr>
      <vt:lpstr>'21-9_ET_UP'!f_221</vt:lpstr>
      <vt:lpstr>f_221</vt:lpstr>
      <vt:lpstr>'20-13_fg_ATS'!f_222</vt:lpstr>
      <vt:lpstr>'20-14_fg_PTSF'!f_222</vt:lpstr>
      <vt:lpstr>'20-15_Et_ATS'!f_222</vt:lpstr>
      <vt:lpstr>'20-16_ET&amp;RV_PTSF'!f_222</vt:lpstr>
      <vt:lpstr>'20-17_ER_ATS'!f_222</vt:lpstr>
      <vt:lpstr>'20-19_fnp_ATS'!f_222</vt:lpstr>
      <vt:lpstr>'20-20_fnp_PTSF'!f_222</vt:lpstr>
      <vt:lpstr>'21-10_ER_Up'!f_222</vt:lpstr>
      <vt:lpstr>'21-11_ET_Down'!f_222</vt:lpstr>
      <vt:lpstr>'21-9_ET_UP'!f_222</vt:lpstr>
      <vt:lpstr>f_222</vt:lpstr>
      <vt:lpstr>'TWO LANE HIGHWAY'!INTERP_INPUTS_FDNP</vt:lpstr>
      <vt:lpstr>INTERP_INPUTS_FDNP</vt:lpstr>
      <vt:lpstr>'TWO LANE HIGHWAY'!INTERP_INPUTS_FNP</vt:lpstr>
      <vt:lpstr>INTERP_INPUTS_FNP</vt:lpstr>
      <vt:lpstr>'TWO LANE HIGHWAY'!INTERP_OUTPUTS_FDNP</vt:lpstr>
      <vt:lpstr>INTERP_OUTPUTS_FDNP</vt:lpstr>
      <vt:lpstr>'TWO LANE HIGHWAY'!INTERP_OUTPUTS_FNP</vt:lpstr>
      <vt:lpstr>INTERP_OUTPUTS_FNP</vt:lpstr>
      <vt:lpstr>'20-13_fg_ATS'!TT_value</vt:lpstr>
      <vt:lpstr>'20-14_fg_PTSF'!TT_value</vt:lpstr>
      <vt:lpstr>'20-15_Et_ATS'!TT_value</vt:lpstr>
      <vt:lpstr>'20-16_ET&amp;RV_PTSF'!TT_value</vt:lpstr>
      <vt:lpstr>'20-17_ER_ATS'!TT_value</vt:lpstr>
      <vt:lpstr>'20-19_fnp_ATS'!TT_value</vt:lpstr>
      <vt:lpstr>'20-20_fnp_PTSF'!TT_value</vt:lpstr>
      <vt:lpstr>'21-10_ER_Up'!TT_value</vt:lpstr>
      <vt:lpstr>'21-11_ET_Down'!TT_value</vt:lpstr>
      <vt:lpstr>'21-9_ET_UP'!TT_value</vt:lpstr>
      <vt:lpstr>TT_value</vt:lpstr>
      <vt:lpstr>'20-10_ET_PTSF'!x</vt:lpstr>
      <vt:lpstr>'20-18_ETC_ATS'!x</vt:lpstr>
      <vt:lpstr>'20-7_FG_ATS'!x</vt:lpstr>
      <vt:lpstr>'20-7_FG_ATS_2D'!x</vt:lpstr>
      <vt:lpstr>'20-8_FG_PTSF'!x</vt:lpstr>
      <vt:lpstr>'20-9_ER_ATS'!x</vt:lpstr>
      <vt:lpstr>'20-9_ET_ATS'!x</vt:lpstr>
      <vt:lpstr>x</vt:lpstr>
      <vt:lpstr>'20-10_ET_PTSF'!x_1</vt:lpstr>
      <vt:lpstr>'20-18_ETC_ATS'!x_1</vt:lpstr>
      <vt:lpstr>'20-7_FG_ATS'!x_1</vt:lpstr>
      <vt:lpstr>'20-7_FG_ATS_2D'!x_1</vt:lpstr>
      <vt:lpstr>'20-8_FG_PTSF'!x_1</vt:lpstr>
      <vt:lpstr>'20-9_ER_ATS'!x_1</vt:lpstr>
      <vt:lpstr>'20-9_ET_ATS'!x_1</vt:lpstr>
      <vt:lpstr>x_1</vt:lpstr>
      <vt:lpstr>'20-10_ET_PTSF'!x_2</vt:lpstr>
      <vt:lpstr>'20-18_ETC_ATS'!x_2</vt:lpstr>
      <vt:lpstr>'20-7_FG_ATS'!x_2</vt:lpstr>
      <vt:lpstr>'20-7_FG_ATS_2D'!x_2</vt:lpstr>
      <vt:lpstr>'20-8_FG_PTSF'!x_2</vt:lpstr>
      <vt:lpstr>'20-9_ER_ATS'!x_2</vt:lpstr>
      <vt:lpstr>'20-9_ET_ATS'!x_2</vt:lpstr>
      <vt:lpstr>x_2</vt:lpstr>
      <vt:lpstr>'20-10_ET_PTSF'!x_value</vt:lpstr>
      <vt:lpstr>'20-18_ETC_ATS'!x_value</vt:lpstr>
      <vt:lpstr>'20-7_FG_ATS'!x_value</vt:lpstr>
      <vt:lpstr>'20-7_FG_ATS_2D'!x_value</vt:lpstr>
      <vt:lpstr>'20-8_FG_PTSF'!x_value</vt:lpstr>
      <vt:lpstr>'20-9_ER_ATS'!x_value</vt:lpstr>
      <vt:lpstr>'20-9_ET_ATS'!x_value</vt:lpstr>
      <vt:lpstr>x_value</vt:lpstr>
      <vt:lpstr>'20-13_fg_ATS'!XX</vt:lpstr>
      <vt:lpstr>'20-14_fg_PTSF'!XX</vt:lpstr>
      <vt:lpstr>'20-15_Et_ATS'!XX</vt:lpstr>
      <vt:lpstr>'20-16_ET&amp;RV_PTSF'!XX</vt:lpstr>
      <vt:lpstr>'20-17_ER_ATS'!XX</vt:lpstr>
      <vt:lpstr>'20-19_fnp_ATS'!XX</vt:lpstr>
      <vt:lpstr>'20-20_fnp_PTSF'!XX</vt:lpstr>
      <vt:lpstr>'21-10_ER_Up'!XX</vt:lpstr>
      <vt:lpstr>'21-11_ET_Down'!XX</vt:lpstr>
      <vt:lpstr>'21-9_ET_UP'!XX</vt:lpstr>
      <vt:lpstr>XX</vt:lpstr>
      <vt:lpstr>'20-13_fg_ATS'!xx_1</vt:lpstr>
      <vt:lpstr>'20-14_fg_PTSF'!xx_1</vt:lpstr>
      <vt:lpstr>'20-15_Et_ATS'!xx_1</vt:lpstr>
      <vt:lpstr>'20-16_ET&amp;RV_PTSF'!xx_1</vt:lpstr>
      <vt:lpstr>'20-17_ER_ATS'!xx_1</vt:lpstr>
      <vt:lpstr>'20-19_fnp_ATS'!xx_1</vt:lpstr>
      <vt:lpstr>'20-20_fnp_PTSF'!xx_1</vt:lpstr>
      <vt:lpstr>'21-10_ER_Up'!xx_1</vt:lpstr>
      <vt:lpstr>'21-11_ET_Down'!xx_1</vt:lpstr>
      <vt:lpstr>'21-9_ET_UP'!xx_1</vt:lpstr>
      <vt:lpstr>xx_1</vt:lpstr>
      <vt:lpstr>'20-13_fg_ATS'!xx_2</vt:lpstr>
      <vt:lpstr>'20-14_fg_PTSF'!xx_2</vt:lpstr>
      <vt:lpstr>'20-15_Et_ATS'!xx_2</vt:lpstr>
      <vt:lpstr>'20-16_ET&amp;RV_PTSF'!xx_2</vt:lpstr>
      <vt:lpstr>'20-17_ER_ATS'!xx_2</vt:lpstr>
      <vt:lpstr>'20-19_fnp_ATS'!xx_2</vt:lpstr>
      <vt:lpstr>'20-20_fnp_PTSF'!xx_2</vt:lpstr>
      <vt:lpstr>'21-10_ER_Up'!xx_2</vt:lpstr>
      <vt:lpstr>'21-11_ET_Down'!xx_2</vt:lpstr>
      <vt:lpstr>'21-9_ET_UP'!xx_2</vt:lpstr>
      <vt:lpstr>xx_2</vt:lpstr>
      <vt:lpstr>'20-13_fg_ATS'!XX_value</vt:lpstr>
      <vt:lpstr>'20-14_fg_PTSF'!XX_value</vt:lpstr>
      <vt:lpstr>'20-15_Et_ATS'!XX_value</vt:lpstr>
      <vt:lpstr>'20-16_ET&amp;RV_PTSF'!XX_value</vt:lpstr>
      <vt:lpstr>'20-17_ER_ATS'!XX_value</vt:lpstr>
      <vt:lpstr>'20-19_fnp_ATS'!XX_value</vt:lpstr>
      <vt:lpstr>'20-20_fnp_PTSF'!XX_value</vt:lpstr>
      <vt:lpstr>'21-10_ER_Up'!XX_value</vt:lpstr>
      <vt:lpstr>'21-11_ET_Down'!XX_value</vt:lpstr>
      <vt:lpstr>'21-9_ET_UP'!XX_value</vt:lpstr>
      <vt:lpstr>XX_value</vt:lpstr>
      <vt:lpstr>'20-10_ET_PTSF'!y</vt:lpstr>
      <vt:lpstr>'20-18_ETC_ATS'!y</vt:lpstr>
      <vt:lpstr>'20-7_FG_ATS'!y</vt:lpstr>
      <vt:lpstr>'20-7_FG_ATS_2D'!y</vt:lpstr>
      <vt:lpstr>'20-8_FG_PTSF'!y</vt:lpstr>
      <vt:lpstr>'20-9_ER_ATS'!y</vt:lpstr>
      <vt:lpstr>'20-9_ET_ATS'!y</vt:lpstr>
      <vt:lpstr>y</vt:lpstr>
      <vt:lpstr>'20-10_ET_PTSF'!y_1</vt:lpstr>
      <vt:lpstr>'20-18_ETC_ATS'!y_1</vt:lpstr>
      <vt:lpstr>'20-7_FG_ATS'!y_1</vt:lpstr>
      <vt:lpstr>'20-7_FG_ATS_2D'!y_1</vt:lpstr>
      <vt:lpstr>'20-8_FG_PTSF'!y_1</vt:lpstr>
      <vt:lpstr>'20-9_ER_ATS'!y_1</vt:lpstr>
      <vt:lpstr>'20-9_ET_ATS'!y_1</vt:lpstr>
      <vt:lpstr>y_1</vt:lpstr>
      <vt:lpstr>'20-10_ET_PTSF'!y_2</vt:lpstr>
      <vt:lpstr>'20-18_ETC_ATS'!y_2</vt:lpstr>
      <vt:lpstr>'20-7_FG_ATS'!y_2</vt:lpstr>
      <vt:lpstr>'20-7_FG_ATS_2D'!y_2</vt:lpstr>
      <vt:lpstr>'20-8_FG_PTSF'!y_2</vt:lpstr>
      <vt:lpstr>'20-9_ER_ATS'!y_2</vt:lpstr>
      <vt:lpstr>'20-9_ET_ATS'!y_2</vt:lpstr>
      <vt:lpstr>y_2</vt:lpstr>
      <vt:lpstr>'20-10_ET_PTSF'!y_value</vt:lpstr>
      <vt:lpstr>'20-18_ETC_ATS'!y_value</vt:lpstr>
      <vt:lpstr>'20-7_FG_ATS'!y_value</vt:lpstr>
      <vt:lpstr>'20-7_FG_ATS_2D'!y_value</vt:lpstr>
      <vt:lpstr>'20-8_FG_PTSF'!y_value</vt:lpstr>
      <vt:lpstr>'20-9_ER_ATS'!y_value</vt:lpstr>
      <vt:lpstr>'20-9_ET_ATS'!y_value</vt:lpstr>
      <vt:lpstr>y_value</vt:lpstr>
      <vt:lpstr>'20-13_fg_ATS'!YY</vt:lpstr>
      <vt:lpstr>'20-14_fg_PTSF'!YY</vt:lpstr>
      <vt:lpstr>'20-15_Et_ATS'!YY</vt:lpstr>
      <vt:lpstr>'20-16_ET&amp;RV_PTSF'!YY</vt:lpstr>
      <vt:lpstr>'20-17_ER_ATS'!YY</vt:lpstr>
      <vt:lpstr>'20-19_fnp_ATS'!YY</vt:lpstr>
      <vt:lpstr>'20-20_fnp_PTSF'!YY</vt:lpstr>
      <vt:lpstr>'21-10_ER_Up'!YY</vt:lpstr>
      <vt:lpstr>'21-11_ET_Down'!YY</vt:lpstr>
      <vt:lpstr>'21-9_ET_UP'!YY</vt:lpstr>
      <vt:lpstr>YY</vt:lpstr>
      <vt:lpstr>'20-13_fg_ATS'!yy_1</vt:lpstr>
      <vt:lpstr>'20-14_fg_PTSF'!yy_1</vt:lpstr>
      <vt:lpstr>'20-15_Et_ATS'!yy_1</vt:lpstr>
      <vt:lpstr>'20-16_ET&amp;RV_PTSF'!yy_1</vt:lpstr>
      <vt:lpstr>'20-17_ER_ATS'!yy_1</vt:lpstr>
      <vt:lpstr>'20-19_fnp_ATS'!yy_1</vt:lpstr>
      <vt:lpstr>'20-20_fnp_PTSF'!yy_1</vt:lpstr>
      <vt:lpstr>'21-10_ER_Up'!yy_1</vt:lpstr>
      <vt:lpstr>'21-11_ET_Down'!yy_1</vt:lpstr>
      <vt:lpstr>'21-9_ET_UP'!yy_1</vt:lpstr>
      <vt:lpstr>yy_1</vt:lpstr>
      <vt:lpstr>'20-13_fg_ATS'!yy_2</vt:lpstr>
      <vt:lpstr>'20-14_fg_PTSF'!yy_2</vt:lpstr>
      <vt:lpstr>'20-15_Et_ATS'!yy_2</vt:lpstr>
      <vt:lpstr>'20-16_ET&amp;RV_PTSF'!yy_2</vt:lpstr>
      <vt:lpstr>'20-17_ER_ATS'!yy_2</vt:lpstr>
      <vt:lpstr>'20-19_fnp_ATS'!yy_2</vt:lpstr>
      <vt:lpstr>'20-20_fnp_PTSF'!yy_2</vt:lpstr>
      <vt:lpstr>'21-10_ER_Up'!yy_2</vt:lpstr>
      <vt:lpstr>'21-11_ET_Down'!yy_2</vt:lpstr>
      <vt:lpstr>'21-9_ET_UP'!yy_2</vt:lpstr>
      <vt:lpstr>yy_2</vt:lpstr>
      <vt:lpstr>'20-13_fg_ATS'!YY_value</vt:lpstr>
      <vt:lpstr>'20-14_fg_PTSF'!YY_value</vt:lpstr>
      <vt:lpstr>'20-15_Et_ATS'!YY_value</vt:lpstr>
      <vt:lpstr>'20-16_ET&amp;RV_PTSF'!YY_value</vt:lpstr>
      <vt:lpstr>'20-17_ER_ATS'!YY_value</vt:lpstr>
      <vt:lpstr>'20-19_fnp_ATS'!YY_value</vt:lpstr>
      <vt:lpstr>'20-20_fnp_PTSF'!YY_value</vt:lpstr>
      <vt:lpstr>'21-10_ER_Up'!YY_value</vt:lpstr>
      <vt:lpstr>'21-11_ET_Down'!YY_value</vt:lpstr>
      <vt:lpstr>'21-9_ET_UP'!YY_value</vt:lpstr>
      <vt:lpstr>YY_value</vt:lpstr>
      <vt:lpstr>'20-10_ET_PTSF'!z_value</vt:lpstr>
      <vt:lpstr>'20-18_ETC_ATS'!z_value</vt:lpstr>
      <vt:lpstr>'20-7_FG_ATS'!z_value</vt:lpstr>
      <vt:lpstr>'20-7_FG_ATS_2D'!z_value</vt:lpstr>
      <vt:lpstr>'20-8_FG_PTSF'!z_value</vt:lpstr>
      <vt:lpstr>'20-9_ER_ATS'!z_value</vt:lpstr>
      <vt:lpstr>'20-9_ET_ATS'!z_value</vt:lpstr>
      <vt:lpstr>z_value</vt:lpstr>
      <vt:lpstr>'20-13_fg_ATS'!ZZ</vt:lpstr>
      <vt:lpstr>'20-14_fg_PTSF'!ZZ</vt:lpstr>
      <vt:lpstr>'20-15_Et_ATS'!ZZ</vt:lpstr>
      <vt:lpstr>'20-16_ET&amp;RV_PTSF'!ZZ</vt:lpstr>
      <vt:lpstr>'20-17_ER_ATS'!ZZ</vt:lpstr>
      <vt:lpstr>'20-19_fnp_ATS'!ZZ</vt:lpstr>
      <vt:lpstr>'20-20_fnp_PTSF'!ZZ</vt:lpstr>
      <vt:lpstr>'21-10_ER_Up'!ZZ</vt:lpstr>
      <vt:lpstr>'21-11_ET_Down'!ZZ</vt:lpstr>
      <vt:lpstr>'21-9_ET_UP'!ZZ</vt:lpstr>
      <vt:lpstr>ZZ</vt:lpstr>
      <vt:lpstr>'20-13_fg_ATS'!zz_1</vt:lpstr>
      <vt:lpstr>'20-14_fg_PTSF'!zz_1</vt:lpstr>
      <vt:lpstr>'20-15_Et_ATS'!zz_1</vt:lpstr>
      <vt:lpstr>'20-16_ET&amp;RV_PTSF'!zz_1</vt:lpstr>
      <vt:lpstr>'20-17_ER_ATS'!zz_1</vt:lpstr>
      <vt:lpstr>'20-19_fnp_ATS'!zz_1</vt:lpstr>
      <vt:lpstr>'20-20_fnp_PTSF'!zz_1</vt:lpstr>
      <vt:lpstr>'21-10_ER_Up'!zz_1</vt:lpstr>
      <vt:lpstr>'21-11_ET_Down'!zz_1</vt:lpstr>
      <vt:lpstr>'21-9_ET_UP'!zz_1</vt:lpstr>
      <vt:lpstr>zz_1</vt:lpstr>
      <vt:lpstr>'20-13_fg_ATS'!zz_2</vt:lpstr>
      <vt:lpstr>'20-14_fg_PTSF'!zz_2</vt:lpstr>
      <vt:lpstr>'20-15_Et_ATS'!zz_2</vt:lpstr>
      <vt:lpstr>'20-16_ET&amp;RV_PTSF'!zz_2</vt:lpstr>
      <vt:lpstr>'20-17_ER_ATS'!zz_2</vt:lpstr>
      <vt:lpstr>'20-19_fnp_ATS'!zz_2</vt:lpstr>
      <vt:lpstr>'20-20_fnp_PTSF'!zz_2</vt:lpstr>
      <vt:lpstr>'21-10_ER_Up'!zz_2</vt:lpstr>
      <vt:lpstr>'21-11_ET_Down'!zz_2</vt:lpstr>
      <vt:lpstr>'21-9_ET_UP'!zz_2</vt:lpstr>
      <vt:lpstr>zz_2</vt:lpstr>
      <vt:lpstr>'20-13_fg_ATS'!ZZ_value</vt:lpstr>
      <vt:lpstr>'20-14_fg_PTSF'!ZZ_value</vt:lpstr>
      <vt:lpstr>'20-15_Et_ATS'!ZZ_value</vt:lpstr>
      <vt:lpstr>'20-16_ET&amp;RV_PTSF'!ZZ_value</vt:lpstr>
      <vt:lpstr>'20-17_ER_ATS'!ZZ_value</vt:lpstr>
      <vt:lpstr>'20-19_fnp_ATS'!ZZ_value</vt:lpstr>
      <vt:lpstr>'20-20_fnp_PTSF'!ZZ_value</vt:lpstr>
      <vt:lpstr>'21-10_ER_Up'!ZZ_value</vt:lpstr>
      <vt:lpstr>'21-11_ET_Down'!ZZ_value</vt:lpstr>
      <vt:lpstr>'21-9_ET_UP'!ZZ_value</vt:lpstr>
      <vt:lpstr>ZZ_value</vt:lpstr>
    </vt:vector>
  </TitlesOfParts>
  <Company>Ability Software Consultants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SDG Default</dc:title>
  <dc:creator>Steer Davies Gleave</dc:creator>
  <cp:lastModifiedBy>Alexandre Joseph Tokka</cp:lastModifiedBy>
  <cp:lastPrinted>2018-04-02T21:50:40Z</cp:lastPrinted>
  <dcterms:created xsi:type="dcterms:W3CDTF">2011-01-21T11:48:10Z</dcterms:created>
  <dcterms:modified xsi:type="dcterms:W3CDTF">2018-11-26T13:06:32Z</dcterms:modified>
</cp:coreProperties>
</file>